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80BE04C3-3A0F-4BD1-901D-CD53CA676C9F}" xr6:coauthVersionLast="47" xr6:coauthVersionMax="47" xr10:uidLastSave="{00000000-0000-0000-0000-000000000000}"/>
  <bookViews>
    <workbookView xWindow="-96" yWindow="-96" windowWidth="20928" windowHeight="12432" firstSheet="2" activeTab="7" xr2:uid="{94B94BC7-FBC8-4BAC-A974-CA3E4662C848}"/>
  </bookViews>
  <sheets>
    <sheet name="france" sheetId="1" r:id="rId1"/>
    <sheet name="germany" sheetId="19" r:id="rId2"/>
    <sheet name="batavian republic" sheetId="18" r:id="rId3"/>
    <sheet name="united states" sheetId="2" r:id="rId4"/>
    <sheet name="buenaventura" sheetId="4" r:id="rId5"/>
    <sheet name="mexico" sheetId="22" r:id="rId6"/>
    <sheet name="China" sheetId="21" r:id="rId7"/>
    <sheet name="new zealand" sheetId="23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3" l="1"/>
  <c r="B19" i="23" s="1"/>
  <c r="B14" i="23"/>
  <c r="B8" i="22"/>
  <c r="B7" i="22"/>
  <c r="B3" i="22"/>
  <c r="I140" i="2"/>
  <c r="K57" i="2"/>
  <c r="K70" i="2"/>
  <c r="K51" i="2"/>
  <c r="K77" i="2"/>
  <c r="K64" i="2"/>
  <c r="B19" i="21"/>
  <c r="B35" i="21"/>
  <c r="B27" i="21"/>
  <c r="E15" i="21"/>
  <c r="B16" i="21" s="1"/>
  <c r="B8" i="21"/>
  <c r="B4" i="21"/>
  <c r="F53" i="19"/>
  <c r="F52" i="19"/>
  <c r="F51" i="19"/>
  <c r="F50" i="19"/>
  <c r="B49" i="19"/>
  <c r="F46" i="19"/>
  <c r="C49" i="19" s="1"/>
  <c r="C42" i="19"/>
  <c r="B42" i="19"/>
  <c r="B41" i="19"/>
  <c r="C41" i="19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01" i="2"/>
  <c r="L138" i="2"/>
  <c r="K142" i="2"/>
  <c r="L143" i="2"/>
  <c r="L122" i="2"/>
  <c r="M138" i="2"/>
  <c r="M133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J140" i="2"/>
  <c r="K140" i="2"/>
  <c r="L140" i="2"/>
  <c r="M140" i="2"/>
  <c r="J141" i="2"/>
  <c r="K141" i="2"/>
  <c r="L141" i="2"/>
  <c r="M141" i="2"/>
  <c r="J142" i="2"/>
  <c r="L142" i="2"/>
  <c r="M142" i="2"/>
  <c r="J143" i="2"/>
  <c r="K143" i="2"/>
  <c r="M14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41" i="2"/>
  <c r="I142" i="2"/>
  <c r="I143" i="2"/>
  <c r="I101" i="2"/>
  <c r="K59" i="2"/>
  <c r="C96" i="2"/>
  <c r="K71" i="2"/>
  <c r="K69" i="2"/>
  <c r="K48" i="2"/>
  <c r="K44" i="2"/>
  <c r="K67" i="2"/>
  <c r="K66" i="2"/>
  <c r="K50" i="2"/>
  <c r="K62" i="2"/>
  <c r="K60" i="2"/>
  <c r="K56" i="2"/>
  <c r="K55" i="2"/>
  <c r="K53" i="2"/>
  <c r="C93" i="2"/>
  <c r="C94" i="2"/>
  <c r="C91" i="2"/>
  <c r="B59" i="1"/>
  <c r="K18" i="4"/>
  <c r="E4" i="18"/>
  <c r="E3" i="18"/>
  <c r="B5" i="18" s="1"/>
  <c r="B6" i="18" s="1"/>
  <c r="B36" i="21" l="1"/>
  <c r="C54" i="19"/>
  <c r="B54" i="19"/>
  <c r="C55" i="19" s="1"/>
  <c r="C79" i="2"/>
  <c r="K79" i="2"/>
  <c r="C23" i="4"/>
  <c r="K24" i="4"/>
  <c r="K23" i="4"/>
  <c r="K76" i="2"/>
  <c r="K74" i="2"/>
  <c r="K52" i="2"/>
  <c r="K75" i="2"/>
  <c r="K73" i="2"/>
  <c r="K68" i="2"/>
  <c r="K65" i="2"/>
  <c r="K63" i="2"/>
  <c r="K61" i="2"/>
  <c r="K58" i="2"/>
  <c r="K49" i="2"/>
  <c r="K47" i="2"/>
  <c r="K46" i="2"/>
  <c r="K45" i="2"/>
  <c r="K43" i="2"/>
  <c r="K42" i="2"/>
  <c r="K41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51" i="1"/>
  <c r="B42" i="1"/>
  <c r="C42" i="1" s="1"/>
  <c r="C45" i="1"/>
  <c r="C44" i="1"/>
  <c r="C63" i="1" s="1"/>
  <c r="C43" i="1"/>
  <c r="C46" i="1"/>
  <c r="C47" i="1"/>
  <c r="C48" i="1"/>
  <c r="C49" i="1"/>
  <c r="C50" i="1"/>
  <c r="C95" i="2" l="1"/>
  <c r="M116" i="2"/>
  <c r="I116" i="2"/>
  <c r="L116" i="2"/>
  <c r="J116" i="2"/>
  <c r="K116" i="2"/>
  <c r="C92" i="2"/>
  <c r="J139" i="2"/>
  <c r="K139" i="2"/>
  <c r="L139" i="2"/>
  <c r="M139" i="2"/>
  <c r="I139" i="2"/>
  <c r="B55" i="19"/>
  <c r="C60" i="1"/>
  <c r="C61" i="1"/>
  <c r="C62" i="1"/>
  <c r="C58" i="1"/>
  <c r="C59" i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4" i="1"/>
  <c r="K17" i="1"/>
  <c r="K18" i="1"/>
  <c r="J18" i="1"/>
  <c r="J17" i="1"/>
  <c r="K15" i="1"/>
  <c r="J15" i="1"/>
  <c r="F16" i="1" s="1"/>
  <c r="G29" i="1"/>
  <c r="C30" i="1" s="1"/>
  <c r="F7" i="2"/>
  <c r="B6" i="2"/>
  <c r="B34" i="1"/>
  <c r="F29" i="1"/>
  <c r="B30" i="1" s="1"/>
  <c r="C97" i="2" l="1"/>
  <c r="L144" i="2"/>
  <c r="K144" i="2"/>
  <c r="J144" i="2"/>
  <c r="I144" i="2"/>
  <c r="M144" i="2"/>
  <c r="C29" i="2"/>
  <c r="H9" i="4"/>
  <c r="E10" i="4" s="1"/>
  <c r="B34" i="2"/>
  <c r="B36" i="2"/>
  <c r="B37" i="2" s="1"/>
  <c r="G19" i="1"/>
  <c r="C22" i="2"/>
  <c r="B22" i="2"/>
  <c r="B32" i="2" s="1"/>
  <c r="B86" i="2" s="1"/>
  <c r="F19" i="1"/>
  <c r="B20" i="1" s="1"/>
  <c r="B31" i="1" s="1"/>
  <c r="B35" i="1" s="1"/>
  <c r="B39" i="1" s="1"/>
  <c r="G16" i="1"/>
  <c r="N144" i="2" l="1"/>
  <c r="C32" i="2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20" i="1"/>
  <c r="C31" i="1" s="1"/>
  <c r="C35" i="1" s="1"/>
  <c r="C39" i="1" s="1"/>
  <c r="G144" i="2" l="1"/>
  <c r="C144" i="2"/>
  <c r="E144" i="2"/>
  <c r="F144" i="2"/>
  <c r="B144" i="2"/>
  <c r="D144" i="2"/>
  <c r="E5" i="4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<sst xmlns="http://schemas.openxmlformats.org/spreadsheetml/2006/main" count="513" uniqueCount="368">
  <si>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</si>
  <si>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</si>
  <si>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</si>
  <si>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</si>
  <si>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</si>
  <si>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</si>
  <si>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</si>
  <si>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</si>
  <si>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</si>
  <si>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</si>
  <si>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</si>
  <si>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</si>
  <si>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</si>
  <si>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</si>
  <si>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</si>
  <si>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</si>
  <si>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</si>
  <si>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</si>
  <si>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</si>
  <si>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</si>
  <si>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</si>
  <si>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</si>
  <si>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</si>
  <si>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</si>
  <si>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</si>
  <si>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</si>
  <si>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</si>
  <si>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</si>
  <si>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</si>
  <si>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</si>
  <si>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</si>
  <si>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</si>
  <si>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</si>
  <si>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</si>
  <si>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</si>
  <si>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</si>
  <si>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</si>
  <si>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</si>
  <si>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</si>
  <si>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</si>
  <si>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</si>
  <si>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</si>
  <si>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</si>
  <si>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</si>
  <si>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</si>
  <si>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</si>
  <si>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</si>
  <si>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</si>
  <si>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</si>
  <si>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</si>
  <si>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</si>
  <si>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</si>
  <si>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</si>
  <si>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</si>
  <si>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</si>
  <si>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</si>
  <si>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</si>
  <si>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</si>
  <si>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</si>
  <si>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</si>
  <si>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</si>
  <si>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</si>
  <si>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</si>
  <si>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</si>
  <si>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</si>
  <si>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</si>
  <si>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</si>
  <si>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</si>
  <si>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</si>
  <si>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</si>
  <si>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</si>
  <si>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</si>
  <si>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</si>
  <si>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</si>
  <si>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</si>
  <si>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</si>
  <si>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</si>
  <si>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</si>
  <si>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</si>
  <si>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</si>
  <si>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</si>
  <si>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</si>
  <si>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</si>
  <si>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</si>
  <si>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</si>
  <si>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</si>
  <si>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</si>
  <si>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</si>
  <si>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</si>
  <si>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</si>
  <si>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</si>
  <si>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</si>
  <si>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</si>
  <si>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</si>
  <si>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</si>
  <si>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</si>
  <si>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</si>
  <si>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</si>
  <si>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</si>
  <si>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</si>
  <si>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</si>
  <si>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</si>
  <si>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</si>
  <si>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</si>
  <si>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</si>
  <si>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</si>
  <si>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</si>
  <si>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</si>
  <si>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</si>
  <si>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</si>
  <si>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</si>
  <si>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</si>
  <si>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</si>
  <si>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</si>
  <si>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</si>
  <si>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</si>
  <si>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</si>
  <si>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</si>
  <si>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</si>
  <si>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</si>
  <si>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</si>
  <si>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</si>
  <si>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</si>
  <si>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</si>
  <si>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</si>
  <si>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</si>
  <si>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</si>
  <si>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</si>
  <si>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</si>
  <si>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</si>
  <si>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</si>
  <si>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</si>
  <si>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</si>
  <si>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</si>
  <si>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</si>
  <si>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</si>
  <si>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</si>
  <si>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</si>
  <si>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</si>
  <si>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</si>
  <si>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</si>
  <si>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</si>
  <si>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St. Louis</t>
  </si>
  <si>
    <t>Cincinnati</t>
  </si>
  <si>
    <t>Philadelphia</t>
  </si>
  <si>
    <t>Boston</t>
  </si>
  <si>
    <t>Richmond</t>
  </si>
  <si>
    <t>Memphis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</si>
  <si>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</si>
  <si>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</si>
  <si>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</si>
  <si>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</si>
  <si>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</si>
  <si>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</si>
  <si>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</si>
  <si>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</si>
  <si>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</si>
  <si>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</si>
  <si>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Charleston</t>
  </si>
  <si>
    <t>Independence</t>
  </si>
  <si>
    <t>Baltimore</t>
  </si>
  <si>
    <t>Columbus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</si>
  <si>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</si>
  <si>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</si>
  <si>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</si>
  <si>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</si>
  <si>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</si>
  <si>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</si>
  <si>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</si>
  <si>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</si>
  <si>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</si>
  <si>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</si>
  <si>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</si>
  <si>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</si>
  <si>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</si>
  <si>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</si>
  <si>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</si>
  <si>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</si>
  <si>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</si>
  <si>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</si>
  <si>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</si>
  <si>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</si>
  <si>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</si>
  <si>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</si>
  <si>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</si>
  <si>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</si>
  <si>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</si>
  <si>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</si>
  <si>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</si>
  <si>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</si>
  <si>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Millewackie</t>
  </si>
  <si>
    <t>Mobile</t>
  </si>
  <si>
    <t>Pensacola</t>
  </si>
  <si>
    <t>Wichata</t>
  </si>
  <si>
    <t>New York City[1]</t>
  </si>
  <si>
    <t>Washington[2]</t>
  </si>
  <si>
    <t>Lille[13]</t>
  </si>
  <si>
    <t>Chattanooga</t>
  </si>
  <si>
    <t>Coatesbourg[14]</t>
  </si>
  <si>
    <t>Topequa</t>
  </si>
  <si>
    <t>Newark</t>
  </si>
  <si>
    <t>Savannah</t>
  </si>
  <si>
    <t>Covington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</si>
  <si>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</si>
  <si>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</si>
  <si>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</si>
  <si>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</si>
  <si>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</si>
  <si>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</si>
  <si>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</si>
  <si>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</si>
  <si>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</si>
  <si>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</si>
  <si>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</si>
  <si>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</si>
  <si>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</si>
  <si>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</si>
  <si>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</si>
  <si>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</si>
  <si>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</si>
  <si>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</si>
  <si>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</si>
  <si>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</si>
  <si>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</si>
  <si>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</si>
  <si>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</si>
  <si>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</si>
  <si>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</si>
  <si>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</si>
  <si>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</si>
  <si>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</si>
  <si>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</si>
  <si>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</si>
  <si>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</si>
  <si>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</si>
  <si>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</si>
  <si>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</si>
  <si>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</si>
  <si>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</si>
  <si>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</si>
  <si>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</si>
  <si>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</si>
  <si>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</si>
  <si>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</si>
  <si>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</si>
  <si>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</si>
  <si>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</si>
  <si>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</si>
  <si>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</si>
  <si>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</si>
  <si>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</si>
  <si>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</si>
  <si>
    <t>White</t>
  </si>
  <si>
    <t>Colored</t>
  </si>
  <si>
    <t>Asian</t>
  </si>
  <si>
    <t>Indigenous</t>
  </si>
  <si>
    <t>Maine</t>
  </si>
  <si>
    <t>Pembina</t>
  </si>
  <si>
    <t>Monaco</t>
  </si>
  <si>
    <t>Germany</t>
  </si>
  <si>
    <t>Austrian Empire[A 4]</t>
  </si>
  <si>
    <t>Kingdom of Prussia[A 6]</t>
  </si>
  <si>
    <t>Kingdom of Bavaria</t>
  </si>
  <si>
    <t>Kingdom of Hannover</t>
  </si>
  <si>
    <t>Kingdom of Württemberg</t>
  </si>
  <si>
    <t>Kingdom of Saxony</t>
  </si>
  <si>
    <t>Grand Duchy of Baden</t>
  </si>
  <si>
    <t>Grand Duchy of Hesse-Darmstadt</t>
  </si>
  <si>
    <t>Grand Duchy of Mecklenburg-Schwerin</t>
  </si>
  <si>
    <t>Grand Duchy of Mecklenburg-Strelitz</t>
  </si>
  <si>
    <t>Grand Duchy of Oldenburg</t>
  </si>
  <si>
    <t>Grand Duchy of Luxemburg (with the Duchy of Limburg)</t>
  </si>
  <si>
    <t>Grand Duchy of Saxe-Weimar</t>
  </si>
  <si>
    <t>Electoral Hesse</t>
  </si>
  <si>
    <t>Duchy of Anhalt-Dessau</t>
  </si>
  <si>
    <t>Duchy of Anhalt-Cöthen[A 7]</t>
  </si>
  <si>
    <t>Duchy of Anhalt-Bernburg[A 9]</t>
  </si>
  <si>
    <t>Duchy of Brunswick</t>
  </si>
  <si>
    <t>Duchies of Holstein and Saxe-Lauenburg[A 10]</t>
  </si>
  <si>
    <t>Duchy of Nassau</t>
  </si>
  <si>
    <t>Duchy of Saxe-Altenburg</t>
  </si>
  <si>
    <t>Duchy of Saxe-Coburg-Gotha[A 11]</t>
  </si>
  <si>
    <t>Duchy of Saxe-Hildburghausen[A 12]</t>
  </si>
  <si>
    <t>Duchy of Saxe-Meiningen</t>
  </si>
  <si>
    <t>Principality of Hohenzollern-Sigmaringen</t>
  </si>
  <si>
    <t>Principality of Hohenzollern-Hechingen</t>
  </si>
  <si>
    <t>Principality of Lippe-Detmold</t>
  </si>
  <si>
    <t>Principality of Schaumburg-Lippe</t>
  </si>
  <si>
    <t>Principality of Liechtenstein</t>
  </si>
  <si>
    <t>Principality of Reuß elder line</t>
  </si>
  <si>
    <t>Principality of Reuß younger line</t>
  </si>
  <si>
    <t>Principality of Schwarzburg-Rudolstadt</t>
  </si>
  <si>
    <t>Principality of Waldeck</t>
  </si>
  <si>
    <t>Principality of Schwarzburg-Sondershausen</t>
  </si>
  <si>
    <t>Landgraviate of Hessen-Homburg[A 15]</t>
  </si>
  <si>
    <t>Free City of Lübeck</t>
  </si>
  <si>
    <t>Free City of Hamburg</t>
  </si>
  <si>
    <t>Free City of Bremen</t>
  </si>
  <si>
    <t>Free City of Frankfurt</t>
  </si>
  <si>
    <t>HRE, 1792</t>
  </si>
  <si>
    <t>Burgenland</t>
  </si>
  <si>
    <t>Sopron</t>
  </si>
  <si>
    <t>Czech Republic</t>
  </si>
  <si>
    <t>Senica District</t>
  </si>
  <si>
    <t>Bratislava Region</t>
  </si>
  <si>
    <t>Borderlands</t>
  </si>
  <si>
    <t>Brandenburg</t>
  </si>
  <si>
    <t>Silesia</t>
  </si>
  <si>
    <t>Mecklenburg-Schwerin</t>
  </si>
  <si>
    <t>Mecklenburg-Strelitz</t>
  </si>
  <si>
    <t>TTL Prussia</t>
  </si>
  <si>
    <t>Vorarlberg</t>
  </si>
  <si>
    <t>OTL China (main law)</t>
  </si>
  <si>
    <t>Hong Kong</t>
  </si>
  <si>
    <t>Macau</t>
  </si>
  <si>
    <t>OTL China</t>
  </si>
  <si>
    <t>Kachin State</t>
  </si>
  <si>
    <t>Shan State</t>
  </si>
  <si>
    <t>Kayah State</t>
  </si>
  <si>
    <t>Annexed Burma</t>
  </si>
  <si>
    <t>Jewish AO</t>
  </si>
  <si>
    <t>Primorsky Krai</t>
  </si>
  <si>
    <t>Amur Oblast</t>
  </si>
  <si>
    <t>Kharabovsk Krai</t>
  </si>
  <si>
    <t>Okhotsky Krai</t>
  </si>
  <si>
    <t>Ayano-Maysky Krai</t>
  </si>
  <si>
    <t>South Kharabovsk Krai</t>
  </si>
  <si>
    <t>Outer Manchuria</t>
  </si>
  <si>
    <t>Mongolia</t>
  </si>
  <si>
    <t>Tannu Tuva</t>
  </si>
  <si>
    <t>Xinjiang</t>
  </si>
  <si>
    <t>Hami</t>
  </si>
  <si>
    <t>Changji Hui AP</t>
  </si>
  <si>
    <t>Uruqmi</t>
  </si>
  <si>
    <t>Wuijiaqu</t>
  </si>
  <si>
    <t>Kashgaria</t>
  </si>
  <si>
    <t>Tibet Autonomous Region</t>
  </si>
  <si>
    <t>Garze Tibetan AP</t>
  </si>
  <si>
    <t>Liangshan Yi AP</t>
  </si>
  <si>
    <t>Panzhihua</t>
  </si>
  <si>
    <t>Yushu Tibetan AP</t>
  </si>
  <si>
    <t>Golog Tibetan AP</t>
  </si>
  <si>
    <t>Golmud (part)</t>
  </si>
  <si>
    <t>Tibet</t>
  </si>
  <si>
    <t>Zabaykalsky Krai</t>
  </si>
  <si>
    <t>Buryatia</t>
  </si>
  <si>
    <t>Transbaikal</t>
  </si>
  <si>
    <t>OTL Mexico</t>
  </si>
  <si>
    <t>(-)Northern Mexico</t>
  </si>
  <si>
    <t>Mexico</t>
  </si>
  <si>
    <t>Yucatan State</t>
  </si>
  <si>
    <t>Campeche</t>
  </si>
  <si>
    <t>Quintana Roo</t>
  </si>
  <si>
    <t>(-)Yucatan</t>
  </si>
  <si>
    <t xml:space="preserve">North Island </t>
  </si>
  <si>
    <t xml:space="preserve">Great Barrier Island </t>
  </si>
  <si>
    <t xml:space="preserve">Waiheke Island </t>
  </si>
  <si>
    <t xml:space="preserve">Makatana Island </t>
  </si>
  <si>
    <t xml:space="preserve">Little Barrier Island </t>
  </si>
  <si>
    <t xml:space="preserve">Rangitoto Island </t>
  </si>
  <si>
    <t xml:space="preserve">Kapiti Island </t>
  </si>
  <si>
    <t xml:space="preserve">Kawau Island </t>
  </si>
  <si>
    <t xml:space="preserve">Ponui Island </t>
  </si>
  <si>
    <t xml:space="preserve">Great Mercury Island </t>
  </si>
  <si>
    <t xml:space="preserve">Motutapu Island </t>
  </si>
  <si>
    <t xml:space="preserve">Mayor Island </t>
  </si>
  <si>
    <t xml:space="preserve">Motiti Island </t>
  </si>
  <si>
    <t>Small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</si>
</sst>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43" fontId="0" fillId="2" borderId="0" xfId="0" applyNumberFormat="1" applyFill="1"/>
    <xf numFmtId="164" fontId="0" fillId="2" borderId="0" xfId="0" applyNumberFormat="1" applyFill="1"/>
    <xf numFmtId="164" fontId="0" fillId="2" borderId="0" xfId="1" applyNumberFormat="1" applyFon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4" fontId="0" fillId="0" borderId="1" xfId="0" applyNumberFormat="1" applyBorder="1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3"/>
  <sheetViews>
    <sheetView workbookViewId="0">
      <selection activeCell="C20" sqref="C20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34" t="s">
        <v>19</v>
      </c>
      <c r="B1" s="34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258</v>
      </c>
      <c r="B6">
        <v>2.08</v>
      </c>
      <c r="C6">
        <v>2.08</v>
      </c>
    </row>
    <row r="7" spans="1:11" x14ac:dyDescent="0.55000000000000004">
      <c r="A7" t="s">
        <v>75</v>
      </c>
      <c r="B7" s="1">
        <v>2148</v>
      </c>
      <c r="C7" s="1">
        <v>2210</v>
      </c>
    </row>
    <row r="8" spans="1:11" x14ac:dyDescent="0.55000000000000004">
      <c r="E8" t="s">
        <v>5</v>
      </c>
      <c r="F8" s="1">
        <v>2570</v>
      </c>
      <c r="G8" s="1">
        <v>2570</v>
      </c>
    </row>
    <row r="9" spans="1:11" x14ac:dyDescent="0.55000000000000004">
      <c r="F9" s="1"/>
      <c r="G9" s="1"/>
      <c r="I9" t="s">
        <v>39</v>
      </c>
      <c r="J9">
        <v>626.79999999999995</v>
      </c>
      <c r="K9">
        <v>626.79999999999995</v>
      </c>
    </row>
    <row r="10" spans="1:11" x14ac:dyDescent="0.55000000000000004">
      <c r="F10" s="1"/>
      <c r="G10" s="1"/>
      <c r="I10" t="s">
        <v>40</v>
      </c>
      <c r="J10">
        <v>642.37</v>
      </c>
      <c r="K10">
        <v>642.37</v>
      </c>
    </row>
    <row r="11" spans="1:11" x14ac:dyDescent="0.55000000000000004">
      <c r="F11" s="1"/>
      <c r="G11" s="1"/>
      <c r="I11" t="s">
        <v>41</v>
      </c>
      <c r="J11">
        <v>989.05</v>
      </c>
      <c r="K11">
        <v>989.05</v>
      </c>
    </row>
    <row r="12" spans="1:11" x14ac:dyDescent="0.55000000000000004">
      <c r="F12" s="1"/>
      <c r="G12" s="1"/>
      <c r="I12" t="s">
        <v>42</v>
      </c>
      <c r="J12">
        <v>782.18</v>
      </c>
      <c r="K12">
        <v>782.18</v>
      </c>
    </row>
    <row r="13" spans="1:11" x14ac:dyDescent="0.55000000000000004">
      <c r="F13" s="1"/>
      <c r="G13" s="1"/>
      <c r="I13" t="s">
        <v>43</v>
      </c>
      <c r="J13">
        <v>24.12</v>
      </c>
      <c r="K13">
        <v>24.12</v>
      </c>
    </row>
    <row r="14" spans="1:11" x14ac:dyDescent="0.55000000000000004">
      <c r="F14" s="1"/>
      <c r="G14" s="1"/>
      <c r="I14" t="s">
        <v>44</v>
      </c>
      <c r="J14">
        <v>26.34</v>
      </c>
      <c r="K14">
        <v>26.34</v>
      </c>
    </row>
    <row r="15" spans="1:11" x14ac:dyDescent="0.55000000000000004">
      <c r="F15" s="1"/>
      <c r="G15" s="1"/>
      <c r="I15" s="3" t="s">
        <v>45</v>
      </c>
      <c r="J15" s="3">
        <f>(1/4)*105.25</f>
        <v>26.3125</v>
      </c>
      <c r="K15" s="3">
        <f>(1/4)*105.25</f>
        <v>26.3125</v>
      </c>
    </row>
    <row r="16" spans="1:11" x14ac:dyDescent="0.55000000000000004">
      <c r="E16" t="s">
        <v>6</v>
      </c>
      <c r="F16" s="8">
        <f>19854.21-SUM(J9:J15)</f>
        <v>16737.037499999999</v>
      </c>
      <c r="G16" s="8">
        <f>19854.21-SUM(K9:K15)</f>
        <v>16737.037499999999</v>
      </c>
    </row>
    <row r="17" spans="1:11" x14ac:dyDescent="0.55000000000000004">
      <c r="F17" s="8"/>
      <c r="G17" s="8"/>
      <c r="I17" t="s">
        <v>46</v>
      </c>
      <c r="J17">
        <f>0.5*5289.81</f>
        <v>2644.9050000000002</v>
      </c>
      <c r="K17">
        <f>0.5*5289.81</f>
        <v>2644.9050000000002</v>
      </c>
    </row>
    <row r="18" spans="1:11" x14ac:dyDescent="0.55000000000000004">
      <c r="F18" s="8"/>
      <c r="G18" s="8"/>
      <c r="I18" t="s">
        <v>47</v>
      </c>
      <c r="J18">
        <f>0.6*7364.71</f>
        <v>4418.826</v>
      </c>
      <c r="K18">
        <f>0.6*7364.71</f>
        <v>4418.826</v>
      </c>
    </row>
    <row r="19" spans="1:11" x14ac:dyDescent="0.55000000000000004">
      <c r="E19" s="3" t="s">
        <v>8</v>
      </c>
      <c r="F19" s="3">
        <f>SUM(J17:J18)</f>
        <v>7063.7309999999998</v>
      </c>
      <c r="G19" s="3">
        <f>SUM(K17:K18)</f>
        <v>7063.7309999999998</v>
      </c>
    </row>
    <row r="20" spans="1:11" x14ac:dyDescent="0.55000000000000004">
      <c r="A20" t="s">
        <v>3</v>
      </c>
      <c r="B20" s="1">
        <f>SUM(F8:F19)</f>
        <v>26370.768499999998</v>
      </c>
      <c r="C20" s="1">
        <f>SUM(G8:G19)</f>
        <v>26370.768499999998</v>
      </c>
    </row>
    <row r="21" spans="1:11" x14ac:dyDescent="0.55000000000000004">
      <c r="E21" t="s">
        <v>9</v>
      </c>
      <c r="F21">
        <v>282.49</v>
      </c>
      <c r="G21">
        <v>282.49</v>
      </c>
    </row>
    <row r="22" spans="1:11" x14ac:dyDescent="0.55000000000000004">
      <c r="E22" t="s">
        <v>10</v>
      </c>
      <c r="F22" s="2">
        <v>3211.94</v>
      </c>
      <c r="G22" s="2">
        <v>3211.94</v>
      </c>
    </row>
    <row r="23" spans="1:11" x14ac:dyDescent="0.55000000000000004">
      <c r="E23" t="s">
        <v>11</v>
      </c>
      <c r="F23" s="2">
        <v>5224.49</v>
      </c>
      <c r="G23" s="2">
        <v>5224.49</v>
      </c>
    </row>
    <row r="24" spans="1:11" x14ac:dyDescent="0.55000000000000004">
      <c r="E24" t="s">
        <v>12</v>
      </c>
      <c r="F24" s="2">
        <v>1671.42</v>
      </c>
      <c r="G24" s="2">
        <v>1671.42</v>
      </c>
    </row>
    <row r="25" spans="1:11" x14ac:dyDescent="0.55000000000000004">
      <c r="E25" t="s">
        <v>13</v>
      </c>
      <c r="F25" s="2">
        <v>802.24</v>
      </c>
      <c r="G25" s="2">
        <v>802.24</v>
      </c>
    </row>
    <row r="26" spans="1:11" x14ac:dyDescent="0.55000000000000004">
      <c r="E26" t="s">
        <v>14</v>
      </c>
      <c r="F26" s="2">
        <v>838.51</v>
      </c>
      <c r="G26" s="2">
        <v>838.51</v>
      </c>
    </row>
    <row r="27" spans="1:11" x14ac:dyDescent="0.55000000000000004">
      <c r="E27" t="s">
        <v>15</v>
      </c>
      <c r="F27" s="2">
        <v>541</v>
      </c>
      <c r="G27" s="2">
        <v>541</v>
      </c>
    </row>
    <row r="28" spans="1:11" x14ac:dyDescent="0.55000000000000004">
      <c r="E28" t="s">
        <v>16</v>
      </c>
      <c r="F28" s="2">
        <v>89.55</v>
      </c>
      <c r="G28" s="2">
        <v>89.55</v>
      </c>
    </row>
    <row r="29" spans="1:11" x14ac:dyDescent="0.55000000000000004">
      <c r="E29" s="3" t="s">
        <v>17</v>
      </c>
      <c r="F29" s="3">
        <f>16.34+5.29+8.56+7.5+1.69+2.65</f>
        <v>42.029999999999994</v>
      </c>
      <c r="G29" s="3">
        <f>16.34+5.29+8.56+7.5+1.69+2.65</f>
        <v>42.029999999999994</v>
      </c>
    </row>
    <row r="30" spans="1:11" x14ac:dyDescent="0.55000000000000004">
      <c r="A30" s="3" t="s">
        <v>7</v>
      </c>
      <c r="B30" s="3">
        <f>SUM(F21:F29)</f>
        <v>12703.67</v>
      </c>
      <c r="C30" s="3">
        <f>SUM(G21:G29)</f>
        <v>12703.67</v>
      </c>
    </row>
    <row r="31" spans="1:11" ht="14.7" thickBot="1" x14ac:dyDescent="0.6">
      <c r="A31" s="4" t="s">
        <v>18</v>
      </c>
      <c r="B31" s="5">
        <f>SUM(B2:B30)</f>
        <v>625043.91850000003</v>
      </c>
      <c r="C31" s="5">
        <f>SUM(C2:C30)</f>
        <v>627132.71850000008</v>
      </c>
    </row>
    <row r="32" spans="1:11" ht="14.7" thickTop="1" x14ac:dyDescent="0.55000000000000004">
      <c r="E32" t="s">
        <v>20</v>
      </c>
      <c r="F32">
        <v>242</v>
      </c>
      <c r="G32">
        <v>242</v>
      </c>
    </row>
    <row r="33" spans="1:7" x14ac:dyDescent="0.55000000000000004">
      <c r="E33" s="3" t="s">
        <v>76</v>
      </c>
      <c r="F33" s="3">
        <v>500</v>
      </c>
      <c r="G33" s="3">
        <v>500</v>
      </c>
    </row>
    <row r="34" spans="1:7" x14ac:dyDescent="0.55000000000000004">
      <c r="A34" s="3" t="s">
        <v>21</v>
      </c>
      <c r="B34" s="3">
        <f>SUM(F32:F33)</f>
        <v>742</v>
      </c>
      <c r="C34" s="3">
        <f>SUM(G32:G33)</f>
        <v>742</v>
      </c>
    </row>
    <row r="35" spans="1:7" ht="14.7" thickBot="1" x14ac:dyDescent="0.6">
      <c r="A35" s="4" t="s">
        <v>22</v>
      </c>
      <c r="B35" s="5">
        <f>SUM(B31:B34)</f>
        <v>625785.91850000003</v>
      </c>
      <c r="C35" s="5">
        <f>SUM(C31:C34)</f>
        <v>627874.71850000008</v>
      </c>
    </row>
    <row r="36" spans="1:7" ht="14.7" thickTop="1" x14ac:dyDescent="0.55000000000000004"/>
    <row r="37" spans="1:7" x14ac:dyDescent="0.55000000000000004">
      <c r="A37" t="s">
        <v>63</v>
      </c>
      <c r="B37" s="11">
        <v>131324241</v>
      </c>
    </row>
    <row r="39" spans="1:7" x14ac:dyDescent="0.55000000000000004">
      <c r="A39" t="s">
        <v>64</v>
      </c>
      <c r="B39" s="12">
        <f>$B$37/B35</f>
        <v>209.85489944353867</v>
      </c>
      <c r="C39" s="12">
        <f>$B$37/C35</f>
        <v>209.15675871411915</v>
      </c>
    </row>
    <row r="41" spans="1:7" x14ac:dyDescent="0.55000000000000004">
      <c r="A41" t="s">
        <v>72</v>
      </c>
      <c r="B41" t="s">
        <v>73</v>
      </c>
      <c r="C41" t="s">
        <v>63</v>
      </c>
    </row>
    <row r="42" spans="1:7" x14ac:dyDescent="0.55000000000000004">
      <c r="A42" t="s">
        <v>222</v>
      </c>
      <c r="B42" s="14">
        <f>1-SUM(B43:B50)</f>
        <v>0.36399999999999999</v>
      </c>
      <c r="C42" s="15">
        <f t="shared" ref="C42:C51" si="0">B$37*B42</f>
        <v>47802023.723999999</v>
      </c>
    </row>
    <row r="43" spans="1:7" x14ac:dyDescent="0.55000000000000004">
      <c r="A43" t="s">
        <v>74</v>
      </c>
      <c r="B43" s="13">
        <v>0.159</v>
      </c>
      <c r="C43" s="15">
        <f t="shared" si="0"/>
        <v>20880554.319000002</v>
      </c>
    </row>
    <row r="44" spans="1:7" x14ac:dyDescent="0.55000000000000004">
      <c r="A44" t="s">
        <v>70</v>
      </c>
      <c r="B44" s="13">
        <v>0.106</v>
      </c>
      <c r="C44" s="15">
        <f t="shared" si="0"/>
        <v>13920369.546</v>
      </c>
    </row>
    <row r="45" spans="1:7" x14ac:dyDescent="0.55000000000000004">
      <c r="A45" t="s">
        <v>71</v>
      </c>
      <c r="B45" s="13">
        <v>8.7999999999999995E-2</v>
      </c>
      <c r="C45" s="15">
        <f t="shared" si="0"/>
        <v>11556533.207999999</v>
      </c>
    </row>
    <row r="46" spans="1:7" x14ac:dyDescent="0.55000000000000004">
      <c r="A46" t="s">
        <v>69</v>
      </c>
      <c r="B46" s="13">
        <v>5.1999999999999998E-2</v>
      </c>
      <c r="C46" s="15">
        <f t="shared" si="0"/>
        <v>6828860.5319999997</v>
      </c>
    </row>
    <row r="47" spans="1:7" x14ac:dyDescent="0.55000000000000004">
      <c r="A47" t="s">
        <v>68</v>
      </c>
      <c r="B47" s="13">
        <v>3.1E-2</v>
      </c>
      <c r="C47" s="15">
        <f t="shared" si="0"/>
        <v>4071051.4709999999</v>
      </c>
    </row>
    <row r="48" spans="1:7" x14ac:dyDescent="0.55000000000000004">
      <c r="A48" t="s">
        <v>67</v>
      </c>
      <c r="B48" s="13">
        <v>0.13100000000000001</v>
      </c>
      <c r="C48" s="15">
        <f t="shared" si="0"/>
        <v>17203475.571000002</v>
      </c>
      <c r="G48" s="13"/>
    </row>
    <row r="49" spans="1:3" x14ac:dyDescent="0.55000000000000004">
      <c r="A49" t="s">
        <v>66</v>
      </c>
      <c r="B49" s="13">
        <v>4.8000000000000001E-2</v>
      </c>
      <c r="C49" s="15">
        <f t="shared" si="0"/>
        <v>6303563.568</v>
      </c>
    </row>
    <row r="50" spans="1:3" x14ac:dyDescent="0.55000000000000004">
      <c r="A50" t="s">
        <v>65</v>
      </c>
      <c r="B50" s="13">
        <v>2.1000000000000001E-2</v>
      </c>
      <c r="C50" s="15">
        <f t="shared" si="0"/>
        <v>2757809.0610000002</v>
      </c>
    </row>
    <row r="51" spans="1:3" x14ac:dyDescent="0.55000000000000004">
      <c r="A51" t="s">
        <v>22</v>
      </c>
      <c r="B51" s="16">
        <v>1</v>
      </c>
      <c r="C51" s="15">
        <f t="shared" si="0"/>
        <v>131324241</v>
      </c>
    </row>
    <row r="56" spans="1:3" x14ac:dyDescent="0.55000000000000004">
      <c r="A56" s="34" t="s">
        <v>70</v>
      </c>
      <c r="B56" s="34"/>
      <c r="C56" s="34"/>
    </row>
    <row r="57" spans="1:3" x14ac:dyDescent="0.55000000000000004">
      <c r="A57" t="s">
        <v>72</v>
      </c>
      <c r="B57" t="s">
        <v>73</v>
      </c>
      <c r="C57" t="s">
        <v>63</v>
      </c>
    </row>
    <row r="58" spans="1:3" x14ac:dyDescent="0.55000000000000004">
      <c r="A58" t="s">
        <v>223</v>
      </c>
      <c r="B58" s="13">
        <v>0.43099999999999999</v>
      </c>
      <c r="C58" s="15">
        <f>B58*$C$63</f>
        <v>5999679.2743260004</v>
      </c>
    </row>
    <row r="59" spans="1:3" x14ac:dyDescent="0.55000000000000004">
      <c r="A59" t="s">
        <v>224</v>
      </c>
      <c r="B59" s="13">
        <f>1-(B58+SUM(B60:B62))</f>
        <v>0.373</v>
      </c>
      <c r="C59" s="15">
        <f>B59*$C$63</f>
        <v>5192297.8406579997</v>
      </c>
    </row>
    <row r="60" spans="1:3" x14ac:dyDescent="0.55000000000000004">
      <c r="A60" t="s">
        <v>225</v>
      </c>
      <c r="B60" s="13">
        <v>7.5999999999999998E-2</v>
      </c>
      <c r="C60" s="15">
        <f>B60*$C$63</f>
        <v>1057948.085496</v>
      </c>
    </row>
    <row r="61" spans="1:3" x14ac:dyDescent="0.55000000000000004">
      <c r="A61" t="s">
        <v>226</v>
      </c>
      <c r="B61" s="13">
        <v>5.8999999999999997E-2</v>
      </c>
      <c r="C61" s="15">
        <f>B61*$C$63</f>
        <v>821301.80321399996</v>
      </c>
    </row>
    <row r="62" spans="1:3" x14ac:dyDescent="0.55000000000000004">
      <c r="A62" t="s">
        <v>65</v>
      </c>
      <c r="B62" s="13">
        <v>6.0999999999999999E-2</v>
      </c>
      <c r="C62" s="15">
        <f>B62*$C$63</f>
        <v>849142.54230600002</v>
      </c>
    </row>
    <row r="63" spans="1:3" x14ac:dyDescent="0.55000000000000004">
      <c r="A63" t="s">
        <v>22</v>
      </c>
      <c r="B63" s="16">
        <v>1</v>
      </c>
      <c r="C63" s="15">
        <f>C44</f>
        <v>13920369.546</v>
      </c>
    </row>
  </sheetData>
  <mergeCells count="2">
    <mergeCell ref="A1:B1"/>
    <mergeCell ref="A56:C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E66-4F89-499D-9375-26CD135EE34F}">
  <dimension ref="A1:F55"/>
  <sheetViews>
    <sheetView topLeftCell="A34" workbookViewId="0">
      <selection activeCell="C44" sqref="C44"/>
    </sheetView>
  </sheetViews>
  <sheetFormatPr defaultRowHeight="14.4" x14ac:dyDescent="0.55000000000000004"/>
  <cols>
    <col min="2" max="2" width="8.83984375" customWidth="1"/>
    <col min="3" max="3" width="8.9453125" customWidth="1"/>
  </cols>
  <sheetData>
    <row r="1" spans="1:6" x14ac:dyDescent="0.55000000000000004">
      <c r="A1" t="s">
        <v>259</v>
      </c>
    </row>
    <row r="2" spans="1:6" x14ac:dyDescent="0.55000000000000004">
      <c r="E2" t="s">
        <v>260</v>
      </c>
      <c r="F2" s="1">
        <v>197573</v>
      </c>
    </row>
    <row r="3" spans="1:6" x14ac:dyDescent="0.55000000000000004">
      <c r="E3" t="s">
        <v>261</v>
      </c>
      <c r="F3" s="1">
        <v>185496</v>
      </c>
    </row>
    <row r="4" spans="1:6" x14ac:dyDescent="0.55000000000000004">
      <c r="E4" t="s">
        <v>262</v>
      </c>
      <c r="F4" s="1">
        <v>76258</v>
      </c>
    </row>
    <row r="5" spans="1:6" x14ac:dyDescent="0.55000000000000004">
      <c r="E5" t="s">
        <v>263</v>
      </c>
      <c r="F5" s="1">
        <v>38452</v>
      </c>
    </row>
    <row r="6" spans="1:6" x14ac:dyDescent="0.55000000000000004">
      <c r="E6" t="s">
        <v>264</v>
      </c>
      <c r="F6" s="1">
        <v>19504</v>
      </c>
    </row>
    <row r="7" spans="1:6" x14ac:dyDescent="0.55000000000000004">
      <c r="E7" t="s">
        <v>265</v>
      </c>
      <c r="F7" s="1">
        <v>14993</v>
      </c>
    </row>
    <row r="8" spans="1:6" x14ac:dyDescent="0.55000000000000004">
      <c r="E8" t="s">
        <v>266</v>
      </c>
      <c r="F8" s="1">
        <v>15269</v>
      </c>
    </row>
    <row r="9" spans="1:6" x14ac:dyDescent="0.55000000000000004">
      <c r="E9" t="s">
        <v>267</v>
      </c>
      <c r="F9" s="1">
        <v>7680</v>
      </c>
    </row>
    <row r="10" spans="1:6" x14ac:dyDescent="0.55000000000000004">
      <c r="E10" t="s">
        <v>268</v>
      </c>
      <c r="F10" s="1">
        <v>13304</v>
      </c>
    </row>
    <row r="11" spans="1:6" x14ac:dyDescent="0.55000000000000004">
      <c r="E11" t="s">
        <v>269</v>
      </c>
      <c r="F11" s="1">
        <v>2929</v>
      </c>
    </row>
    <row r="12" spans="1:6" x14ac:dyDescent="0.55000000000000004">
      <c r="E12" t="s">
        <v>270</v>
      </c>
      <c r="F12" s="1">
        <v>6420</v>
      </c>
    </row>
    <row r="13" spans="1:6" x14ac:dyDescent="0.55000000000000004">
      <c r="E13" t="s">
        <v>271</v>
      </c>
      <c r="F13" s="1">
        <v>2586</v>
      </c>
    </row>
    <row r="14" spans="1:6" x14ac:dyDescent="0.55000000000000004">
      <c r="E14" t="s">
        <v>272</v>
      </c>
      <c r="F14" s="1">
        <v>3593</v>
      </c>
    </row>
    <row r="15" spans="1:6" x14ac:dyDescent="0.55000000000000004">
      <c r="E15" t="s">
        <v>273</v>
      </c>
      <c r="F15" s="1">
        <v>9581</v>
      </c>
    </row>
    <row r="16" spans="1:6" x14ac:dyDescent="0.55000000000000004">
      <c r="E16" t="s">
        <v>274</v>
      </c>
      <c r="F16">
        <v>840</v>
      </c>
    </row>
    <row r="17" spans="5:6" x14ac:dyDescent="0.55000000000000004">
      <c r="E17" t="s">
        <v>275</v>
      </c>
      <c r="F17">
        <v>727</v>
      </c>
    </row>
    <row r="18" spans="5:6" x14ac:dyDescent="0.55000000000000004">
      <c r="E18" t="s">
        <v>276</v>
      </c>
      <c r="F18">
        <v>780</v>
      </c>
    </row>
    <row r="19" spans="5:6" x14ac:dyDescent="0.55000000000000004">
      <c r="E19" t="s">
        <v>277</v>
      </c>
      <c r="F19" s="1">
        <v>3690</v>
      </c>
    </row>
    <row r="20" spans="5:6" x14ac:dyDescent="0.55000000000000004">
      <c r="E20" t="s">
        <v>278</v>
      </c>
      <c r="F20" s="1">
        <v>9580</v>
      </c>
    </row>
    <row r="21" spans="5:6" x14ac:dyDescent="0.55000000000000004">
      <c r="E21" t="s">
        <v>279</v>
      </c>
      <c r="F21" s="1">
        <v>4700</v>
      </c>
    </row>
    <row r="22" spans="5:6" x14ac:dyDescent="0.55000000000000004">
      <c r="E22" t="s">
        <v>280</v>
      </c>
      <c r="F22" s="1">
        <v>1287</v>
      </c>
    </row>
    <row r="23" spans="5:6" x14ac:dyDescent="0.55000000000000004">
      <c r="E23" t="s">
        <v>281</v>
      </c>
      <c r="F23" s="1">
        <v>2688</v>
      </c>
    </row>
    <row r="24" spans="5:6" x14ac:dyDescent="0.55000000000000004">
      <c r="E24" t="s">
        <v>282</v>
      </c>
      <c r="F24">
        <v>0</v>
      </c>
    </row>
    <row r="25" spans="5:6" x14ac:dyDescent="0.55000000000000004">
      <c r="E25" t="s">
        <v>283</v>
      </c>
      <c r="F25" s="1">
        <v>2293</v>
      </c>
    </row>
    <row r="26" spans="5:6" x14ac:dyDescent="0.55000000000000004">
      <c r="E26" t="s">
        <v>284</v>
      </c>
      <c r="F26">
        <v>906</v>
      </c>
    </row>
    <row r="27" spans="5:6" x14ac:dyDescent="0.55000000000000004">
      <c r="E27" t="s">
        <v>285</v>
      </c>
      <c r="F27">
        <v>236</v>
      </c>
    </row>
    <row r="28" spans="5:6" x14ac:dyDescent="0.55000000000000004">
      <c r="E28" t="s">
        <v>286</v>
      </c>
      <c r="F28" s="1">
        <v>1133</v>
      </c>
    </row>
    <row r="29" spans="5:6" x14ac:dyDescent="0.55000000000000004">
      <c r="E29" t="s">
        <v>287</v>
      </c>
      <c r="F29">
        <v>536</v>
      </c>
    </row>
    <row r="30" spans="5:6" x14ac:dyDescent="0.55000000000000004">
      <c r="E30" t="s">
        <v>288</v>
      </c>
      <c r="F30">
        <v>159</v>
      </c>
    </row>
    <row r="31" spans="5:6" x14ac:dyDescent="0.55000000000000004">
      <c r="E31" t="s">
        <v>289</v>
      </c>
      <c r="F31">
        <v>316</v>
      </c>
    </row>
    <row r="32" spans="5:6" x14ac:dyDescent="0.55000000000000004">
      <c r="E32" t="s">
        <v>290</v>
      </c>
      <c r="F32">
        <v>826</v>
      </c>
    </row>
    <row r="33" spans="1:6" x14ac:dyDescent="0.55000000000000004">
      <c r="E33" t="s">
        <v>291</v>
      </c>
      <c r="F33">
        <v>940</v>
      </c>
    </row>
    <row r="34" spans="1:6" x14ac:dyDescent="0.55000000000000004">
      <c r="E34" t="s">
        <v>292</v>
      </c>
      <c r="F34" s="1">
        <v>1121</v>
      </c>
    </row>
    <row r="35" spans="1:6" x14ac:dyDescent="0.55000000000000004">
      <c r="E35" t="s">
        <v>293</v>
      </c>
      <c r="F35">
        <v>862</v>
      </c>
    </row>
    <row r="36" spans="1:6" x14ac:dyDescent="0.55000000000000004">
      <c r="E36" t="s">
        <v>294</v>
      </c>
      <c r="F36">
        <v>275</v>
      </c>
    </row>
    <row r="37" spans="1:6" x14ac:dyDescent="0.55000000000000004">
      <c r="E37" t="s">
        <v>295</v>
      </c>
      <c r="F37">
        <v>298</v>
      </c>
    </row>
    <row r="38" spans="1:6" x14ac:dyDescent="0.55000000000000004">
      <c r="E38" t="s">
        <v>296</v>
      </c>
      <c r="F38">
        <v>410</v>
      </c>
    </row>
    <row r="39" spans="1:6" x14ac:dyDescent="0.55000000000000004">
      <c r="E39" t="s">
        <v>297</v>
      </c>
      <c r="F39">
        <v>256</v>
      </c>
    </row>
    <row r="40" spans="1:6" x14ac:dyDescent="0.55000000000000004">
      <c r="E40" s="3" t="s">
        <v>298</v>
      </c>
      <c r="F40" s="3">
        <v>101</v>
      </c>
    </row>
    <row r="41" spans="1:6" x14ac:dyDescent="0.55000000000000004">
      <c r="A41" t="s">
        <v>299</v>
      </c>
      <c r="B41" s="1">
        <f>SUM(F2:F40)</f>
        <v>628598</v>
      </c>
      <c r="C41" s="1">
        <f>SUM(F2:F40)</f>
        <v>628598</v>
      </c>
      <c r="F41" s="1"/>
    </row>
    <row r="42" spans="1:6" x14ac:dyDescent="0.55000000000000004">
      <c r="A42" t="s">
        <v>3</v>
      </c>
      <c r="B42" s="11">
        <f>-(france!B20)</f>
        <v>-26370.768499999998</v>
      </c>
      <c r="C42" s="11">
        <f>-(france!C20)</f>
        <v>-26370.768499999998</v>
      </c>
    </row>
    <row r="43" spans="1:6" x14ac:dyDescent="0.55000000000000004">
      <c r="A43" t="s">
        <v>311</v>
      </c>
      <c r="B43" s="11">
        <v>2533.84</v>
      </c>
      <c r="C43" s="11">
        <v>2533.84</v>
      </c>
    </row>
    <row r="44" spans="1:6" x14ac:dyDescent="0.55000000000000004">
      <c r="A44" t="s">
        <v>302</v>
      </c>
      <c r="B44" s="1">
        <v>-78871</v>
      </c>
      <c r="C44" s="1">
        <v>-78871</v>
      </c>
    </row>
    <row r="45" spans="1:6" x14ac:dyDescent="0.55000000000000004">
      <c r="E45" t="s">
        <v>300</v>
      </c>
      <c r="F45" s="1">
        <v>3680</v>
      </c>
    </row>
    <row r="46" spans="1:6" x14ac:dyDescent="0.55000000000000004">
      <c r="E46" t="s">
        <v>301</v>
      </c>
      <c r="F46">
        <f>1.5*169.04</f>
        <v>253.56</v>
      </c>
    </row>
    <row r="47" spans="1:6" x14ac:dyDescent="0.55000000000000004">
      <c r="E47" t="s">
        <v>304</v>
      </c>
      <c r="F47" s="1">
        <v>2053</v>
      </c>
    </row>
    <row r="48" spans="1:6" x14ac:dyDescent="0.55000000000000004">
      <c r="E48" s="3" t="s">
        <v>303</v>
      </c>
      <c r="F48" s="3">
        <v>684</v>
      </c>
    </row>
    <row r="49" spans="1:6" x14ac:dyDescent="0.55000000000000004">
      <c r="A49" t="s">
        <v>305</v>
      </c>
      <c r="B49" s="1">
        <f>SUM(F45:F48)</f>
        <v>6670.5599999999995</v>
      </c>
      <c r="C49" s="1">
        <f>SUM(F45:F48)</f>
        <v>6670.5599999999995</v>
      </c>
    </row>
    <row r="50" spans="1:6" x14ac:dyDescent="0.55000000000000004">
      <c r="E50" t="s">
        <v>306</v>
      </c>
      <c r="F50">
        <f>734.14*2.58999</f>
        <v>1901.4152585999998</v>
      </c>
    </row>
    <row r="51" spans="1:6" x14ac:dyDescent="0.55000000000000004">
      <c r="E51" t="s">
        <v>307</v>
      </c>
      <c r="F51">
        <f>741.74*2.58999</f>
        <v>1921.0991825999999</v>
      </c>
    </row>
    <row r="52" spans="1:6" x14ac:dyDescent="0.55000000000000004">
      <c r="E52" t="s">
        <v>308</v>
      </c>
      <c r="F52" s="1">
        <f>13161*2.58999</f>
        <v>34086.858389999994</v>
      </c>
    </row>
    <row r="53" spans="1:6" x14ac:dyDescent="0.55000000000000004">
      <c r="E53" s="3" t="s">
        <v>309</v>
      </c>
      <c r="F53" s="3">
        <f>2929*2.58999</f>
        <v>7586.0807099999993</v>
      </c>
    </row>
    <row r="54" spans="1:6" x14ac:dyDescent="0.55000000000000004">
      <c r="A54" s="3" t="s">
        <v>310</v>
      </c>
      <c r="B54" s="10">
        <f>-SUM(F50:F53)</f>
        <v>-45495.453541199997</v>
      </c>
      <c r="C54" s="10">
        <f>-SUM(F50:F53)</f>
        <v>-45495.453541199997</v>
      </c>
    </row>
    <row r="55" spans="1:6" x14ac:dyDescent="0.55000000000000004">
      <c r="A55" t="s">
        <v>22</v>
      </c>
      <c r="B55" s="11">
        <f>SUM(B2:B54)</f>
        <v>487065.17795879999</v>
      </c>
      <c r="C55" s="11">
        <f>SUM(B2:B54)</f>
        <v>487065.17795879999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220</v>
      </c>
      <c r="B1" s="1">
        <v>41865</v>
      </c>
    </row>
    <row r="2" spans="1:5" x14ac:dyDescent="0.55000000000000004">
      <c r="A2" t="s">
        <v>221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france!C7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N202"/>
  <sheetViews>
    <sheetView topLeftCell="A84" zoomScale="93" workbookViewId="0">
      <selection activeCell="C52" sqref="C52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1" ht="14.7" thickTop="1" x14ac:dyDescent="0.55000000000000004"/>
    <row r="34" spans="1:11" x14ac:dyDescent="0.55000000000000004">
      <c r="A34" t="s">
        <v>123</v>
      </c>
      <c r="B34" s="12">
        <f>C84^(1/3)</f>
        <v>663.58850368785534</v>
      </c>
    </row>
    <row r="35" spans="1:11" x14ac:dyDescent="0.55000000000000004">
      <c r="A35" t="s">
        <v>118</v>
      </c>
      <c r="B35">
        <v>706</v>
      </c>
    </row>
    <row r="36" spans="1:11" x14ac:dyDescent="0.55000000000000004">
      <c r="A36" t="s">
        <v>119</v>
      </c>
      <c r="B36" s="15">
        <f>C84/B35</f>
        <v>413896.60056657222</v>
      </c>
    </row>
    <row r="37" spans="1:11" x14ac:dyDescent="0.55000000000000004">
      <c r="A37" t="s">
        <v>117</v>
      </c>
      <c r="B37" s="15">
        <f>B36+C37</f>
        <v>415896.60056657222</v>
      </c>
      <c r="C37">
        <v>2000</v>
      </c>
    </row>
    <row r="39" spans="1:11" x14ac:dyDescent="0.55000000000000004">
      <c r="A39" t="s">
        <v>124</v>
      </c>
      <c r="E39" t="s">
        <v>116</v>
      </c>
      <c r="K39" t="s">
        <v>164</v>
      </c>
    </row>
    <row r="40" spans="1:11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1" x14ac:dyDescent="0.55000000000000004">
      <c r="A41" s="20">
        <v>1</v>
      </c>
      <c r="B41" s="20" t="s">
        <v>77</v>
      </c>
      <c r="C41" s="21">
        <v>1519000</v>
      </c>
      <c r="D41" s="21"/>
      <c r="E41" s="22">
        <f t="shared" ref="E41:E82" si="0">C41/$B$37</f>
        <v>3.6523501224359127</v>
      </c>
      <c r="F41" s="23">
        <f t="shared" ref="F41:F83" si="1">FLOOR(E41,1)</f>
        <v>3</v>
      </c>
      <c r="G41" s="20">
        <f>SQRT(F41*(F41+1))</f>
        <v>3.4641016151377544</v>
      </c>
      <c r="H41" s="20">
        <f t="shared" ref="H41:H83" si="2">IF(E41&gt;G41,CEILING(E41,1),FLOOR(E41,1))</f>
        <v>4</v>
      </c>
      <c r="I41" s="20"/>
      <c r="J41" s="20"/>
      <c r="K41" s="21">
        <f>E151*0.075</f>
        <v>527850</v>
      </c>
    </row>
    <row r="42" spans="1:11" x14ac:dyDescent="0.55000000000000004">
      <c r="A42">
        <v>2</v>
      </c>
      <c r="B42" t="s">
        <v>78</v>
      </c>
      <c r="C42" s="1">
        <v>14134000</v>
      </c>
      <c r="D42" s="1"/>
      <c r="E42" s="12">
        <f t="shared" si="0"/>
        <v>33.984408578347065</v>
      </c>
      <c r="F42" s="15">
        <f t="shared" si="1"/>
        <v>33</v>
      </c>
      <c r="G42">
        <f t="shared" ref="G42:G83" si="3">SQRT(F42*(F42+1))</f>
        <v>33.496268448888451</v>
      </c>
      <c r="H42">
        <f t="shared" si="2"/>
        <v>34</v>
      </c>
      <c r="K42" s="11">
        <f>E151*0.75+E165*0.8</f>
        <v>8036100</v>
      </c>
    </row>
    <row r="43" spans="1:11" x14ac:dyDescent="0.55000000000000004">
      <c r="A43" s="20">
        <v>3</v>
      </c>
      <c r="B43" s="20" t="s">
        <v>79</v>
      </c>
      <c r="C43" s="21">
        <v>9737000</v>
      </c>
      <c r="D43" s="21"/>
      <c r="E43" s="22">
        <f t="shared" si="0"/>
        <v>23.412069218010853</v>
      </c>
      <c r="F43" s="23">
        <f t="shared" si="1"/>
        <v>23</v>
      </c>
      <c r="G43" s="20">
        <f t="shared" si="3"/>
        <v>23.49468024894146</v>
      </c>
      <c r="H43" s="20">
        <f t="shared" si="2"/>
        <v>23</v>
      </c>
      <c r="I43" s="20"/>
      <c r="J43" s="20"/>
      <c r="K43" s="24">
        <f>E148*0.15+E151*0.175</f>
        <v>4199400</v>
      </c>
    </row>
    <row r="44" spans="1:11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28.879774404593647</v>
      </c>
      <c r="F44" s="15">
        <f t="shared" si="1"/>
        <v>28</v>
      </c>
      <c r="G44">
        <f t="shared" si="3"/>
        <v>28.495613697550013</v>
      </c>
      <c r="H44">
        <f t="shared" si="2"/>
        <v>29</v>
      </c>
      <c r="K44" s="1">
        <f>E167+E177*(1/3)+E194*0.7+E186*0.3+E198*0.6</f>
        <v>6931933.333333333</v>
      </c>
    </row>
    <row r="45" spans="1:11" x14ac:dyDescent="0.55000000000000004">
      <c r="A45" s="20">
        <v>5</v>
      </c>
      <c r="B45" s="20" t="s">
        <v>81</v>
      </c>
      <c r="C45" s="21">
        <v>3346000</v>
      </c>
      <c r="D45" s="21"/>
      <c r="E45" s="22">
        <f t="shared" si="0"/>
        <v>8.0452689332920109</v>
      </c>
      <c r="F45" s="23">
        <f t="shared" si="1"/>
        <v>8</v>
      </c>
      <c r="G45" s="20">
        <f t="shared" si="3"/>
        <v>8.4852813742385695</v>
      </c>
      <c r="H45" s="20">
        <f t="shared" si="2"/>
        <v>8</v>
      </c>
      <c r="I45" s="20"/>
      <c r="J45" s="20"/>
      <c r="K45" s="24">
        <f>E148*0.1</f>
        <v>1978500</v>
      </c>
    </row>
    <row r="46" spans="1:11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20.877785459585933</v>
      </c>
      <c r="F46" s="15">
        <f t="shared" si="1"/>
        <v>20</v>
      </c>
      <c r="G46">
        <f t="shared" si="3"/>
        <v>20.493901531919196</v>
      </c>
      <c r="H46">
        <f t="shared" si="2"/>
        <v>21</v>
      </c>
      <c r="K46" s="11">
        <f>E152*0.8</f>
        <v>5176800</v>
      </c>
    </row>
    <row r="47" spans="1:11" x14ac:dyDescent="0.55000000000000004">
      <c r="A47" s="20">
        <v>7</v>
      </c>
      <c r="B47" s="20" t="s">
        <v>83</v>
      </c>
      <c r="C47" s="21">
        <v>4777000</v>
      </c>
      <c r="D47" s="21"/>
      <c r="E47" s="22">
        <f t="shared" si="0"/>
        <v>11.486028001893585</v>
      </c>
      <c r="F47" s="23">
        <f t="shared" si="1"/>
        <v>11</v>
      </c>
      <c r="G47" s="20">
        <f t="shared" si="3"/>
        <v>11.489125293076057</v>
      </c>
      <c r="H47" s="20">
        <f t="shared" si="2"/>
        <v>11</v>
      </c>
      <c r="I47" s="20"/>
      <c r="J47" s="20"/>
      <c r="K47" s="24">
        <f>E155*(2.5/9)+E182</f>
        <v>3775055.5555555555</v>
      </c>
    </row>
    <row r="48" spans="1:11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21.683274130432562</v>
      </c>
      <c r="F48" s="15">
        <f t="shared" si="1"/>
        <v>21</v>
      </c>
      <c r="G48">
        <f t="shared" si="3"/>
        <v>21.494185260204677</v>
      </c>
      <c r="H48">
        <f t="shared" si="2"/>
        <v>22</v>
      </c>
      <c r="K48" s="1">
        <f>E166+E194*0.3+E198*0.4</f>
        <v>7006700</v>
      </c>
    </row>
    <row r="49" spans="1:11" x14ac:dyDescent="0.55000000000000004">
      <c r="A49" s="20">
        <v>9</v>
      </c>
      <c r="B49" s="20" t="s">
        <v>85</v>
      </c>
      <c r="C49" s="21">
        <v>1744000</v>
      </c>
      <c r="D49" s="21"/>
      <c r="E49" s="22">
        <f t="shared" si="0"/>
        <v>4.1933499759896193</v>
      </c>
      <c r="F49" s="23">
        <f t="shared" si="1"/>
        <v>4</v>
      </c>
      <c r="G49" s="20">
        <f t="shared" si="3"/>
        <v>4.4721359549995796</v>
      </c>
      <c r="H49" s="20">
        <f t="shared" si="2"/>
        <v>4</v>
      </c>
      <c r="I49" s="20"/>
      <c r="J49" s="20"/>
      <c r="K49" s="24">
        <f>E152*0.075</f>
        <v>485325</v>
      </c>
    </row>
    <row r="50" spans="1:11" x14ac:dyDescent="0.55000000000000004">
      <c r="A50">
        <v>10</v>
      </c>
      <c r="B50" t="s">
        <v>86</v>
      </c>
      <c r="C50" s="1">
        <v>18641000</v>
      </c>
      <c r="D50" s="1"/>
      <c r="E50" s="12">
        <f t="shared" si="0"/>
        <v>44.821236755976201</v>
      </c>
      <c r="F50" s="15">
        <f t="shared" si="1"/>
        <v>44</v>
      </c>
      <c r="G50">
        <f t="shared" si="3"/>
        <v>44.497190922573978</v>
      </c>
      <c r="H50">
        <f t="shared" si="2"/>
        <v>45</v>
      </c>
      <c r="K50" s="11">
        <f>E153+E155*(3/9)+E170*0.8+E172</f>
        <v>16876666.666666664</v>
      </c>
    </row>
    <row r="51" spans="1:11" x14ac:dyDescent="0.55000000000000004">
      <c r="A51" s="20">
        <v>11</v>
      </c>
      <c r="B51" s="20" t="s">
        <v>87</v>
      </c>
      <c r="C51" s="21">
        <v>27739000</v>
      </c>
      <c r="D51" s="21"/>
      <c r="E51" s="22">
        <f t="shared" si="0"/>
        <v>66.696866389894524</v>
      </c>
      <c r="F51" s="23">
        <f t="shared" si="1"/>
        <v>66</v>
      </c>
      <c r="G51" s="20">
        <f t="shared" si="3"/>
        <v>66.498120274185197</v>
      </c>
      <c r="H51" s="20">
        <f t="shared" si="2"/>
        <v>67</v>
      </c>
      <c r="I51" s="20"/>
      <c r="J51" s="20"/>
      <c r="K51" s="24">
        <f>E148*0.75+E158+E190</f>
        <v>21289750</v>
      </c>
    </row>
    <row r="52" spans="1:11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30.081996301379661</v>
      </c>
      <c r="F52" s="15">
        <f t="shared" si="1"/>
        <v>30</v>
      </c>
      <c r="G52">
        <f t="shared" si="3"/>
        <v>30.495901363953813</v>
      </c>
      <c r="H52">
        <f t="shared" si="2"/>
        <v>30</v>
      </c>
      <c r="K52" s="1">
        <f>E176+E170*0.2+E185</f>
        <v>6583000</v>
      </c>
    </row>
    <row r="53" spans="1:11" x14ac:dyDescent="0.55000000000000004">
      <c r="A53" s="20">
        <v>13</v>
      </c>
      <c r="B53" s="20" t="s">
        <v>89</v>
      </c>
      <c r="C53" s="21">
        <v>1098000</v>
      </c>
      <c r="D53" s="21"/>
      <c r="E53" s="22">
        <f t="shared" si="0"/>
        <v>2.6400792853420882</v>
      </c>
      <c r="F53" s="23">
        <f t="shared" si="1"/>
        <v>2</v>
      </c>
      <c r="G53" s="20">
        <f t="shared" si="3"/>
        <v>2.4494897427831779</v>
      </c>
      <c r="H53" s="20">
        <f t="shared" si="2"/>
        <v>3</v>
      </c>
      <c r="I53" s="20"/>
      <c r="J53" s="20"/>
      <c r="K53" s="24">
        <f>E152*0.125</f>
        <v>808875</v>
      </c>
    </row>
    <row r="54" spans="1:11" x14ac:dyDescent="0.55000000000000004">
      <c r="A54">
        <v>14</v>
      </c>
      <c r="B54" t="s">
        <v>90</v>
      </c>
      <c r="C54" s="1">
        <v>1247000</v>
      </c>
      <c r="D54" s="1"/>
      <c r="E54" s="12">
        <f t="shared" si="0"/>
        <v>2.9983414105843207</v>
      </c>
      <c r="F54" s="15">
        <f t="shared" si="1"/>
        <v>2</v>
      </c>
      <c r="G54">
        <f t="shared" si="3"/>
        <v>2.4494897427831779</v>
      </c>
      <c r="H54">
        <f t="shared" si="2"/>
        <v>3</v>
      </c>
    </row>
    <row r="55" spans="1:11" x14ac:dyDescent="0.55000000000000004">
      <c r="A55" s="20">
        <v>15</v>
      </c>
      <c r="B55" s="20" t="s">
        <v>91</v>
      </c>
      <c r="C55" s="21">
        <v>9421000</v>
      </c>
      <c r="D55" s="21"/>
      <c r="E55" s="22">
        <f t="shared" si="0"/>
        <v>22.652264979242091</v>
      </c>
      <c r="F55" s="23">
        <f t="shared" si="1"/>
        <v>22</v>
      </c>
      <c r="G55" s="20">
        <f t="shared" si="3"/>
        <v>22.494443758403985</v>
      </c>
      <c r="H55" s="20">
        <f t="shared" si="2"/>
        <v>23</v>
      </c>
      <c r="I55" s="20"/>
      <c r="J55" s="20"/>
      <c r="K55" s="24">
        <f>E150*0.1+E161*0.8+E197</f>
        <v>5227300</v>
      </c>
    </row>
    <row r="56" spans="1:11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25.198570956634871</v>
      </c>
      <c r="F56" s="15">
        <f t="shared" si="1"/>
        <v>25</v>
      </c>
      <c r="G56">
        <f t="shared" si="3"/>
        <v>25.495097567963924</v>
      </c>
      <c r="H56">
        <f t="shared" si="2"/>
        <v>25</v>
      </c>
      <c r="K56" s="11">
        <f>E154*0.8</f>
        <v>5558400</v>
      </c>
    </row>
    <row r="57" spans="1:11" x14ac:dyDescent="0.55000000000000004">
      <c r="A57" s="20">
        <v>17</v>
      </c>
      <c r="B57" s="20" t="s">
        <v>93</v>
      </c>
      <c r="C57" s="21">
        <v>20456000</v>
      </c>
      <c r="D57" s="21"/>
      <c r="E57" s="22">
        <f t="shared" si="0"/>
        <v>49.185302241309437</v>
      </c>
      <c r="F57" s="23">
        <f t="shared" si="1"/>
        <v>49</v>
      </c>
      <c r="G57" s="20">
        <f t="shared" si="3"/>
        <v>49.497474683058329</v>
      </c>
      <c r="H57" s="20">
        <f t="shared" si="2"/>
        <v>49</v>
      </c>
      <c r="I57" s="20"/>
      <c r="J57" s="20"/>
      <c r="K57" s="24">
        <f>E150*0.8+E160+E165*0.2+E184+E174*0.3</f>
        <v>15592000</v>
      </c>
    </row>
    <row r="58" spans="1:11" x14ac:dyDescent="0.55000000000000004">
      <c r="A58">
        <v>18</v>
      </c>
      <c r="B58" t="s">
        <v>94</v>
      </c>
      <c r="C58" s="1">
        <v>9102000</v>
      </c>
      <c r="D58" s="1"/>
      <c r="E58" s="12">
        <f t="shared" si="0"/>
        <v>21.885247409092614</v>
      </c>
      <c r="F58" s="15">
        <f t="shared" si="1"/>
        <v>21</v>
      </c>
      <c r="G58">
        <f t="shared" si="3"/>
        <v>21.494185260204677</v>
      </c>
      <c r="H58">
        <f t="shared" si="2"/>
        <v>22</v>
      </c>
      <c r="K58" s="1">
        <f>E188+E173+(E150*0.1)+E171*0.6</f>
        <v>6915700</v>
      </c>
    </row>
    <row r="59" spans="1:11" x14ac:dyDescent="0.55000000000000004">
      <c r="A59" s="20">
        <v>19</v>
      </c>
      <c r="B59" s="20" t="s">
        <v>95</v>
      </c>
      <c r="C59" s="21">
        <v>5402000</v>
      </c>
      <c r="D59" s="21"/>
      <c r="E59" s="22">
        <f t="shared" si="0"/>
        <v>12.988805372876104</v>
      </c>
      <c r="F59" s="23">
        <f t="shared" si="1"/>
        <v>12</v>
      </c>
      <c r="G59" s="20">
        <f t="shared" si="3"/>
        <v>12.489995996796797</v>
      </c>
      <c r="H59" s="20">
        <f t="shared" si="2"/>
        <v>13</v>
      </c>
      <c r="I59" s="20"/>
      <c r="J59" s="20"/>
      <c r="K59" s="24">
        <f>E154*0.1+E178*0.9+E195</f>
        <v>4021900</v>
      </c>
    </row>
    <row r="60" spans="1:11" x14ac:dyDescent="0.55000000000000004">
      <c r="A60">
        <v>20</v>
      </c>
      <c r="B60" t="s">
        <v>96</v>
      </c>
      <c r="C60" s="1">
        <v>6803000</v>
      </c>
      <c r="D60" s="1"/>
      <c r="E60" s="12">
        <f t="shared" si="0"/>
        <v>16.357431127670516</v>
      </c>
      <c r="F60" s="15">
        <f t="shared" si="1"/>
        <v>16</v>
      </c>
      <c r="G60">
        <f t="shared" si="3"/>
        <v>16.492422502470642</v>
      </c>
      <c r="H60">
        <f t="shared" si="2"/>
        <v>16</v>
      </c>
      <c r="K60" s="11">
        <f>E149*(1/3)+E171*0.1+E183*0.3</f>
        <v>5776966.666666666</v>
      </c>
    </row>
    <row r="61" spans="1:11" x14ac:dyDescent="0.55000000000000004">
      <c r="A61" s="20">
        <v>21</v>
      </c>
      <c r="B61" s="20" t="s">
        <v>97</v>
      </c>
      <c r="C61" s="21">
        <v>1501000</v>
      </c>
      <c r="D61" s="21"/>
      <c r="E61" s="22">
        <f t="shared" si="0"/>
        <v>3.6090701341516165</v>
      </c>
      <c r="F61" s="23">
        <f t="shared" si="1"/>
        <v>3</v>
      </c>
      <c r="G61" s="20">
        <f t="shared" si="3"/>
        <v>3.4641016151377544</v>
      </c>
      <c r="H61" s="20">
        <f t="shared" si="2"/>
        <v>4</v>
      </c>
      <c r="I61" s="20"/>
      <c r="J61" s="20"/>
      <c r="K61" s="24">
        <f>E168*0.2+E179*0.1</f>
        <v>532300</v>
      </c>
    </row>
    <row r="62" spans="1:11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27.922805774751978</v>
      </c>
      <c r="F62" s="15">
        <f t="shared" si="1"/>
        <v>27</v>
      </c>
      <c r="G62">
        <f t="shared" si="3"/>
        <v>27.495454169735041</v>
      </c>
      <c r="H62">
        <f t="shared" si="2"/>
        <v>28</v>
      </c>
      <c r="K62" s="11">
        <f>E156*0.6+E175+E187*0.9</f>
        <v>9099400</v>
      </c>
    </row>
    <row r="63" spans="1:11" x14ac:dyDescent="0.55000000000000004">
      <c r="A63" s="20">
        <v>23</v>
      </c>
      <c r="B63" s="20" t="s">
        <v>99</v>
      </c>
      <c r="C63" s="21">
        <v>7381000</v>
      </c>
      <c r="D63" s="21"/>
      <c r="E63" s="22">
        <f t="shared" si="0"/>
        <v>17.747199640355149</v>
      </c>
      <c r="F63" s="23">
        <f t="shared" si="1"/>
        <v>17</v>
      </c>
      <c r="G63" s="20">
        <f t="shared" si="3"/>
        <v>17.4928556845359</v>
      </c>
      <c r="H63" s="20">
        <f t="shared" si="2"/>
        <v>18</v>
      </c>
      <c r="I63" s="20"/>
      <c r="J63" s="20"/>
      <c r="K63" s="24">
        <f>E174*0.7</f>
        <v>2493400</v>
      </c>
    </row>
    <row r="64" spans="1:11" x14ac:dyDescent="0.55000000000000004">
      <c r="A64">
        <v>24</v>
      </c>
      <c r="B64" t="s">
        <v>100</v>
      </c>
      <c r="C64" s="1">
        <v>16703000</v>
      </c>
      <c r="D64" s="1"/>
      <c r="E64" s="12">
        <f t="shared" si="0"/>
        <v>40.161424684033612</v>
      </c>
      <c r="F64" s="15">
        <f t="shared" si="1"/>
        <v>40</v>
      </c>
      <c r="G64">
        <f t="shared" si="3"/>
        <v>40.496913462633174</v>
      </c>
      <c r="H64">
        <f t="shared" si="2"/>
        <v>40</v>
      </c>
      <c r="K64" s="25">
        <f>E149*(2/3)+E181*(2/3)</f>
        <v>13566666.666666664</v>
      </c>
    </row>
    <row r="65" spans="1:11" x14ac:dyDescent="0.55000000000000004">
      <c r="A65" s="20">
        <v>25</v>
      </c>
      <c r="B65" s="20" t="s">
        <v>101</v>
      </c>
      <c r="C65" s="21">
        <v>6894000</v>
      </c>
      <c r="D65" s="21"/>
      <c r="E65" s="22">
        <f t="shared" si="0"/>
        <v>16.576235512885571</v>
      </c>
      <c r="F65" s="23">
        <f t="shared" si="1"/>
        <v>16</v>
      </c>
      <c r="G65" s="20">
        <f t="shared" si="3"/>
        <v>16.492422502470642</v>
      </c>
      <c r="H65" s="20">
        <f t="shared" si="2"/>
        <v>17</v>
      </c>
      <c r="I65" s="20"/>
      <c r="J65" s="20"/>
      <c r="K65" s="21">
        <f>E164+E183*0.7</f>
        <v>3499400</v>
      </c>
    </row>
    <row r="66" spans="1:11" x14ac:dyDescent="0.55000000000000004">
      <c r="A66">
        <v>26</v>
      </c>
      <c r="B66" t="s">
        <v>102</v>
      </c>
      <c r="C66" s="1">
        <v>3026000</v>
      </c>
      <c r="D66" s="1"/>
      <c r="E66" s="12">
        <f t="shared" si="0"/>
        <v>7.275846919348961</v>
      </c>
      <c r="F66" s="15">
        <f t="shared" si="1"/>
        <v>7</v>
      </c>
      <c r="G66">
        <f t="shared" si="3"/>
        <v>7.4833147735478827</v>
      </c>
      <c r="H66">
        <f t="shared" si="2"/>
        <v>7</v>
      </c>
      <c r="K66" s="11">
        <f>E154*0.1+E187*0.1</f>
        <v>876200</v>
      </c>
    </row>
    <row r="67" spans="1:11" x14ac:dyDescent="0.55000000000000004">
      <c r="A67" s="20">
        <v>27</v>
      </c>
      <c r="B67" s="20" t="s">
        <v>103</v>
      </c>
      <c r="C67" s="21">
        <v>8562000</v>
      </c>
      <c r="D67" s="21"/>
      <c r="E67" s="22">
        <f t="shared" si="0"/>
        <v>20.586847760563717</v>
      </c>
      <c r="F67" s="23">
        <f t="shared" si="1"/>
        <v>20</v>
      </c>
      <c r="G67" s="20">
        <f t="shared" si="3"/>
        <v>20.493901531919196</v>
      </c>
      <c r="H67" s="20">
        <f t="shared" si="2"/>
        <v>21</v>
      </c>
      <c r="I67" s="20"/>
      <c r="J67" s="20"/>
      <c r="K67" s="24">
        <f>E156*0.4+E168*0.8+E179*0.9+E200</f>
        <v>6555900</v>
      </c>
    </row>
    <row r="68" spans="1:11" x14ac:dyDescent="0.55000000000000004">
      <c r="A68">
        <v>28</v>
      </c>
      <c r="B68" t="s">
        <v>209</v>
      </c>
      <c r="C68" s="1">
        <v>3943000</v>
      </c>
      <c r="D68" s="1"/>
      <c r="E68" s="12">
        <f t="shared" si="0"/>
        <v>9.4807218780545117</v>
      </c>
      <c r="F68" s="15">
        <f t="shared" si="1"/>
        <v>9</v>
      </c>
      <c r="G68">
        <f t="shared" si="3"/>
        <v>9.4868329805051381</v>
      </c>
      <c r="H68">
        <f t="shared" si="2"/>
        <v>9</v>
      </c>
      <c r="K68" s="11">
        <f>E157*(1/3)</f>
        <v>1980666.6666666665</v>
      </c>
    </row>
    <row r="69" spans="1:11" x14ac:dyDescent="0.55000000000000004">
      <c r="A69" s="20">
        <v>29</v>
      </c>
      <c r="B69" s="20" t="s">
        <v>104</v>
      </c>
      <c r="C69" s="21">
        <v>5137000</v>
      </c>
      <c r="D69" s="21"/>
      <c r="E69" s="22">
        <f t="shared" si="0"/>
        <v>12.351627767579515</v>
      </c>
      <c r="F69" s="23">
        <f t="shared" si="1"/>
        <v>12</v>
      </c>
      <c r="G69" s="20">
        <f t="shared" si="3"/>
        <v>12.489995996796797</v>
      </c>
      <c r="H69" s="20">
        <f t="shared" si="2"/>
        <v>12</v>
      </c>
      <c r="I69" s="20"/>
      <c r="J69" s="20"/>
      <c r="K69" s="24">
        <f>E157*(2/3)</f>
        <v>3961333.333333333</v>
      </c>
    </row>
    <row r="70" spans="1:11" x14ac:dyDescent="0.55000000000000004">
      <c r="A70">
        <v>30</v>
      </c>
      <c r="B70" t="s">
        <v>239</v>
      </c>
      <c r="C70" s="1">
        <v>1634000</v>
      </c>
      <c r="D70" s="1"/>
      <c r="E70" s="12">
        <f t="shared" si="0"/>
        <v>3.9288611586966962</v>
      </c>
      <c r="F70" s="15">
        <f t="shared" si="1"/>
        <v>3</v>
      </c>
      <c r="G70">
        <f t="shared" si="3"/>
        <v>3.4641016151377544</v>
      </c>
      <c r="H70">
        <f t="shared" si="2"/>
        <v>4</v>
      </c>
      <c r="K70" s="1">
        <f>E193</f>
        <v>848000</v>
      </c>
    </row>
    <row r="71" spans="1:11" x14ac:dyDescent="0.55000000000000004">
      <c r="A71" s="20">
        <v>31</v>
      </c>
      <c r="B71" s="20" t="s">
        <v>189</v>
      </c>
      <c r="C71" s="21">
        <v>7821000</v>
      </c>
      <c r="D71" s="21"/>
      <c r="E71" s="22">
        <f t="shared" si="0"/>
        <v>18.805154909526845</v>
      </c>
      <c r="F71" s="23">
        <f t="shared" si="1"/>
        <v>18</v>
      </c>
      <c r="G71" s="20">
        <f t="shared" si="3"/>
        <v>18.493242008906929</v>
      </c>
      <c r="H71" s="20">
        <f t="shared" si="2"/>
        <v>19</v>
      </c>
      <c r="I71" s="20"/>
      <c r="J71" s="20"/>
      <c r="K71" s="24">
        <f>E181*(1/3)+E180+E189</f>
        <v>5658666.666666666</v>
      </c>
    </row>
    <row r="72" spans="1:11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2.0966749879948097</v>
      </c>
      <c r="F72" s="15">
        <f t="shared" si="1"/>
        <v>2</v>
      </c>
      <c r="G72">
        <f t="shared" si="3"/>
        <v>2.4494897427831779</v>
      </c>
      <c r="H72">
        <f t="shared" si="2"/>
        <v>2</v>
      </c>
    </row>
    <row r="73" spans="1:11" x14ac:dyDescent="0.55000000000000004">
      <c r="A73" s="20">
        <v>33</v>
      </c>
      <c r="B73" s="20" t="s">
        <v>106</v>
      </c>
      <c r="C73" s="21">
        <v>4912000</v>
      </c>
      <c r="D73" s="21"/>
      <c r="E73" s="22">
        <f t="shared" si="0"/>
        <v>11.81062791402581</v>
      </c>
      <c r="F73" s="23">
        <f t="shared" si="1"/>
        <v>11</v>
      </c>
      <c r="G73" s="20">
        <f t="shared" si="3"/>
        <v>11.489125293076057</v>
      </c>
      <c r="H73" s="20">
        <f t="shared" si="2"/>
        <v>12</v>
      </c>
      <c r="I73" s="20"/>
      <c r="J73" s="20"/>
      <c r="K73" s="21">
        <f>E159</f>
        <v>4428000</v>
      </c>
    </row>
    <row r="74" spans="1:11" x14ac:dyDescent="0.55000000000000004">
      <c r="A74">
        <v>34</v>
      </c>
      <c r="B74" t="s">
        <v>203</v>
      </c>
      <c r="C74" s="1">
        <v>1883000</v>
      </c>
      <c r="D74" s="1"/>
      <c r="E74" s="12">
        <f t="shared" si="0"/>
        <v>4.5275676632961313</v>
      </c>
      <c r="F74" s="15">
        <f t="shared" si="1"/>
        <v>4</v>
      </c>
      <c r="G74">
        <f t="shared" si="3"/>
        <v>4.4721359549995796</v>
      </c>
      <c r="H74">
        <f t="shared" si="2"/>
        <v>5</v>
      </c>
      <c r="K74" s="1">
        <f>E201</f>
        <v>770000</v>
      </c>
    </row>
    <row r="75" spans="1:11" x14ac:dyDescent="0.55000000000000004">
      <c r="A75" s="20">
        <v>35</v>
      </c>
      <c r="B75" s="20" t="s">
        <v>107</v>
      </c>
      <c r="C75" s="21">
        <v>3426000</v>
      </c>
      <c r="D75" s="21"/>
      <c r="E75" s="22">
        <f t="shared" si="0"/>
        <v>8.2376244367777733</v>
      </c>
      <c r="F75" s="23">
        <f t="shared" si="1"/>
        <v>8</v>
      </c>
      <c r="G75" s="20">
        <f t="shared" si="3"/>
        <v>8.4852813742385695</v>
      </c>
      <c r="H75" s="20">
        <f t="shared" si="2"/>
        <v>8</v>
      </c>
      <c r="I75" s="20"/>
      <c r="J75" s="20"/>
      <c r="K75" s="24">
        <f>E186*0.6</f>
        <v>732600</v>
      </c>
    </row>
    <row r="76" spans="1:11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19.966501261822135</v>
      </c>
      <c r="F76" s="15">
        <f t="shared" si="1"/>
        <v>19</v>
      </c>
      <c r="G76">
        <f t="shared" si="3"/>
        <v>19.493588689617926</v>
      </c>
      <c r="H76">
        <f t="shared" si="2"/>
        <v>20</v>
      </c>
      <c r="K76" s="1">
        <f>E162+E192</f>
        <v>6788000</v>
      </c>
    </row>
    <row r="77" spans="1:11" x14ac:dyDescent="0.55000000000000004">
      <c r="A77" s="20">
        <v>37</v>
      </c>
      <c r="B77" s="20" t="s">
        <v>115</v>
      </c>
      <c r="C77" s="21">
        <v>3101000</v>
      </c>
      <c r="D77" s="21"/>
      <c r="E77" s="22">
        <f t="shared" si="0"/>
        <v>7.4561802038668636</v>
      </c>
      <c r="F77" s="23">
        <f t="shared" si="1"/>
        <v>7</v>
      </c>
      <c r="G77" s="20">
        <f t="shared" si="3"/>
        <v>7.4833147735478827</v>
      </c>
      <c r="H77" s="20">
        <f t="shared" si="2"/>
        <v>7</v>
      </c>
      <c r="I77" s="20"/>
      <c r="J77" s="20"/>
      <c r="K77" s="21">
        <f>E177*(2/3)+E202</f>
        <v>2387666.6666666665</v>
      </c>
    </row>
    <row r="78" spans="1:11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2.5679459715349275</v>
      </c>
      <c r="F78" s="15">
        <f t="shared" si="1"/>
        <v>2</v>
      </c>
      <c r="G78">
        <f t="shared" si="3"/>
        <v>2.4494897427831779</v>
      </c>
      <c r="H78">
        <f t="shared" si="2"/>
        <v>3</v>
      </c>
    </row>
    <row r="79" spans="1:11" x14ac:dyDescent="0.55000000000000004">
      <c r="A79" s="20">
        <v>39</v>
      </c>
      <c r="B79" s="20" t="s">
        <v>109</v>
      </c>
      <c r="C79" s="21">
        <f>3532000</f>
        <v>3532000</v>
      </c>
      <c r="D79" s="21"/>
      <c r="E79" s="22">
        <f t="shared" si="0"/>
        <v>8.4924954788964087</v>
      </c>
      <c r="F79" s="23">
        <f t="shared" si="1"/>
        <v>8</v>
      </c>
      <c r="G79" s="20">
        <f t="shared" si="3"/>
        <v>8.4852813742385695</v>
      </c>
      <c r="H79" s="20">
        <f t="shared" si="2"/>
        <v>9</v>
      </c>
      <c r="I79" s="20"/>
      <c r="J79" s="20"/>
      <c r="K79" s="24">
        <f>E155*(7/18)</f>
        <v>3532277.777777778</v>
      </c>
    </row>
    <row r="80" spans="1:11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2.4789815511727626</v>
      </c>
      <c r="F80" s="15">
        <f t="shared" si="1"/>
        <v>2</v>
      </c>
      <c r="G80">
        <f t="shared" si="3"/>
        <v>2.4494897427831779</v>
      </c>
      <c r="H80">
        <f t="shared" si="2"/>
        <v>3</v>
      </c>
    </row>
    <row r="81" spans="1:13" x14ac:dyDescent="0.55000000000000004">
      <c r="A81" s="20">
        <v>41</v>
      </c>
      <c r="B81" s="20" t="s">
        <v>112</v>
      </c>
      <c r="C81" s="21">
        <v>1421000</v>
      </c>
      <c r="D81" s="21"/>
      <c r="E81" s="22">
        <f>C81/$B$37</f>
        <v>3.416714630665854</v>
      </c>
      <c r="F81" s="23">
        <f>FLOOR(E81,1)</f>
        <v>3</v>
      </c>
      <c r="G81" s="20">
        <f>SQRT(F81*(F81+1))</f>
        <v>3.4641016151377544</v>
      </c>
      <c r="H81" s="20">
        <f>IF(E81&gt;G81,CEILING(E81,1),FLOOR(E81,1))</f>
        <v>3</v>
      </c>
      <c r="I81" s="20"/>
      <c r="J81" s="20"/>
      <c r="K81" s="20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0.92571086052523133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0">
        <v>43</v>
      </c>
      <c r="B83" s="20" t="s">
        <v>113</v>
      </c>
      <c r="C83" s="21">
        <v>192000</v>
      </c>
      <c r="D83" s="21"/>
      <c r="E83" s="22">
        <f>C83/$B$37</f>
        <v>0.46165320836582968</v>
      </c>
      <c r="F83" s="23">
        <f t="shared" si="1"/>
        <v>0</v>
      </c>
      <c r="G83" s="20">
        <f t="shared" si="3"/>
        <v>0</v>
      </c>
      <c r="H83" s="20">
        <f t="shared" si="2"/>
        <v>1</v>
      </c>
      <c r="I83" s="20"/>
      <c r="J83" s="20"/>
      <c r="K83" s="20"/>
    </row>
    <row r="84" spans="1:13" ht="14.7" thickBot="1" x14ac:dyDescent="0.6">
      <c r="A84" s="4"/>
      <c r="B84" s="4" t="s">
        <v>22</v>
      </c>
      <c r="C84" s="7">
        <f>SUM(C41:C83)</f>
        <v>292211000</v>
      </c>
      <c r="D84" s="7"/>
      <c r="E84" s="7">
        <f>SUM(E41:E83)</f>
        <v>702.60492536347647</v>
      </c>
      <c r="F84" s="7"/>
      <c r="G84" s="7"/>
      <c r="H84" s="7">
        <f>SUM(H41:H83)</f>
        <v>705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68.073868103389913</v>
      </c>
      <c r="C86" s="12">
        <f>$C$84/C32</f>
        <v>63.287564248740189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227</v>
      </c>
      <c r="B90" t="s">
        <v>124</v>
      </c>
      <c r="C90" t="s">
        <v>63</v>
      </c>
    </row>
    <row r="91" spans="1:13" x14ac:dyDescent="0.55000000000000004">
      <c r="A91" t="s">
        <v>228</v>
      </c>
      <c r="B91" t="s">
        <v>234</v>
      </c>
      <c r="C91" s="1">
        <f>C46+C49+C53+C54+C72+C45+C51</f>
        <v>44729000</v>
      </c>
    </row>
    <row r="92" spans="1:13" x14ac:dyDescent="0.55000000000000004">
      <c r="A92" t="s">
        <v>229</v>
      </c>
      <c r="B92" t="s">
        <v>235</v>
      </c>
      <c r="C92" s="1">
        <f>C42+C43+C41+C47+C79+C50</f>
        <v>52340000</v>
      </c>
    </row>
    <row r="93" spans="1:13" x14ac:dyDescent="0.55000000000000004">
      <c r="A93" t="s">
        <v>230</v>
      </c>
      <c r="B93" t="s">
        <v>237</v>
      </c>
      <c r="C93" s="1">
        <f>C57+C58+C63+C74+C65+C69</f>
        <v>50853000</v>
      </c>
      <c r="J93" s="1"/>
    </row>
    <row r="94" spans="1:13" x14ac:dyDescent="0.55000000000000004">
      <c r="A94" t="s">
        <v>231</v>
      </c>
      <c r="B94" t="s">
        <v>236</v>
      </c>
      <c r="C94" s="1">
        <f>C52+C48+C75+C44+C77+C67+C61+C59</f>
        <v>55532000</v>
      </c>
    </row>
    <row r="95" spans="1:13" x14ac:dyDescent="0.55000000000000004">
      <c r="A95" t="s">
        <v>232</v>
      </c>
      <c r="B95" t="s">
        <v>238</v>
      </c>
      <c r="C95" s="1">
        <f>C56+C55+C60+C64+C68</f>
        <v>47350000</v>
      </c>
      <c r="J95" s="15"/>
    </row>
    <row r="96" spans="1:13" x14ac:dyDescent="0.55000000000000004">
      <c r="A96" s="3" t="s">
        <v>233</v>
      </c>
      <c r="B96" s="3" t="s">
        <v>245</v>
      </c>
      <c r="C96" s="6">
        <f>C66+C62+C76+C71+C70+C81+C78+C83+C82+C80+C73</f>
        <v>41407000</v>
      </c>
    </row>
    <row r="97" spans="1:13" x14ac:dyDescent="0.55000000000000004">
      <c r="C97" s="1">
        <f>SUM(C91:C96)</f>
        <v>292211000</v>
      </c>
    </row>
    <row r="100" spans="1:13" x14ac:dyDescent="0.55000000000000004">
      <c r="A100" t="s">
        <v>126</v>
      </c>
      <c r="B100" t="s">
        <v>252</v>
      </c>
      <c r="C100" s="1" t="s">
        <v>253</v>
      </c>
      <c r="D100" t="s">
        <v>254</v>
      </c>
      <c r="E100" t="s">
        <v>255</v>
      </c>
      <c r="F100" t="s">
        <v>65</v>
      </c>
      <c r="G100" t="s">
        <v>22</v>
      </c>
    </row>
    <row r="101" spans="1:13" x14ac:dyDescent="0.55000000000000004">
      <c r="A101" t="s">
        <v>77</v>
      </c>
      <c r="B101" s="26">
        <v>0.82099999999999995</v>
      </c>
      <c r="C101" s="26">
        <v>0.14899999999999999</v>
      </c>
      <c r="D101" s="26">
        <v>2.5999999999999999E-2</v>
      </c>
      <c r="E101" s="26">
        <v>1E-3</v>
      </c>
      <c r="F101" s="26">
        <v>3.0000000000000001E-3</v>
      </c>
      <c r="G101" s="26">
        <f>SUM(B101:F101)</f>
        <v>1</v>
      </c>
      <c r="I101" s="11">
        <f>B101*$C41</f>
        <v>1247099</v>
      </c>
      <c r="J101" s="11">
        <f t="shared" ref="J101:M116" si="4">C101*$C41</f>
        <v>226331</v>
      </c>
      <c r="K101" s="11">
        <f t="shared" si="4"/>
        <v>39494</v>
      </c>
      <c r="L101" s="11">
        <f t="shared" si="4"/>
        <v>1519</v>
      </c>
      <c r="M101" s="11">
        <f t="shared" si="4"/>
        <v>4557</v>
      </c>
    </row>
    <row r="102" spans="1:13" x14ac:dyDescent="0.55000000000000004">
      <c r="A102" t="s">
        <v>78</v>
      </c>
      <c r="B102" s="26">
        <v>0.85399999999999998</v>
      </c>
      <c r="C102" s="26">
        <v>8.4000000000000005E-2</v>
      </c>
      <c r="D102" s="26">
        <v>5.6000000000000001E-2</v>
      </c>
      <c r="E102" s="26">
        <v>1E-3</v>
      </c>
      <c r="F102" s="26">
        <v>5.0000000000000001E-3</v>
      </c>
      <c r="G102" s="26">
        <f t="shared" ref="G102:G143" si="5">SUM(B102:F102)</f>
        <v>1</v>
      </c>
      <c r="I102" s="11">
        <f t="shared" ref="I102:I143" si="6">B102*$C42</f>
        <v>12070436</v>
      </c>
      <c r="J102" s="11">
        <f t="shared" si="4"/>
        <v>1187256</v>
      </c>
      <c r="K102" s="11">
        <f t="shared" si="4"/>
        <v>791504</v>
      </c>
      <c r="L102" s="11">
        <f t="shared" si="4"/>
        <v>14134</v>
      </c>
      <c r="M102" s="11">
        <f t="shared" si="4"/>
        <v>70670</v>
      </c>
    </row>
    <row r="103" spans="1:13" x14ac:dyDescent="0.55000000000000004">
      <c r="A103" t="s">
        <v>79</v>
      </c>
      <c r="B103" s="26">
        <v>0.872</v>
      </c>
      <c r="C103" s="26">
        <v>6.3E-2</v>
      </c>
      <c r="D103" s="26">
        <v>6.0999999999999999E-2</v>
      </c>
      <c r="E103" s="26">
        <v>1E-3</v>
      </c>
      <c r="F103" s="26">
        <v>3.0000000000000001E-3</v>
      </c>
      <c r="G103" s="26">
        <f t="shared" si="5"/>
        <v>1</v>
      </c>
      <c r="I103" s="11">
        <f t="shared" si="6"/>
        <v>8490664</v>
      </c>
      <c r="J103" s="11">
        <f t="shared" si="4"/>
        <v>613431</v>
      </c>
      <c r="K103" s="11">
        <f t="shared" si="4"/>
        <v>593957</v>
      </c>
      <c r="L103" s="11">
        <f t="shared" si="4"/>
        <v>9737</v>
      </c>
      <c r="M103" s="11">
        <f t="shared" si="4"/>
        <v>29211</v>
      </c>
    </row>
    <row r="104" spans="1:13" x14ac:dyDescent="0.55000000000000004">
      <c r="A104" t="s">
        <v>80</v>
      </c>
      <c r="B104" s="26">
        <v>0.43099999999999999</v>
      </c>
      <c r="C104" s="26">
        <v>0.51400000000000001</v>
      </c>
      <c r="D104" s="26">
        <v>4.5999999999999999E-2</v>
      </c>
      <c r="E104" s="26">
        <v>2E-3</v>
      </c>
      <c r="F104" s="26">
        <v>7.0000000000000001E-3</v>
      </c>
      <c r="G104" s="26">
        <f t="shared" si="5"/>
        <v>1</v>
      </c>
      <c r="I104" s="11">
        <f t="shared" si="6"/>
        <v>5176741</v>
      </c>
      <c r="J104" s="11">
        <f t="shared" si="4"/>
        <v>6173654</v>
      </c>
      <c r="K104" s="11">
        <f t="shared" si="4"/>
        <v>552506</v>
      </c>
      <c r="L104" s="11">
        <f t="shared" si="4"/>
        <v>24022</v>
      </c>
      <c r="M104" s="11">
        <f t="shared" si="4"/>
        <v>84077</v>
      </c>
    </row>
    <row r="105" spans="1:13" x14ac:dyDescent="0.55000000000000004">
      <c r="A105" t="s">
        <v>81</v>
      </c>
      <c r="B105" s="26">
        <v>0.873</v>
      </c>
      <c r="C105" s="26">
        <v>3.9E-2</v>
      </c>
      <c r="D105" s="26">
        <v>8.3000000000000004E-2</v>
      </c>
      <c r="E105" s="26">
        <v>1E-3</v>
      </c>
      <c r="F105" s="26">
        <v>4.0000000000000001E-3</v>
      </c>
      <c r="G105" s="26">
        <f t="shared" si="5"/>
        <v>1</v>
      </c>
      <c r="I105" s="11">
        <f t="shared" si="6"/>
        <v>2921058</v>
      </c>
      <c r="J105" s="11">
        <f t="shared" si="4"/>
        <v>130494</v>
      </c>
      <c r="K105" s="11">
        <f t="shared" si="4"/>
        <v>277718</v>
      </c>
      <c r="L105" s="11">
        <f t="shared" si="4"/>
        <v>3346</v>
      </c>
      <c r="M105" s="11">
        <f t="shared" si="4"/>
        <v>13384</v>
      </c>
    </row>
    <row r="106" spans="1:13" x14ac:dyDescent="0.55000000000000004">
      <c r="A106" t="s">
        <v>82</v>
      </c>
      <c r="B106" s="26">
        <v>0.82699999999999996</v>
      </c>
      <c r="C106" s="26">
        <v>6.6000000000000003E-2</v>
      </c>
      <c r="D106" s="26">
        <v>9.0999999999999998E-2</v>
      </c>
      <c r="E106" s="26">
        <v>2E-3</v>
      </c>
      <c r="F106" s="26">
        <v>1.4E-2</v>
      </c>
      <c r="G106" s="26">
        <f t="shared" si="5"/>
        <v>1</v>
      </c>
      <c r="I106" s="11">
        <f t="shared" si="6"/>
        <v>7180841</v>
      </c>
      <c r="J106" s="11">
        <f t="shared" si="4"/>
        <v>573078</v>
      </c>
      <c r="K106" s="11">
        <f t="shared" si="4"/>
        <v>790153</v>
      </c>
      <c r="L106" s="11">
        <f t="shared" si="4"/>
        <v>17366</v>
      </c>
      <c r="M106" s="11">
        <f t="shared" si="4"/>
        <v>121562</v>
      </c>
    </row>
    <row r="107" spans="1:13" x14ac:dyDescent="0.55000000000000004">
      <c r="A107" t="s">
        <v>83</v>
      </c>
      <c r="B107" s="26">
        <v>0.68700000000000006</v>
      </c>
      <c r="C107" s="26">
        <v>0.27700000000000002</v>
      </c>
      <c r="D107" s="26">
        <v>3.2000000000000001E-2</v>
      </c>
      <c r="E107" s="26">
        <v>1E-3</v>
      </c>
      <c r="F107" s="26">
        <v>3.0000000000000001E-3</v>
      </c>
      <c r="G107" s="26">
        <f t="shared" si="5"/>
        <v>1</v>
      </c>
      <c r="I107" s="11">
        <f t="shared" si="6"/>
        <v>3281799.0000000005</v>
      </c>
      <c r="J107" s="11">
        <f t="shared" si="4"/>
        <v>1323229</v>
      </c>
      <c r="K107" s="11">
        <f t="shared" si="4"/>
        <v>152864</v>
      </c>
      <c r="L107" s="11">
        <f t="shared" si="4"/>
        <v>4777</v>
      </c>
      <c r="M107" s="11">
        <f t="shared" si="4"/>
        <v>14331</v>
      </c>
    </row>
    <row r="108" spans="1:13" x14ac:dyDescent="0.55000000000000004">
      <c r="A108" t="s">
        <v>84</v>
      </c>
      <c r="B108" s="26">
        <v>0.31</v>
      </c>
      <c r="C108" s="26">
        <v>0.63300000000000001</v>
      </c>
      <c r="D108" s="26">
        <v>4.4999999999999998E-2</v>
      </c>
      <c r="E108" s="26">
        <v>1E-3</v>
      </c>
      <c r="F108" s="26">
        <v>1.0999999999999999E-2</v>
      </c>
      <c r="G108" s="26">
        <f t="shared" si="5"/>
        <v>1</v>
      </c>
      <c r="I108" s="11">
        <f t="shared" si="6"/>
        <v>2795580</v>
      </c>
      <c r="J108" s="11">
        <f t="shared" si="4"/>
        <v>5708394</v>
      </c>
      <c r="K108" s="11">
        <f t="shared" si="4"/>
        <v>405810</v>
      </c>
      <c r="L108" s="11">
        <f t="shared" si="4"/>
        <v>9018</v>
      </c>
      <c r="M108" s="11">
        <f t="shared" si="4"/>
        <v>99198</v>
      </c>
    </row>
    <row r="109" spans="1:13" x14ac:dyDescent="0.55000000000000004">
      <c r="A109" t="s">
        <v>85</v>
      </c>
      <c r="B109" s="26">
        <v>0.89400000000000002</v>
      </c>
      <c r="C109" s="26">
        <v>3.7999999999999999E-2</v>
      </c>
      <c r="D109" s="26">
        <v>6.3E-2</v>
      </c>
      <c r="E109" s="26">
        <v>1E-3</v>
      </c>
      <c r="F109" s="26">
        <v>4.0000000000000001E-3</v>
      </c>
      <c r="G109" s="26">
        <f t="shared" si="5"/>
        <v>1</v>
      </c>
      <c r="I109" s="11">
        <f t="shared" si="6"/>
        <v>1559136</v>
      </c>
      <c r="J109" s="11">
        <f t="shared" si="4"/>
        <v>66272</v>
      </c>
      <c r="K109" s="11">
        <f t="shared" si="4"/>
        <v>109872</v>
      </c>
      <c r="L109" s="11">
        <f t="shared" si="4"/>
        <v>1744</v>
      </c>
      <c r="M109" s="11">
        <f t="shared" si="4"/>
        <v>6976</v>
      </c>
    </row>
    <row r="110" spans="1:13" x14ac:dyDescent="0.55000000000000004">
      <c r="A110" t="s">
        <v>86</v>
      </c>
      <c r="B110" s="26">
        <v>0.504</v>
      </c>
      <c r="C110" s="26">
        <v>0.436</v>
      </c>
      <c r="D110" s="26">
        <v>4.7E-2</v>
      </c>
      <c r="E110" s="26">
        <v>4.0000000000000001E-3</v>
      </c>
      <c r="F110" s="26">
        <v>8.9999999999999993E-3</v>
      </c>
      <c r="G110" s="26">
        <f t="shared" si="5"/>
        <v>1</v>
      </c>
      <c r="I110" s="11">
        <f t="shared" si="6"/>
        <v>9395064</v>
      </c>
      <c r="J110" s="11">
        <f t="shared" si="4"/>
        <v>8127476</v>
      </c>
      <c r="K110" s="11">
        <f t="shared" si="4"/>
        <v>876127</v>
      </c>
      <c r="L110" s="11">
        <f t="shared" si="4"/>
        <v>74564</v>
      </c>
      <c r="M110" s="11">
        <f t="shared" si="4"/>
        <v>167769</v>
      </c>
    </row>
    <row r="111" spans="1:13" x14ac:dyDescent="0.55000000000000004">
      <c r="A111" t="s">
        <v>87</v>
      </c>
      <c r="B111" s="26">
        <v>0.78200000000000003</v>
      </c>
      <c r="C111" s="26">
        <v>0.11899999999999999</v>
      </c>
      <c r="D111" s="26">
        <v>7.9000000000000001E-2</v>
      </c>
      <c r="E111" s="26">
        <v>3.0000000000000001E-3</v>
      </c>
      <c r="F111" s="26">
        <v>1.7000000000000001E-2</v>
      </c>
      <c r="G111" s="26">
        <f t="shared" si="5"/>
        <v>1</v>
      </c>
      <c r="I111" s="11">
        <f t="shared" si="6"/>
        <v>21691898</v>
      </c>
      <c r="J111" s="11">
        <f t="shared" si="4"/>
        <v>3300941</v>
      </c>
      <c r="K111" s="11">
        <f t="shared" si="4"/>
        <v>2191381</v>
      </c>
      <c r="L111" s="11">
        <f t="shared" si="4"/>
        <v>83217</v>
      </c>
      <c r="M111" s="11">
        <f t="shared" si="4"/>
        <v>471563.00000000006</v>
      </c>
    </row>
    <row r="112" spans="1:13" x14ac:dyDescent="0.55000000000000004">
      <c r="A112" t="s">
        <v>88</v>
      </c>
      <c r="B112" s="26">
        <v>0.52800000000000002</v>
      </c>
      <c r="C112" s="26">
        <v>0.42399999999999999</v>
      </c>
      <c r="D112" s="26">
        <v>2.5000000000000001E-2</v>
      </c>
      <c r="E112" s="26">
        <v>1.4E-2</v>
      </c>
      <c r="F112" s="26">
        <v>8.9999999999999993E-3</v>
      </c>
      <c r="G112" s="26">
        <f t="shared" si="5"/>
        <v>1</v>
      </c>
      <c r="I112" s="11">
        <f t="shared" si="6"/>
        <v>6605808</v>
      </c>
      <c r="J112" s="11">
        <f t="shared" si="4"/>
        <v>5304664</v>
      </c>
      <c r="K112" s="11">
        <f t="shared" si="4"/>
        <v>312775</v>
      </c>
      <c r="L112" s="11">
        <f t="shared" si="4"/>
        <v>175154</v>
      </c>
      <c r="M112" s="11">
        <f t="shared" si="4"/>
        <v>112598.99999999999</v>
      </c>
    </row>
    <row r="113" spans="1:13" x14ac:dyDescent="0.55000000000000004">
      <c r="A113" t="s">
        <v>89</v>
      </c>
      <c r="B113" s="26">
        <v>0.83799999999999997</v>
      </c>
      <c r="C113" s="26">
        <v>3.6999999999999998E-2</v>
      </c>
      <c r="D113" s="26">
        <v>0.112</v>
      </c>
      <c r="E113" s="26">
        <v>4.0000000000000001E-3</v>
      </c>
      <c r="F113" s="26">
        <v>8.9999999999999993E-3</v>
      </c>
      <c r="G113" s="26">
        <f t="shared" si="5"/>
        <v>1</v>
      </c>
      <c r="I113" s="11">
        <f t="shared" si="6"/>
        <v>920124</v>
      </c>
      <c r="J113" s="11">
        <f t="shared" si="4"/>
        <v>40626</v>
      </c>
      <c r="K113" s="11">
        <f t="shared" si="4"/>
        <v>122976</v>
      </c>
      <c r="L113" s="11">
        <f t="shared" si="4"/>
        <v>4392</v>
      </c>
      <c r="M113" s="11">
        <f t="shared" si="4"/>
        <v>9882</v>
      </c>
    </row>
    <row r="114" spans="1:13" x14ac:dyDescent="0.55000000000000004">
      <c r="A114" t="s">
        <v>90</v>
      </c>
      <c r="B114" s="26">
        <v>0.96299999999999997</v>
      </c>
      <c r="C114" s="26">
        <v>7.0000000000000001E-3</v>
      </c>
      <c r="D114" s="26">
        <v>2.4E-2</v>
      </c>
      <c r="E114" s="26">
        <v>2E-3</v>
      </c>
      <c r="F114" s="26">
        <v>4.0000000000000001E-3</v>
      </c>
      <c r="G114" s="26">
        <f t="shared" si="5"/>
        <v>1</v>
      </c>
      <c r="I114" s="11">
        <f t="shared" si="6"/>
        <v>1200861</v>
      </c>
      <c r="J114" s="11">
        <f t="shared" si="4"/>
        <v>8729</v>
      </c>
      <c r="K114" s="11">
        <f t="shared" si="4"/>
        <v>29928</v>
      </c>
      <c r="L114" s="11">
        <f t="shared" si="4"/>
        <v>2494</v>
      </c>
      <c r="M114" s="11">
        <f t="shared" si="4"/>
        <v>4988</v>
      </c>
    </row>
    <row r="115" spans="1:13" x14ac:dyDescent="0.55000000000000004">
      <c r="A115" t="s">
        <v>91</v>
      </c>
      <c r="B115" s="26">
        <v>0.71</v>
      </c>
      <c r="C115" s="26">
        <v>0.223</v>
      </c>
      <c r="D115" s="26">
        <v>5.7000000000000002E-2</v>
      </c>
      <c r="E115" s="26">
        <v>4.0000000000000001E-3</v>
      </c>
      <c r="F115" s="26">
        <v>6.0000000000000001E-3</v>
      </c>
      <c r="G115" s="26">
        <f t="shared" si="5"/>
        <v>1</v>
      </c>
      <c r="I115" s="11">
        <f t="shared" si="6"/>
        <v>6688910</v>
      </c>
      <c r="J115" s="11">
        <f t="shared" si="4"/>
        <v>2100883</v>
      </c>
      <c r="K115" s="11">
        <f t="shared" si="4"/>
        <v>536997</v>
      </c>
      <c r="L115" s="11">
        <f t="shared" si="4"/>
        <v>37684</v>
      </c>
      <c r="M115" s="11">
        <f t="shared" si="4"/>
        <v>56526</v>
      </c>
    </row>
    <row r="116" spans="1:13" x14ac:dyDescent="0.55000000000000004">
      <c r="A116" t="s">
        <v>92</v>
      </c>
      <c r="B116" s="26">
        <v>0.59599999999999997</v>
      </c>
      <c r="C116" s="26">
        <v>0.30299999999999999</v>
      </c>
      <c r="D116" s="26">
        <v>8.3000000000000004E-2</v>
      </c>
      <c r="E116" s="26">
        <v>2E-3</v>
      </c>
      <c r="F116" s="26">
        <v>1.6E-2</v>
      </c>
      <c r="G116" s="26">
        <f t="shared" si="5"/>
        <v>1</v>
      </c>
      <c r="I116" s="11">
        <f t="shared" si="6"/>
        <v>6246080</v>
      </c>
      <c r="J116" s="11">
        <f t="shared" si="4"/>
        <v>3175440</v>
      </c>
      <c r="K116" s="11">
        <f t="shared" si="4"/>
        <v>869840</v>
      </c>
      <c r="L116" s="11">
        <f t="shared" si="4"/>
        <v>20960</v>
      </c>
      <c r="M116" s="11">
        <f t="shared" si="4"/>
        <v>167680</v>
      </c>
    </row>
    <row r="117" spans="1:13" x14ac:dyDescent="0.55000000000000004">
      <c r="A117" t="s">
        <v>93</v>
      </c>
      <c r="B117" s="26">
        <v>0.81100000000000005</v>
      </c>
      <c r="C117" s="26">
        <v>7.1999999999999995E-2</v>
      </c>
      <c r="D117" s="26">
        <v>9.9000000000000005E-2</v>
      </c>
      <c r="E117" s="26">
        <v>2E-3</v>
      </c>
      <c r="F117" s="26">
        <v>1.6E-2</v>
      </c>
      <c r="G117" s="26">
        <f t="shared" si="5"/>
        <v>1</v>
      </c>
      <c r="I117" s="11">
        <f t="shared" si="6"/>
        <v>16589816.000000002</v>
      </c>
      <c r="J117" s="11">
        <f t="shared" ref="J117:J143" si="7">C117*$C57</f>
        <v>1472832</v>
      </c>
      <c r="K117" s="11">
        <f t="shared" ref="K117:K143" si="8">D117*$C57</f>
        <v>2025144</v>
      </c>
      <c r="L117" s="11">
        <f t="shared" ref="L117:L142" si="9">E117*$C57</f>
        <v>40912</v>
      </c>
      <c r="M117" s="11">
        <f t="shared" ref="M117:M143" si="10">F117*$C57</f>
        <v>327296</v>
      </c>
    </row>
    <row r="118" spans="1:13" x14ac:dyDescent="0.55000000000000004">
      <c r="A118" t="s">
        <v>94</v>
      </c>
      <c r="B118" s="26">
        <v>0.86899999999999999</v>
      </c>
      <c r="C118" s="26">
        <v>6.0999999999999999E-2</v>
      </c>
      <c r="D118" s="26">
        <v>5.3999999999999999E-2</v>
      </c>
      <c r="E118" s="26">
        <v>3.0000000000000001E-3</v>
      </c>
      <c r="F118" s="26">
        <v>1.2999999999999999E-2</v>
      </c>
      <c r="G118" s="26">
        <f t="shared" si="5"/>
        <v>1</v>
      </c>
      <c r="I118" s="11">
        <f t="shared" si="6"/>
        <v>7909638</v>
      </c>
      <c r="J118" s="11">
        <f t="shared" si="7"/>
        <v>555222</v>
      </c>
      <c r="K118" s="11">
        <f t="shared" si="8"/>
        <v>491508</v>
      </c>
      <c r="L118" s="11">
        <f t="shared" si="9"/>
        <v>27306</v>
      </c>
      <c r="M118" s="11">
        <f t="shared" si="10"/>
        <v>118326</v>
      </c>
    </row>
    <row r="119" spans="1:13" x14ac:dyDescent="0.55000000000000004">
      <c r="A119" t="s">
        <v>95</v>
      </c>
      <c r="B119" s="26">
        <v>0.48599999999999999</v>
      </c>
      <c r="C119" s="26">
        <v>0.443</v>
      </c>
      <c r="D119" s="26">
        <v>4.1000000000000002E-2</v>
      </c>
      <c r="E119" s="26">
        <v>4.0000000000000001E-3</v>
      </c>
      <c r="F119" s="26">
        <v>2.5999999999999999E-2</v>
      </c>
      <c r="G119" s="26">
        <f t="shared" si="5"/>
        <v>1</v>
      </c>
      <c r="I119" s="11">
        <f t="shared" si="6"/>
        <v>2625372</v>
      </c>
      <c r="J119" s="11">
        <f t="shared" si="7"/>
        <v>2393086</v>
      </c>
      <c r="K119" s="11">
        <f t="shared" si="8"/>
        <v>221482</v>
      </c>
      <c r="L119" s="11">
        <f t="shared" si="9"/>
        <v>21608</v>
      </c>
      <c r="M119" s="11">
        <f t="shared" si="10"/>
        <v>140452</v>
      </c>
    </row>
    <row r="120" spans="1:13" x14ac:dyDescent="0.55000000000000004">
      <c r="A120" t="s">
        <v>96</v>
      </c>
      <c r="B120" s="26">
        <v>0.85399999999999998</v>
      </c>
      <c r="C120" s="26">
        <v>8.5999999999999993E-2</v>
      </c>
      <c r="D120" s="26">
        <v>4.4999999999999998E-2</v>
      </c>
      <c r="E120" s="26">
        <v>1E-3</v>
      </c>
      <c r="F120" s="26">
        <v>1.4E-2</v>
      </c>
      <c r="G120" s="26">
        <f t="shared" si="5"/>
        <v>1</v>
      </c>
      <c r="I120" s="11">
        <f t="shared" si="6"/>
        <v>5809762</v>
      </c>
      <c r="J120" s="11">
        <f t="shared" si="7"/>
        <v>585058</v>
      </c>
      <c r="K120" s="11">
        <f t="shared" si="8"/>
        <v>306135</v>
      </c>
      <c r="L120" s="11">
        <f t="shared" si="9"/>
        <v>6803</v>
      </c>
      <c r="M120" s="11">
        <f t="shared" si="10"/>
        <v>95242</v>
      </c>
    </row>
    <row r="121" spans="1:13" x14ac:dyDescent="0.55000000000000004">
      <c r="A121" t="s">
        <v>97</v>
      </c>
      <c r="B121" s="26">
        <v>0.40200000000000002</v>
      </c>
      <c r="C121" s="26">
        <v>0.58099999999999996</v>
      </c>
      <c r="D121" s="26">
        <v>3.0000000000000001E-3</v>
      </c>
      <c r="E121" s="26">
        <v>2E-3</v>
      </c>
      <c r="F121" s="26">
        <v>1.2E-2</v>
      </c>
      <c r="G121" s="26">
        <f t="shared" si="5"/>
        <v>1</v>
      </c>
      <c r="I121" s="11">
        <f t="shared" si="6"/>
        <v>603402</v>
      </c>
      <c r="J121" s="11">
        <f t="shared" si="7"/>
        <v>872080.99999999988</v>
      </c>
      <c r="K121" s="11">
        <f t="shared" si="8"/>
        <v>4503</v>
      </c>
      <c r="L121" s="11">
        <f t="shared" si="9"/>
        <v>3002</v>
      </c>
      <c r="M121" s="11">
        <f t="shared" si="10"/>
        <v>18012</v>
      </c>
    </row>
    <row r="122" spans="1:13" x14ac:dyDescent="0.55000000000000004">
      <c r="A122" t="s">
        <v>98</v>
      </c>
      <c r="B122" s="26">
        <v>0.30499999999999999</v>
      </c>
      <c r="C122" s="26">
        <v>0.55700000000000005</v>
      </c>
      <c r="D122" s="26">
        <v>9.0999999999999998E-2</v>
      </c>
      <c r="E122" s="26">
        <v>4.0000000000000001E-3</v>
      </c>
      <c r="F122" s="26">
        <v>4.2000000000000003E-2</v>
      </c>
      <c r="G122" s="26">
        <f t="shared" si="5"/>
        <v>0.99900000000000011</v>
      </c>
      <c r="I122" s="11">
        <f t="shared" si="6"/>
        <v>3541965</v>
      </c>
      <c r="J122" s="11">
        <f t="shared" si="7"/>
        <v>6468441.0000000009</v>
      </c>
      <c r="K122" s="11">
        <f t="shared" si="8"/>
        <v>1056783</v>
      </c>
      <c r="L122" s="11">
        <f>E122*$C62</f>
        <v>46452</v>
      </c>
      <c r="M122" s="11">
        <f t="shared" si="10"/>
        <v>487746.00000000006</v>
      </c>
    </row>
    <row r="123" spans="1:13" x14ac:dyDescent="0.55000000000000004">
      <c r="A123" t="s">
        <v>99</v>
      </c>
      <c r="B123" s="26">
        <v>0.84899999999999998</v>
      </c>
      <c r="C123" s="26">
        <v>4.2000000000000003E-2</v>
      </c>
      <c r="D123" s="26">
        <v>7.9000000000000001E-2</v>
      </c>
      <c r="E123" s="26">
        <v>8.9999999999999993E-3</v>
      </c>
      <c r="F123" s="26">
        <v>2.1000000000000001E-2</v>
      </c>
      <c r="G123" s="26">
        <f t="shared" si="5"/>
        <v>1</v>
      </c>
      <c r="I123" s="11">
        <f t="shared" si="6"/>
        <v>6266469</v>
      </c>
      <c r="J123" s="11">
        <f t="shared" si="7"/>
        <v>310002</v>
      </c>
      <c r="K123" s="11">
        <f t="shared" si="8"/>
        <v>583099</v>
      </c>
      <c r="L123" s="11">
        <f t="shared" si="9"/>
        <v>66429</v>
      </c>
      <c r="M123" s="11">
        <f t="shared" si="10"/>
        <v>155001</v>
      </c>
    </row>
    <row r="124" spans="1:13" x14ac:dyDescent="0.55000000000000004">
      <c r="A124" t="s">
        <v>100</v>
      </c>
      <c r="B124" s="26">
        <v>0.623</v>
      </c>
      <c r="C124" s="26">
        <v>0.26400000000000001</v>
      </c>
      <c r="D124" s="26">
        <v>8.3000000000000004E-2</v>
      </c>
      <c r="E124" s="26">
        <v>4.0000000000000001E-3</v>
      </c>
      <c r="F124" s="26">
        <v>2.5999999999999999E-2</v>
      </c>
      <c r="G124" s="26">
        <f t="shared" si="5"/>
        <v>1</v>
      </c>
      <c r="I124" s="11">
        <f t="shared" si="6"/>
        <v>10405969</v>
      </c>
      <c r="J124" s="11">
        <f t="shared" si="7"/>
        <v>4409592</v>
      </c>
      <c r="K124" s="11">
        <f t="shared" si="8"/>
        <v>1386349</v>
      </c>
      <c r="L124" s="11">
        <f t="shared" si="9"/>
        <v>66812</v>
      </c>
      <c r="M124" s="11">
        <f t="shared" si="10"/>
        <v>434278</v>
      </c>
    </row>
    <row r="125" spans="1:13" x14ac:dyDescent="0.55000000000000004">
      <c r="A125" t="s">
        <v>101</v>
      </c>
      <c r="B125" s="26">
        <v>0.86299999999999999</v>
      </c>
      <c r="C125" s="26">
        <v>4.9000000000000002E-2</v>
      </c>
      <c r="D125" s="26">
        <v>6.7000000000000004E-2</v>
      </c>
      <c r="E125" s="26">
        <v>7.0000000000000001E-3</v>
      </c>
      <c r="F125" s="26">
        <v>1.4E-2</v>
      </c>
      <c r="G125" s="26">
        <f t="shared" si="5"/>
        <v>1</v>
      </c>
      <c r="I125" s="11">
        <f t="shared" si="6"/>
        <v>5949522</v>
      </c>
      <c r="J125" s="11">
        <f t="shared" si="7"/>
        <v>337806</v>
      </c>
      <c r="K125" s="11">
        <f t="shared" si="8"/>
        <v>461898</v>
      </c>
      <c r="L125" s="11">
        <f t="shared" si="9"/>
        <v>48258</v>
      </c>
      <c r="M125" s="11">
        <f t="shared" si="10"/>
        <v>96516</v>
      </c>
    </row>
    <row r="126" spans="1:13" x14ac:dyDescent="0.55000000000000004">
      <c r="A126" t="s">
        <v>102</v>
      </c>
      <c r="B126" s="26">
        <v>0.59599999999999997</v>
      </c>
      <c r="C126" s="26">
        <v>0.34300000000000003</v>
      </c>
      <c r="D126" s="26">
        <v>5.3999999999999999E-2</v>
      </c>
      <c r="E126" s="26">
        <v>1E-3</v>
      </c>
      <c r="F126" s="26">
        <v>6.0000000000000001E-3</v>
      </c>
      <c r="G126" s="26">
        <f t="shared" si="5"/>
        <v>1</v>
      </c>
      <c r="I126" s="11">
        <f t="shared" si="6"/>
        <v>1803496</v>
      </c>
      <c r="J126" s="11">
        <f t="shared" si="7"/>
        <v>1037918.0000000001</v>
      </c>
      <c r="K126" s="11">
        <f t="shared" si="8"/>
        <v>163404</v>
      </c>
      <c r="L126" s="11">
        <f t="shared" si="9"/>
        <v>3026</v>
      </c>
      <c r="M126" s="11">
        <f t="shared" si="10"/>
        <v>18156</v>
      </c>
    </row>
    <row r="127" spans="1:13" x14ac:dyDescent="0.55000000000000004">
      <c r="A127" t="s">
        <v>103</v>
      </c>
      <c r="B127" s="26">
        <v>0.63600000000000001</v>
      </c>
      <c r="C127" s="26">
        <v>0.24199999999999999</v>
      </c>
      <c r="D127" s="26">
        <v>8.6999999999999994E-2</v>
      </c>
      <c r="E127" s="26">
        <v>3.0000000000000001E-3</v>
      </c>
      <c r="F127" s="26">
        <v>3.2000000000000001E-2</v>
      </c>
      <c r="G127" s="26">
        <f t="shared" si="5"/>
        <v>1</v>
      </c>
      <c r="I127" s="11">
        <f t="shared" si="6"/>
        <v>5445432</v>
      </c>
      <c r="J127" s="11">
        <f t="shared" si="7"/>
        <v>2072004</v>
      </c>
      <c r="K127" s="11">
        <f t="shared" si="8"/>
        <v>744894</v>
      </c>
      <c r="L127" s="11">
        <f t="shared" si="9"/>
        <v>25686</v>
      </c>
      <c r="M127" s="11">
        <f t="shared" si="10"/>
        <v>273984</v>
      </c>
    </row>
    <row r="128" spans="1:13" x14ac:dyDescent="0.55000000000000004">
      <c r="A128" t="s">
        <v>209</v>
      </c>
      <c r="B128" s="26">
        <v>0.85699999999999998</v>
      </c>
      <c r="C128" s="26">
        <v>7.1999999999999995E-2</v>
      </c>
      <c r="D128" s="26">
        <v>5.7000000000000002E-2</v>
      </c>
      <c r="E128" s="26">
        <v>3.0000000000000001E-3</v>
      </c>
      <c r="F128" s="26">
        <v>1.0999999999999999E-2</v>
      </c>
      <c r="G128" s="26">
        <f t="shared" si="5"/>
        <v>1</v>
      </c>
      <c r="I128" s="11">
        <f t="shared" si="6"/>
        <v>3379151</v>
      </c>
      <c r="J128" s="11">
        <f t="shared" si="7"/>
        <v>283896</v>
      </c>
      <c r="K128" s="11">
        <f t="shared" si="8"/>
        <v>224751</v>
      </c>
      <c r="L128" s="11">
        <f t="shared" si="9"/>
        <v>11829</v>
      </c>
      <c r="M128" s="11">
        <f t="shared" si="10"/>
        <v>43373</v>
      </c>
    </row>
    <row r="129" spans="1:14" x14ac:dyDescent="0.55000000000000004">
      <c r="A129" t="s">
        <v>104</v>
      </c>
      <c r="B129" s="26">
        <v>0.83499999999999996</v>
      </c>
      <c r="C129" s="26">
        <v>6.4000000000000001E-2</v>
      </c>
      <c r="D129" s="26">
        <v>8.7999999999999995E-2</v>
      </c>
      <c r="E129" s="26">
        <v>4.0000000000000001E-3</v>
      </c>
      <c r="F129" s="26">
        <v>8.9999999999999993E-3</v>
      </c>
      <c r="G129" s="26">
        <f t="shared" si="5"/>
        <v>1</v>
      </c>
      <c r="I129" s="11">
        <f t="shared" si="6"/>
        <v>4289395</v>
      </c>
      <c r="J129" s="11">
        <f t="shared" si="7"/>
        <v>328768</v>
      </c>
      <c r="K129" s="11">
        <f t="shared" si="8"/>
        <v>452056</v>
      </c>
      <c r="L129" s="11">
        <f t="shared" si="9"/>
        <v>20548</v>
      </c>
      <c r="M129" s="11">
        <f t="shared" si="10"/>
        <v>46233</v>
      </c>
    </row>
    <row r="130" spans="1:14" x14ac:dyDescent="0.55000000000000004">
      <c r="A130" t="s">
        <v>239</v>
      </c>
      <c r="B130" s="26">
        <v>0.873</v>
      </c>
      <c r="C130" s="26">
        <v>7.4999999999999997E-2</v>
      </c>
      <c r="D130" s="26">
        <v>0.02</v>
      </c>
      <c r="E130" s="26">
        <v>1.2999999999999999E-2</v>
      </c>
      <c r="F130" s="26">
        <v>1.9E-2</v>
      </c>
      <c r="G130" s="26">
        <f t="shared" si="5"/>
        <v>1</v>
      </c>
      <c r="I130" s="11">
        <f t="shared" si="6"/>
        <v>1426482</v>
      </c>
      <c r="J130" s="11">
        <f t="shared" si="7"/>
        <v>122550</v>
      </c>
      <c r="K130" s="11">
        <f t="shared" si="8"/>
        <v>32680</v>
      </c>
      <c r="L130" s="11">
        <f t="shared" si="9"/>
        <v>21242</v>
      </c>
      <c r="M130" s="11">
        <f t="shared" si="10"/>
        <v>31046</v>
      </c>
    </row>
    <row r="131" spans="1:14" x14ac:dyDescent="0.55000000000000004">
      <c r="A131" t="s">
        <v>189</v>
      </c>
      <c r="B131" s="26">
        <v>0.78100000000000003</v>
      </c>
      <c r="C131" s="26">
        <v>0.124</v>
      </c>
      <c r="D131" s="26">
        <v>7.6999999999999999E-2</v>
      </c>
      <c r="E131" s="26">
        <v>2E-3</v>
      </c>
      <c r="F131" s="26">
        <v>1.6E-2</v>
      </c>
      <c r="G131" s="26">
        <f t="shared" si="5"/>
        <v>1</v>
      </c>
      <c r="I131" s="11">
        <f t="shared" si="6"/>
        <v>6108201</v>
      </c>
      <c r="J131" s="11">
        <f t="shared" si="7"/>
        <v>969804</v>
      </c>
      <c r="K131" s="11">
        <f t="shared" si="8"/>
        <v>602217</v>
      </c>
      <c r="L131" s="11">
        <f t="shared" si="9"/>
        <v>15642</v>
      </c>
      <c r="M131" s="11">
        <f t="shared" si="10"/>
        <v>125136</v>
      </c>
    </row>
    <row r="132" spans="1:14" x14ac:dyDescent="0.55000000000000004">
      <c r="A132" t="s">
        <v>256</v>
      </c>
      <c r="B132" s="26">
        <v>0.94299999999999995</v>
      </c>
      <c r="C132" s="26">
        <v>4.0000000000000001E-3</v>
      </c>
      <c r="D132" s="26">
        <v>0.01</v>
      </c>
      <c r="E132" s="26">
        <v>3.4000000000000002E-2</v>
      </c>
      <c r="F132" s="26">
        <v>8.9999999999999993E-3</v>
      </c>
      <c r="G132" s="26">
        <f t="shared" si="5"/>
        <v>1</v>
      </c>
      <c r="I132" s="11">
        <f t="shared" si="6"/>
        <v>822296</v>
      </c>
      <c r="J132" s="11">
        <f t="shared" si="7"/>
        <v>3488</v>
      </c>
      <c r="K132" s="11">
        <f t="shared" si="8"/>
        <v>8720</v>
      </c>
      <c r="L132" s="11">
        <f t="shared" si="9"/>
        <v>29648.000000000004</v>
      </c>
      <c r="M132" s="11">
        <f t="shared" si="10"/>
        <v>7847.9999999999991</v>
      </c>
    </row>
    <row r="133" spans="1:14" x14ac:dyDescent="0.55000000000000004">
      <c r="A133" t="s">
        <v>38</v>
      </c>
      <c r="B133" s="26">
        <v>0.499</v>
      </c>
      <c r="C133" s="26">
        <v>2.1000000000000001E-2</v>
      </c>
      <c r="D133" s="26">
        <v>0.434</v>
      </c>
      <c r="E133" s="26">
        <v>4.0000000000000001E-3</v>
      </c>
      <c r="F133" s="26">
        <v>4.2000000000000003E-2</v>
      </c>
      <c r="G133" s="26">
        <f t="shared" si="5"/>
        <v>1</v>
      </c>
      <c r="I133" s="11">
        <f t="shared" si="6"/>
        <v>2451088</v>
      </c>
      <c r="J133" s="11">
        <f t="shared" si="7"/>
        <v>103152</v>
      </c>
      <c r="K133" s="11">
        <f t="shared" si="8"/>
        <v>2131808</v>
      </c>
      <c r="L133" s="11">
        <f t="shared" si="9"/>
        <v>19648</v>
      </c>
      <c r="M133" s="11">
        <f>F133*$C73</f>
        <v>206304</v>
      </c>
    </row>
    <row r="134" spans="1:14" x14ac:dyDescent="0.55000000000000004">
      <c r="A134" t="s">
        <v>203</v>
      </c>
      <c r="B134" s="26">
        <v>0.93</v>
      </c>
      <c r="C134" s="26">
        <v>4.4999999999999998E-2</v>
      </c>
      <c r="D134" s="26">
        <v>1.7999999999999999E-2</v>
      </c>
      <c r="E134" s="26">
        <v>1E-3</v>
      </c>
      <c r="F134" s="26">
        <v>6.0000000000000001E-3</v>
      </c>
      <c r="G134" s="26">
        <f t="shared" si="5"/>
        <v>1</v>
      </c>
      <c r="I134" s="11">
        <f t="shared" si="6"/>
        <v>1751190</v>
      </c>
      <c r="J134" s="11">
        <f t="shared" si="7"/>
        <v>84735</v>
      </c>
      <c r="K134" s="11">
        <f t="shared" si="8"/>
        <v>33894</v>
      </c>
      <c r="L134" s="11">
        <f t="shared" si="9"/>
        <v>1883</v>
      </c>
      <c r="M134" s="11">
        <f t="shared" si="10"/>
        <v>11298</v>
      </c>
    </row>
    <row r="135" spans="1:14" x14ac:dyDescent="0.55000000000000004">
      <c r="A135" t="s">
        <v>107</v>
      </c>
      <c r="B135" s="26">
        <v>0.89500000000000002</v>
      </c>
      <c r="C135" s="26">
        <v>5.8000000000000003E-2</v>
      </c>
      <c r="D135" s="26">
        <v>3.9E-2</v>
      </c>
      <c r="E135" s="26">
        <v>2E-3</v>
      </c>
      <c r="F135" s="26">
        <v>6.0000000000000001E-3</v>
      </c>
      <c r="G135" s="26">
        <f t="shared" si="5"/>
        <v>1</v>
      </c>
      <c r="I135" s="11">
        <f t="shared" si="6"/>
        <v>3066270</v>
      </c>
      <c r="J135" s="11">
        <f t="shared" si="7"/>
        <v>198708</v>
      </c>
      <c r="K135" s="11">
        <f t="shared" si="8"/>
        <v>133614</v>
      </c>
      <c r="L135" s="11">
        <f t="shared" si="9"/>
        <v>6852</v>
      </c>
      <c r="M135" s="11">
        <f t="shared" si="10"/>
        <v>20556</v>
      </c>
    </row>
    <row r="136" spans="1:14" x14ac:dyDescent="0.55000000000000004">
      <c r="A136" t="s">
        <v>114</v>
      </c>
      <c r="B136" s="26">
        <v>0.73299999999999998</v>
      </c>
      <c r="C136" s="26">
        <v>0.157</v>
      </c>
      <c r="D136" s="26">
        <v>9.1999999999999998E-2</v>
      </c>
      <c r="E136" s="26">
        <v>4.0000000000000001E-3</v>
      </c>
      <c r="F136" s="26">
        <v>1.4E-2</v>
      </c>
      <c r="G136" s="26">
        <f t="shared" si="5"/>
        <v>1</v>
      </c>
      <c r="I136" s="11">
        <f t="shared" si="6"/>
        <v>6086832</v>
      </c>
      <c r="J136" s="11">
        <f t="shared" si="7"/>
        <v>1303728</v>
      </c>
      <c r="K136" s="11">
        <f t="shared" si="8"/>
        <v>763968</v>
      </c>
      <c r="L136" s="11">
        <f t="shared" si="9"/>
        <v>33216</v>
      </c>
      <c r="M136" s="11">
        <f t="shared" si="10"/>
        <v>116256</v>
      </c>
    </row>
    <row r="137" spans="1:14" x14ac:dyDescent="0.55000000000000004">
      <c r="A137" t="s">
        <v>257</v>
      </c>
      <c r="B137" s="26">
        <v>0.93300000000000005</v>
      </c>
      <c r="C137" s="26">
        <v>8.9999999999999993E-3</v>
      </c>
      <c r="D137" s="26">
        <v>5.0999999999999997E-2</v>
      </c>
      <c r="E137" s="26">
        <v>1E-3</v>
      </c>
      <c r="F137" s="26">
        <v>6.0000000000000001E-3</v>
      </c>
      <c r="G137" s="26">
        <f t="shared" si="5"/>
        <v>1</v>
      </c>
      <c r="I137" s="11">
        <f t="shared" si="6"/>
        <v>2893233</v>
      </c>
      <c r="J137" s="11">
        <f t="shared" si="7"/>
        <v>27908.999999999996</v>
      </c>
      <c r="K137" s="11">
        <f t="shared" si="8"/>
        <v>158151</v>
      </c>
      <c r="L137" s="11">
        <f t="shared" si="9"/>
        <v>3101</v>
      </c>
      <c r="M137" s="11">
        <f t="shared" si="10"/>
        <v>18606</v>
      </c>
    </row>
    <row r="138" spans="1:14" x14ac:dyDescent="0.55000000000000004">
      <c r="A138" t="s">
        <v>115</v>
      </c>
      <c r="B138" s="26">
        <v>0.49199999999999999</v>
      </c>
      <c r="C138" s="26">
        <v>0.434</v>
      </c>
      <c r="D138" s="26">
        <v>4.2000000000000003E-2</v>
      </c>
      <c r="E138" s="26">
        <v>8.0000000000000002E-3</v>
      </c>
      <c r="F138" s="26">
        <v>2.4E-2</v>
      </c>
      <c r="G138" s="26">
        <f t="shared" si="5"/>
        <v>1</v>
      </c>
      <c r="I138" s="11">
        <f t="shared" si="6"/>
        <v>525456</v>
      </c>
      <c r="J138" s="11">
        <f t="shared" si="7"/>
        <v>463512</v>
      </c>
      <c r="K138" s="11">
        <f t="shared" si="8"/>
        <v>44856</v>
      </c>
      <c r="L138" s="11">
        <f>E138*$C78</f>
        <v>8544</v>
      </c>
      <c r="M138" s="11">
        <f>F138*$C78</f>
        <v>25632</v>
      </c>
    </row>
    <row r="139" spans="1:14" x14ac:dyDescent="0.55000000000000004">
      <c r="A139" t="s">
        <v>148</v>
      </c>
      <c r="B139" s="26">
        <v>0.52300000000000002</v>
      </c>
      <c r="C139" s="26">
        <v>0.374</v>
      </c>
      <c r="D139" s="26">
        <v>8.3000000000000004E-2</v>
      </c>
      <c r="E139" s="26">
        <v>2E-3</v>
      </c>
      <c r="F139" s="26">
        <v>1.7999999999999999E-2</v>
      </c>
      <c r="G139" s="26">
        <f t="shared" si="5"/>
        <v>1</v>
      </c>
      <c r="I139" s="11">
        <f t="shared" si="6"/>
        <v>1847236</v>
      </c>
      <c r="J139" s="11">
        <f t="shared" si="7"/>
        <v>1320968</v>
      </c>
      <c r="K139" s="11">
        <f t="shared" si="8"/>
        <v>293156</v>
      </c>
      <c r="L139" s="11">
        <f t="shared" si="9"/>
        <v>7064</v>
      </c>
      <c r="M139" s="11">
        <f t="shared" si="10"/>
        <v>63575.999999999993</v>
      </c>
    </row>
    <row r="140" spans="1:14" x14ac:dyDescent="0.55000000000000004">
      <c r="A140" t="s">
        <v>110</v>
      </c>
      <c r="B140" s="26">
        <v>0.70899999999999996</v>
      </c>
      <c r="C140" s="26">
        <v>3.2000000000000001E-2</v>
      </c>
      <c r="D140" s="26">
        <v>0.224</v>
      </c>
      <c r="E140" s="26">
        <v>2.1999999999999999E-2</v>
      </c>
      <c r="F140" s="26">
        <v>1.2999999999999999E-2</v>
      </c>
      <c r="G140" s="26">
        <f t="shared" si="5"/>
        <v>1</v>
      </c>
      <c r="I140" s="11">
        <f>B140*$C80</f>
        <v>730979</v>
      </c>
      <c r="J140" s="11">
        <f t="shared" si="7"/>
        <v>32992</v>
      </c>
      <c r="K140" s="11">
        <f t="shared" si="8"/>
        <v>230944</v>
      </c>
      <c r="L140" s="11">
        <f t="shared" si="9"/>
        <v>22682</v>
      </c>
      <c r="M140" s="11">
        <f t="shared" si="10"/>
        <v>13403</v>
      </c>
    </row>
    <row r="141" spans="1:14" x14ac:dyDescent="0.55000000000000004">
      <c r="A141" t="s">
        <v>112</v>
      </c>
      <c r="B141" s="26">
        <v>0.25900000000000001</v>
      </c>
      <c r="C141" s="26">
        <v>3.4000000000000002E-2</v>
      </c>
      <c r="D141" s="26">
        <v>1.4E-2</v>
      </c>
      <c r="E141" s="26">
        <v>0.68899999999999995</v>
      </c>
      <c r="F141" s="26">
        <v>4.0000000000000001E-3</v>
      </c>
      <c r="G141" s="26">
        <f t="shared" si="5"/>
        <v>1</v>
      </c>
      <c r="I141" s="11">
        <f t="shared" si="6"/>
        <v>368039</v>
      </c>
      <c r="J141" s="11">
        <f t="shared" si="7"/>
        <v>48314</v>
      </c>
      <c r="K141" s="11">
        <f t="shared" si="8"/>
        <v>19894</v>
      </c>
      <c r="L141" s="11">
        <f t="shared" si="9"/>
        <v>979068.99999999988</v>
      </c>
      <c r="M141" s="11">
        <f t="shared" si="10"/>
        <v>5684</v>
      </c>
    </row>
    <row r="142" spans="1:14" x14ac:dyDescent="0.55000000000000004">
      <c r="A142" t="s">
        <v>111</v>
      </c>
      <c r="B142" s="26">
        <v>0.67900000000000005</v>
      </c>
      <c r="C142" s="26">
        <v>2.1000000000000001E-2</v>
      </c>
      <c r="D142" s="26">
        <v>0.153</v>
      </c>
      <c r="E142" s="26">
        <v>0.13600000000000001</v>
      </c>
      <c r="F142" s="26">
        <v>1.0999999999999999E-2</v>
      </c>
      <c r="G142" s="26">
        <f t="shared" si="5"/>
        <v>1</v>
      </c>
      <c r="I142" s="11">
        <f t="shared" si="6"/>
        <v>261415.00000000003</v>
      </c>
      <c r="J142" s="11">
        <f t="shared" si="7"/>
        <v>8085.0000000000009</v>
      </c>
      <c r="K142" s="11">
        <f>D142*$C82</f>
        <v>58905</v>
      </c>
      <c r="L142" s="11">
        <f t="shared" si="9"/>
        <v>52360.000000000007</v>
      </c>
      <c r="M142" s="11">
        <f t="shared" si="10"/>
        <v>4235</v>
      </c>
    </row>
    <row r="143" spans="1:14" x14ac:dyDescent="0.55000000000000004">
      <c r="A143" s="3" t="s">
        <v>113</v>
      </c>
      <c r="B143" s="27">
        <v>0.61799999999999999</v>
      </c>
      <c r="C143" s="27">
        <v>1.7999999999999999E-2</v>
      </c>
      <c r="D143" s="27">
        <v>0.114</v>
      </c>
      <c r="E143" s="27">
        <v>0.23599999999999999</v>
      </c>
      <c r="F143" s="27">
        <v>1.4E-2</v>
      </c>
      <c r="G143" s="26">
        <f t="shared" si="5"/>
        <v>1</v>
      </c>
      <c r="I143" s="10">
        <f t="shared" si="6"/>
        <v>118656</v>
      </c>
      <c r="J143" s="10">
        <f t="shared" si="7"/>
        <v>3455.9999999999995</v>
      </c>
      <c r="K143" s="10">
        <f t="shared" si="8"/>
        <v>21888</v>
      </c>
      <c r="L143" s="10">
        <f>E143*$C83</f>
        <v>45312</v>
      </c>
      <c r="M143" s="10">
        <f t="shared" si="10"/>
        <v>2688</v>
      </c>
    </row>
    <row r="144" spans="1:14" ht="14.7" thickBot="1" x14ac:dyDescent="0.6">
      <c r="A144" s="29" t="s">
        <v>22</v>
      </c>
      <c r="B144" s="30">
        <f t="shared" ref="B144:G144" si="11">I144/$N144</f>
        <v>0.68634251104708854</v>
      </c>
      <c r="C144" s="30">
        <f t="shared" si="11"/>
        <v>0.21861443877703959</v>
      </c>
      <c r="D144" s="30">
        <f t="shared" si="11"/>
        <v>7.2931716999118823E-2</v>
      </c>
      <c r="E144" s="30">
        <f t="shared" si="11"/>
        <v>7.2521096698946871E-3</v>
      </c>
      <c r="F144" s="30">
        <f t="shared" si="11"/>
        <v>1.485922350685835E-2</v>
      </c>
      <c r="G144" s="30">
        <f t="shared" si="11"/>
        <v>1</v>
      </c>
      <c r="I144" s="28">
        <f>SUM(I101:I143)</f>
        <v>200548861</v>
      </c>
      <c r="J144" s="28">
        <f>SUM(J101:J143)</f>
        <v>63879005</v>
      </c>
      <c r="K144" s="28">
        <f>SUM(K101:K143)</f>
        <v>21310603</v>
      </c>
      <c r="L144" s="28">
        <f>SUM(L101:L143)</f>
        <v>2119062</v>
      </c>
      <c r="M144" s="28">
        <f>SUM(M101:M143)</f>
        <v>4341856</v>
      </c>
      <c r="N144" s="28">
        <f>SUM(I144:M144)</f>
        <v>292199387</v>
      </c>
    </row>
    <row r="145" spans="1:5" ht="14.7" thickTop="1" x14ac:dyDescent="0.55000000000000004"/>
    <row r="147" spans="1:5" x14ac:dyDescent="0.55000000000000004">
      <c r="A147" t="s">
        <v>138</v>
      </c>
      <c r="B147" t="s">
        <v>139</v>
      </c>
      <c r="C147" t="s">
        <v>126</v>
      </c>
      <c r="D147" t="s">
        <v>140</v>
      </c>
      <c r="E147" t="s">
        <v>141</v>
      </c>
    </row>
    <row r="148" spans="1:5" x14ac:dyDescent="0.55000000000000004">
      <c r="A148">
        <v>1</v>
      </c>
      <c r="B148" t="s">
        <v>194</v>
      </c>
      <c r="C148" t="s">
        <v>87</v>
      </c>
      <c r="D148" s="1">
        <v>10090000</v>
      </c>
      <c r="E148" s="1">
        <v>19785000</v>
      </c>
    </row>
    <row r="149" spans="1:5" x14ac:dyDescent="0.55000000000000004">
      <c r="A149">
        <v>2</v>
      </c>
      <c r="B149" t="s">
        <v>142</v>
      </c>
      <c r="C149" t="s">
        <v>100</v>
      </c>
      <c r="D149" s="1">
        <v>5221000</v>
      </c>
      <c r="E149" s="1">
        <v>15038000</v>
      </c>
    </row>
    <row r="150" spans="1:5" x14ac:dyDescent="0.55000000000000004">
      <c r="A150">
        <v>3</v>
      </c>
      <c r="B150" t="s">
        <v>143</v>
      </c>
      <c r="C150" t="s">
        <v>93</v>
      </c>
      <c r="D150" s="1">
        <v>4047000</v>
      </c>
      <c r="E150" s="1">
        <v>10415000</v>
      </c>
    </row>
    <row r="151" spans="1:5" x14ac:dyDescent="0.55000000000000004">
      <c r="A151">
        <v>4</v>
      </c>
      <c r="B151" t="s">
        <v>144</v>
      </c>
      <c r="C151" t="s">
        <v>78</v>
      </c>
      <c r="D151" s="1">
        <v>2513000</v>
      </c>
      <c r="E151" s="1">
        <v>7038000</v>
      </c>
    </row>
    <row r="152" spans="1:5" x14ac:dyDescent="0.55000000000000004">
      <c r="A152">
        <v>5</v>
      </c>
      <c r="B152" t="s">
        <v>145</v>
      </c>
      <c r="C152" t="s">
        <v>82</v>
      </c>
      <c r="D152" s="1">
        <v>2210000</v>
      </c>
      <c r="E152" s="1">
        <v>6471000</v>
      </c>
    </row>
    <row r="153" spans="1:5" x14ac:dyDescent="0.55000000000000004">
      <c r="A153">
        <v>6</v>
      </c>
      <c r="B153" t="s">
        <v>146</v>
      </c>
      <c r="C153" t="s">
        <v>86</v>
      </c>
      <c r="D153" s="1">
        <v>2031000</v>
      </c>
      <c r="E153" s="1">
        <v>7576000</v>
      </c>
    </row>
    <row r="154" spans="1:5" x14ac:dyDescent="0.55000000000000004">
      <c r="A154">
        <v>7</v>
      </c>
      <c r="B154" t="s">
        <v>147</v>
      </c>
      <c r="C154" t="s">
        <v>92</v>
      </c>
      <c r="D154" s="1">
        <v>1719000</v>
      </c>
      <c r="E154" s="1">
        <v>6948000</v>
      </c>
    </row>
    <row r="155" spans="1:5" x14ac:dyDescent="0.55000000000000004">
      <c r="A155">
        <v>8</v>
      </c>
      <c r="B155" t="s">
        <v>195</v>
      </c>
      <c r="C155" t="s">
        <v>148</v>
      </c>
      <c r="D155" s="1">
        <v>1643000</v>
      </c>
      <c r="E155" s="1">
        <v>9083000</v>
      </c>
    </row>
    <row r="156" spans="1:5" x14ac:dyDescent="0.55000000000000004">
      <c r="A156">
        <v>9</v>
      </c>
      <c r="B156" t="s">
        <v>149</v>
      </c>
      <c r="C156" t="s">
        <v>98</v>
      </c>
      <c r="D156" s="1">
        <v>1480000</v>
      </c>
      <c r="E156" s="1">
        <v>6743000</v>
      </c>
    </row>
    <row r="157" spans="1:5" x14ac:dyDescent="0.55000000000000004">
      <c r="A157">
        <v>10</v>
      </c>
      <c r="B157" t="s">
        <v>150</v>
      </c>
      <c r="C157" t="s">
        <v>104</v>
      </c>
      <c r="D157" s="1">
        <v>1422000</v>
      </c>
      <c r="E157" s="1">
        <v>5942000</v>
      </c>
    </row>
    <row r="158" spans="1:5" x14ac:dyDescent="0.55000000000000004">
      <c r="A158">
        <v>11</v>
      </c>
      <c r="B158" t="s">
        <v>151</v>
      </c>
      <c r="C158" t="s">
        <v>87</v>
      </c>
      <c r="D158" s="1">
        <v>1383000</v>
      </c>
      <c r="E158" s="1">
        <v>4813000</v>
      </c>
    </row>
    <row r="159" spans="1:5" x14ac:dyDescent="0.55000000000000004">
      <c r="A159">
        <v>12</v>
      </c>
      <c r="B159" t="s">
        <v>152</v>
      </c>
      <c r="C159" t="s">
        <v>38</v>
      </c>
      <c r="D159" s="1">
        <v>1369000</v>
      </c>
      <c r="E159" s="1">
        <v>4428000</v>
      </c>
    </row>
    <row r="160" spans="1:5" x14ac:dyDescent="0.55000000000000004">
      <c r="A160">
        <v>13</v>
      </c>
      <c r="B160" t="s">
        <v>153</v>
      </c>
      <c r="C160" t="s">
        <v>93</v>
      </c>
      <c r="D160" s="1">
        <v>1248000</v>
      </c>
      <c r="E160" s="1">
        <v>3327000</v>
      </c>
    </row>
    <row r="161" spans="1:5" x14ac:dyDescent="0.55000000000000004">
      <c r="A161">
        <v>14</v>
      </c>
      <c r="B161" t="s">
        <v>154</v>
      </c>
      <c r="C161" t="s">
        <v>91</v>
      </c>
      <c r="D161" s="1">
        <v>1222000</v>
      </c>
      <c r="E161" s="1">
        <v>3991000</v>
      </c>
    </row>
    <row r="162" spans="1:5" x14ac:dyDescent="0.55000000000000004">
      <c r="A162">
        <v>15</v>
      </c>
      <c r="B162" t="s">
        <v>211</v>
      </c>
      <c r="C162" t="s">
        <v>114</v>
      </c>
      <c r="D162" s="1">
        <v>1206000</v>
      </c>
      <c r="E162" s="1">
        <v>5147000</v>
      </c>
    </row>
    <row r="163" spans="1:5" x14ac:dyDescent="0.55000000000000004">
      <c r="A163">
        <v>16</v>
      </c>
      <c r="B163" t="s">
        <v>155</v>
      </c>
      <c r="C163" t="s">
        <v>96</v>
      </c>
      <c r="D163" s="1">
        <v>1180000</v>
      </c>
      <c r="E163" t="s">
        <v>212</v>
      </c>
    </row>
    <row r="164" spans="1:5" x14ac:dyDescent="0.55000000000000004">
      <c r="A164">
        <v>17</v>
      </c>
      <c r="B164" t="s">
        <v>190</v>
      </c>
      <c r="C164" t="s">
        <v>101</v>
      </c>
      <c r="D164" s="1">
        <v>1160000</v>
      </c>
      <c r="E164" s="1">
        <v>2252000</v>
      </c>
    </row>
    <row r="165" spans="1:5" x14ac:dyDescent="0.55000000000000004">
      <c r="A165">
        <v>18</v>
      </c>
      <c r="B165" t="s">
        <v>157</v>
      </c>
      <c r="C165" t="s">
        <v>78</v>
      </c>
      <c r="D165" s="1">
        <v>1129000</v>
      </c>
      <c r="E165" s="1">
        <v>3447000</v>
      </c>
    </row>
    <row r="166" spans="1:5" x14ac:dyDescent="0.55000000000000004">
      <c r="A166">
        <v>19</v>
      </c>
      <c r="B166" t="s">
        <v>158</v>
      </c>
      <c r="C166" t="s">
        <v>84</v>
      </c>
      <c r="D166" s="1">
        <v>1091000</v>
      </c>
      <c r="E166" s="1">
        <v>6291000</v>
      </c>
    </row>
    <row r="167" spans="1:5" x14ac:dyDescent="0.55000000000000004">
      <c r="A167">
        <v>20</v>
      </c>
      <c r="B167" t="s">
        <v>213</v>
      </c>
      <c r="C167" t="s">
        <v>80</v>
      </c>
      <c r="D167" s="1">
        <v>1069000</v>
      </c>
      <c r="E167" s="1">
        <v>4405000</v>
      </c>
    </row>
    <row r="168" spans="1:5" x14ac:dyDescent="0.55000000000000004">
      <c r="A168">
        <v>21</v>
      </c>
      <c r="B168" t="s">
        <v>191</v>
      </c>
      <c r="C168" t="s">
        <v>103</v>
      </c>
      <c r="D168" s="1">
        <v>1044000</v>
      </c>
      <c r="E168" s="1">
        <v>1836000</v>
      </c>
    </row>
    <row r="169" spans="1:5" x14ac:dyDescent="0.55000000000000004">
      <c r="A169">
        <v>22</v>
      </c>
      <c r="B169" t="s">
        <v>214</v>
      </c>
      <c r="C169" t="s">
        <v>79</v>
      </c>
      <c r="D169" s="1">
        <v>1021000</v>
      </c>
      <c r="E169" t="s">
        <v>215</v>
      </c>
    </row>
    <row r="170" spans="1:5" x14ac:dyDescent="0.55000000000000004">
      <c r="A170">
        <v>23</v>
      </c>
      <c r="B170" t="s">
        <v>216</v>
      </c>
      <c r="C170" t="s">
        <v>86</v>
      </c>
      <c r="D170" s="1">
        <v>1001000</v>
      </c>
      <c r="E170" s="1">
        <v>4940000</v>
      </c>
    </row>
    <row r="171" spans="1:5" x14ac:dyDescent="0.55000000000000004">
      <c r="A171">
        <v>24</v>
      </c>
      <c r="B171" t="s">
        <v>217</v>
      </c>
      <c r="C171" t="s">
        <v>94</v>
      </c>
      <c r="D171" s="1">
        <v>983000</v>
      </c>
      <c r="E171" s="1">
        <v>2297000</v>
      </c>
    </row>
    <row r="172" spans="1:5" x14ac:dyDescent="0.55000000000000004">
      <c r="A172">
        <v>25</v>
      </c>
      <c r="B172" t="s">
        <v>240</v>
      </c>
      <c r="C172" t="s">
        <v>86</v>
      </c>
      <c r="D172" s="1">
        <v>969000</v>
      </c>
      <c r="E172" s="1">
        <v>2321000</v>
      </c>
    </row>
    <row r="173" spans="1:5" x14ac:dyDescent="0.55000000000000004">
      <c r="A173">
        <v>26</v>
      </c>
      <c r="B173" t="s">
        <v>204</v>
      </c>
      <c r="C173" t="s">
        <v>94</v>
      </c>
      <c r="D173" s="1">
        <v>925000</v>
      </c>
      <c r="E173" s="1">
        <v>2929000</v>
      </c>
    </row>
    <row r="174" spans="1:5" x14ac:dyDescent="0.55000000000000004">
      <c r="A174">
        <v>27</v>
      </c>
      <c r="B174" t="s">
        <v>205</v>
      </c>
      <c r="C174" t="s">
        <v>99</v>
      </c>
      <c r="D174" s="1">
        <v>903000</v>
      </c>
      <c r="E174" s="1">
        <v>3562000</v>
      </c>
    </row>
    <row r="175" spans="1:5" x14ac:dyDescent="0.55000000000000004">
      <c r="A175">
        <v>28</v>
      </c>
      <c r="B175" t="s">
        <v>206</v>
      </c>
      <c r="C175" t="s">
        <v>98</v>
      </c>
      <c r="D175" s="1">
        <v>891000</v>
      </c>
      <c r="E175" s="1">
        <v>3421000</v>
      </c>
    </row>
    <row r="176" spans="1:5" x14ac:dyDescent="0.55000000000000004">
      <c r="A176">
        <v>29</v>
      </c>
      <c r="B176" t="s">
        <v>162</v>
      </c>
      <c r="C176" t="s">
        <v>88</v>
      </c>
      <c r="D176" s="1">
        <v>883000</v>
      </c>
      <c r="E176" s="1">
        <v>3161000</v>
      </c>
    </row>
    <row r="177" spans="1:5" x14ac:dyDescent="0.55000000000000004">
      <c r="A177">
        <v>30</v>
      </c>
      <c r="B177" t="s">
        <v>188</v>
      </c>
      <c r="C177" t="s">
        <v>115</v>
      </c>
      <c r="D177" s="1">
        <v>877000</v>
      </c>
      <c r="E177" s="1">
        <v>2473000</v>
      </c>
    </row>
    <row r="178" spans="1:5" x14ac:dyDescent="0.55000000000000004">
      <c r="A178">
        <v>31</v>
      </c>
      <c r="B178" t="s">
        <v>196</v>
      </c>
      <c r="C178" t="s">
        <v>95</v>
      </c>
      <c r="D178" s="1">
        <v>851000</v>
      </c>
      <c r="E178" s="1">
        <v>2329000</v>
      </c>
    </row>
    <row r="179" spans="1:5" x14ac:dyDescent="0.55000000000000004">
      <c r="A179">
        <v>32</v>
      </c>
      <c r="B179" t="s">
        <v>192</v>
      </c>
      <c r="C179" t="s">
        <v>103</v>
      </c>
      <c r="D179" s="1">
        <v>824000</v>
      </c>
      <c r="E179" s="1">
        <v>1651000</v>
      </c>
    </row>
    <row r="180" spans="1:5" x14ac:dyDescent="0.55000000000000004">
      <c r="A180">
        <v>33</v>
      </c>
      <c r="B180" t="s">
        <v>193</v>
      </c>
      <c r="C180" t="s">
        <v>189</v>
      </c>
      <c r="D180" s="1">
        <v>802000</v>
      </c>
      <c r="E180" s="1">
        <v>2547000</v>
      </c>
    </row>
    <row r="181" spans="1:5" x14ac:dyDescent="0.55000000000000004">
      <c r="A181">
        <v>34</v>
      </c>
      <c r="B181" t="s">
        <v>159</v>
      </c>
      <c r="C181" t="s">
        <v>100</v>
      </c>
      <c r="D181" s="1">
        <v>788000</v>
      </c>
      <c r="E181" s="1">
        <v>5312000</v>
      </c>
    </row>
    <row r="182" spans="1:5" x14ac:dyDescent="0.55000000000000004">
      <c r="A182">
        <v>35</v>
      </c>
      <c r="B182" t="s">
        <v>160</v>
      </c>
      <c r="C182" t="s">
        <v>83</v>
      </c>
      <c r="D182" s="1">
        <v>765000</v>
      </c>
      <c r="E182" s="1">
        <v>1252000</v>
      </c>
    </row>
    <row r="183" spans="1:5" x14ac:dyDescent="0.55000000000000004">
      <c r="A183">
        <v>36</v>
      </c>
      <c r="B183" t="s">
        <v>156</v>
      </c>
      <c r="C183" t="s">
        <v>101</v>
      </c>
      <c r="D183" s="1">
        <v>741000</v>
      </c>
      <c r="E183" s="1">
        <v>1782000</v>
      </c>
    </row>
    <row r="184" spans="1:5" x14ac:dyDescent="0.55000000000000004">
      <c r="A184">
        <v>37</v>
      </c>
      <c r="B184" t="s">
        <v>161</v>
      </c>
      <c r="C184" t="s">
        <v>93</v>
      </c>
      <c r="D184" s="1">
        <v>729000</v>
      </c>
      <c r="E184" s="1">
        <v>2175000</v>
      </c>
    </row>
    <row r="185" spans="1:5" x14ac:dyDescent="0.55000000000000004">
      <c r="A185">
        <v>38</v>
      </c>
      <c r="B185" t="s">
        <v>241</v>
      </c>
      <c r="C185" t="s">
        <v>88</v>
      </c>
      <c r="D185" s="1">
        <v>707000</v>
      </c>
      <c r="E185" s="1">
        <v>2434000</v>
      </c>
    </row>
    <row r="186" spans="1:5" x14ac:dyDescent="0.55000000000000004">
      <c r="A186">
        <v>39</v>
      </c>
      <c r="B186" t="s">
        <v>197</v>
      </c>
      <c r="C186" t="s">
        <v>107</v>
      </c>
      <c r="D186" s="1">
        <v>682000</v>
      </c>
      <c r="E186" s="1">
        <v>1221000</v>
      </c>
    </row>
    <row r="187" spans="1:5" x14ac:dyDescent="0.55000000000000004">
      <c r="A187">
        <v>40</v>
      </c>
      <c r="B187" t="s">
        <v>198</v>
      </c>
      <c r="C187" t="s">
        <v>98</v>
      </c>
      <c r="D187" s="1">
        <v>668000</v>
      </c>
      <c r="E187" s="1">
        <v>1814000</v>
      </c>
    </row>
    <row r="188" spans="1:5" x14ac:dyDescent="0.55000000000000004">
      <c r="A188">
        <v>41</v>
      </c>
      <c r="B188" t="s">
        <v>163</v>
      </c>
      <c r="C188" t="s">
        <v>94</v>
      </c>
      <c r="D188" s="1">
        <v>656000</v>
      </c>
      <c r="E188" s="1">
        <v>1567000</v>
      </c>
    </row>
    <row r="189" spans="1:5" x14ac:dyDescent="0.55000000000000004">
      <c r="A189">
        <v>42</v>
      </c>
      <c r="B189" t="s">
        <v>199</v>
      </c>
      <c r="C189" t="s">
        <v>189</v>
      </c>
      <c r="D189" s="1">
        <v>634000</v>
      </c>
      <c r="E189" s="1">
        <v>1341000</v>
      </c>
    </row>
    <row r="190" spans="1:5" x14ac:dyDescent="0.55000000000000004">
      <c r="A190">
        <v>43</v>
      </c>
      <c r="B190" t="s">
        <v>207</v>
      </c>
      <c r="C190" t="s">
        <v>87</v>
      </c>
      <c r="D190" s="1">
        <v>606000</v>
      </c>
      <c r="E190" s="1">
        <v>1638000</v>
      </c>
    </row>
    <row r="191" spans="1:5" x14ac:dyDescent="0.55000000000000004">
      <c r="A191">
        <v>44</v>
      </c>
      <c r="B191" t="s">
        <v>200</v>
      </c>
      <c r="C191" t="s">
        <v>79</v>
      </c>
      <c r="D191" s="1">
        <v>584000</v>
      </c>
      <c r="E191" t="s">
        <v>215</v>
      </c>
    </row>
    <row r="192" spans="1:5" x14ac:dyDescent="0.55000000000000004">
      <c r="A192">
        <v>45</v>
      </c>
      <c r="B192" t="s">
        <v>242</v>
      </c>
      <c r="C192" t="s">
        <v>114</v>
      </c>
      <c r="D192" s="1">
        <v>565000</v>
      </c>
      <c r="E192" s="1">
        <v>1641000</v>
      </c>
    </row>
    <row r="193" spans="1:5" x14ac:dyDescent="0.55000000000000004">
      <c r="A193">
        <v>46</v>
      </c>
      <c r="B193" t="s">
        <v>251</v>
      </c>
      <c r="C193" t="s">
        <v>239</v>
      </c>
      <c r="D193" s="1">
        <v>543000</v>
      </c>
      <c r="E193" s="1">
        <v>848000</v>
      </c>
    </row>
    <row r="194" spans="1:5" x14ac:dyDescent="0.55000000000000004">
      <c r="A194">
        <v>47</v>
      </c>
      <c r="B194" t="s">
        <v>201</v>
      </c>
      <c r="C194" t="s">
        <v>80</v>
      </c>
      <c r="D194" s="1">
        <v>524000</v>
      </c>
      <c r="E194" s="1">
        <v>1051000</v>
      </c>
    </row>
    <row r="195" spans="1:5" x14ac:dyDescent="0.55000000000000004">
      <c r="A195">
        <v>48</v>
      </c>
      <c r="B195" t="s">
        <v>246</v>
      </c>
      <c r="C195" t="s">
        <v>95</v>
      </c>
      <c r="D195" s="1">
        <v>517000</v>
      </c>
      <c r="E195" s="1">
        <v>1231000</v>
      </c>
    </row>
    <row r="196" spans="1:5" x14ac:dyDescent="0.55000000000000004">
      <c r="A196">
        <v>49</v>
      </c>
      <c r="B196" t="s">
        <v>202</v>
      </c>
      <c r="C196" t="s">
        <v>91</v>
      </c>
      <c r="D196" s="1">
        <v>501000</v>
      </c>
      <c r="E196" t="s">
        <v>247</v>
      </c>
    </row>
    <row r="197" spans="1:5" x14ac:dyDescent="0.55000000000000004">
      <c r="A197">
        <v>50</v>
      </c>
      <c r="B197" t="s">
        <v>208</v>
      </c>
      <c r="C197" t="s">
        <v>91</v>
      </c>
      <c r="D197" s="1">
        <v>479000</v>
      </c>
      <c r="E197" s="1">
        <v>993000</v>
      </c>
    </row>
    <row r="198" spans="1:5" x14ac:dyDescent="0.55000000000000004">
      <c r="A198">
        <v>51</v>
      </c>
      <c r="B198" t="s">
        <v>244</v>
      </c>
      <c r="C198" t="s">
        <v>80</v>
      </c>
      <c r="D198" s="1">
        <v>462000</v>
      </c>
      <c r="E198" s="1">
        <v>1001000</v>
      </c>
    </row>
    <row r="199" spans="1:5" x14ac:dyDescent="0.55000000000000004">
      <c r="A199">
        <v>52</v>
      </c>
      <c r="B199" t="s">
        <v>248</v>
      </c>
      <c r="C199" t="s">
        <v>209</v>
      </c>
      <c r="D199" s="1">
        <v>460000</v>
      </c>
      <c r="E199" t="s">
        <v>249</v>
      </c>
    </row>
    <row r="200" spans="1:5" x14ac:dyDescent="0.55000000000000004">
      <c r="A200">
        <v>53</v>
      </c>
      <c r="B200" t="s">
        <v>243</v>
      </c>
      <c r="C200" t="s">
        <v>103</v>
      </c>
      <c r="D200" s="1">
        <v>439000</v>
      </c>
      <c r="E200" s="1">
        <v>904000</v>
      </c>
    </row>
    <row r="201" spans="1:5" x14ac:dyDescent="0.55000000000000004">
      <c r="A201">
        <v>54</v>
      </c>
      <c r="B201" t="s">
        <v>210</v>
      </c>
      <c r="C201" t="s">
        <v>203</v>
      </c>
      <c r="D201" s="1">
        <v>429000</v>
      </c>
      <c r="E201" s="1">
        <v>770000</v>
      </c>
    </row>
    <row r="202" spans="1:5" x14ac:dyDescent="0.55000000000000004">
      <c r="A202">
        <v>55</v>
      </c>
      <c r="B202" t="s">
        <v>250</v>
      </c>
      <c r="C202" t="s">
        <v>103</v>
      </c>
      <c r="D202" s="1">
        <v>403000</v>
      </c>
      <c r="E202" s="1">
        <v>739000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zoomScale="93" workbookViewId="0">
      <selection activeCell="H7" sqref="H7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165</v>
      </c>
      <c r="C15" t="s">
        <v>63</v>
      </c>
      <c r="K15" t="s">
        <v>164</v>
      </c>
    </row>
    <row r="16" spans="1:11" x14ac:dyDescent="0.55000000000000004">
      <c r="A16">
        <v>1</v>
      </c>
      <c r="B16" t="s">
        <v>168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176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170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174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185</v>
      </c>
      <c r="C20" s="1">
        <v>1521000</v>
      </c>
      <c r="K20" s="1"/>
    </row>
    <row r="21" spans="1:11" x14ac:dyDescent="0.55000000000000004">
      <c r="A21">
        <v>6</v>
      </c>
      <c r="B21" t="s">
        <v>218</v>
      </c>
      <c r="C21" s="1">
        <v>221000</v>
      </c>
      <c r="K21" s="1"/>
    </row>
    <row r="22" spans="1:11" x14ac:dyDescent="0.55000000000000004">
      <c r="A22">
        <v>7</v>
      </c>
      <c r="B22" t="s">
        <v>219</v>
      </c>
      <c r="C22" s="1">
        <v>628000</v>
      </c>
      <c r="K22" s="1"/>
    </row>
    <row r="23" spans="1:11" x14ac:dyDescent="0.55000000000000004">
      <c r="A23">
        <v>8</v>
      </c>
      <c r="B23" t="s">
        <v>178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172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183</v>
      </c>
      <c r="C25" s="1">
        <v>2341000</v>
      </c>
    </row>
    <row r="26" spans="1:11" x14ac:dyDescent="0.55000000000000004">
      <c r="A26">
        <v>11</v>
      </c>
      <c r="B26" t="s">
        <v>184</v>
      </c>
      <c r="C26" s="1">
        <v>1567000</v>
      </c>
    </row>
    <row r="27" spans="1:11" x14ac:dyDescent="0.55000000000000004">
      <c r="A27">
        <v>12</v>
      </c>
      <c r="B27" t="s">
        <v>186</v>
      </c>
      <c r="C27" s="1">
        <v>234000</v>
      </c>
    </row>
    <row r="28" spans="1:11" x14ac:dyDescent="0.55000000000000004">
      <c r="A28">
        <v>13</v>
      </c>
      <c r="B28" t="s">
        <v>187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165</v>
      </c>
      <c r="D33" t="s">
        <v>63</v>
      </c>
      <c r="E33" t="s">
        <v>166</v>
      </c>
    </row>
    <row r="34" spans="1:5" x14ac:dyDescent="0.55000000000000004">
      <c r="A34">
        <v>1</v>
      </c>
      <c r="B34" t="s">
        <v>167</v>
      </c>
      <c r="C34" t="s">
        <v>168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169</v>
      </c>
      <c r="C35" t="s">
        <v>170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171</v>
      </c>
      <c r="C36" t="s">
        <v>172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173</v>
      </c>
      <c r="C37" t="s">
        <v>174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175</v>
      </c>
      <c r="C38" t="s">
        <v>176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177</v>
      </c>
      <c r="C39" t="s">
        <v>178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179</v>
      </c>
      <c r="C40" t="s">
        <v>178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180</v>
      </c>
      <c r="C41" t="s">
        <v>178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181</v>
      </c>
      <c r="C42" t="s">
        <v>172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182</v>
      </c>
      <c r="C43" t="s">
        <v>178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C1E8-034C-4708-916A-8C982E1C82B4}">
  <dimension ref="A1:D9"/>
  <sheetViews>
    <sheetView workbookViewId="0">
      <selection activeCell="D12" sqref="D12"/>
    </sheetView>
  </sheetViews>
  <sheetFormatPr defaultRowHeight="14.4" x14ac:dyDescent="0.55000000000000004"/>
  <cols>
    <col min="2" max="2" width="9.20703125" bestFit="1" customWidth="1"/>
  </cols>
  <sheetData>
    <row r="1" spans="1:4" x14ac:dyDescent="0.55000000000000004">
      <c r="A1" t="s">
        <v>349</v>
      </c>
    </row>
    <row r="2" spans="1:4" x14ac:dyDescent="0.55000000000000004">
      <c r="A2" t="s">
        <v>347</v>
      </c>
      <c r="B2" s="1">
        <v>1972550</v>
      </c>
    </row>
    <row r="3" spans="1:4" x14ac:dyDescent="0.55000000000000004">
      <c r="A3" t="s">
        <v>348</v>
      </c>
      <c r="B3" s="1">
        <f>-buenaventura!B2</f>
        <v>-1054549</v>
      </c>
    </row>
    <row r="4" spans="1:4" x14ac:dyDescent="0.55000000000000004">
      <c r="C4" t="s">
        <v>350</v>
      </c>
      <c r="D4" s="1">
        <v>39524</v>
      </c>
    </row>
    <row r="5" spans="1:4" x14ac:dyDescent="0.55000000000000004">
      <c r="C5" t="s">
        <v>351</v>
      </c>
      <c r="D5" s="1">
        <v>57507</v>
      </c>
    </row>
    <row r="6" spans="1:4" x14ac:dyDescent="0.55000000000000004">
      <c r="C6" s="3" t="s">
        <v>352</v>
      </c>
      <c r="D6" s="31">
        <v>44705.2</v>
      </c>
    </row>
    <row r="7" spans="1:4" x14ac:dyDescent="0.55000000000000004">
      <c r="A7" s="3" t="s">
        <v>353</v>
      </c>
      <c r="B7" s="6">
        <f>-SUM(D4:D6)</f>
        <v>-141736.20000000001</v>
      </c>
    </row>
    <row r="8" spans="1:4" ht="14.7" thickBot="1" x14ac:dyDescent="0.6">
      <c r="A8" s="4" t="s">
        <v>22</v>
      </c>
      <c r="B8" s="5">
        <f>SUM(B2:B7)</f>
        <v>776264.8</v>
      </c>
    </row>
    <row r="9" spans="1:4" ht="14.7" thickTop="1" x14ac:dyDescent="0.55000000000000004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C3D5-A3C0-4980-867A-FBAC00D00C62}">
  <dimension ref="A1:H36"/>
  <sheetViews>
    <sheetView topLeftCell="A18" workbookViewId="0">
      <selection activeCell="K31" sqref="K31"/>
    </sheetView>
  </sheetViews>
  <sheetFormatPr defaultRowHeight="14.4" x14ac:dyDescent="0.55000000000000004"/>
  <cols>
    <col min="2" max="2" width="9.62890625" bestFit="1" customWidth="1"/>
    <col min="5" max="5" width="9.20703125" bestFit="1" customWidth="1"/>
    <col min="8" max="8" width="8.83984375" customWidth="1"/>
  </cols>
  <sheetData>
    <row r="1" spans="1:8" x14ac:dyDescent="0.55000000000000004">
      <c r="D1" t="s">
        <v>312</v>
      </c>
      <c r="E1" s="1">
        <v>9596961</v>
      </c>
    </row>
    <row r="2" spans="1:8" x14ac:dyDescent="0.55000000000000004">
      <c r="D2" t="s">
        <v>313</v>
      </c>
      <c r="E2" s="2">
        <v>2754.97</v>
      </c>
    </row>
    <row r="3" spans="1:8" x14ac:dyDescent="0.55000000000000004">
      <c r="D3" s="3" t="s">
        <v>314</v>
      </c>
      <c r="E3" s="31">
        <v>115.3</v>
      </c>
    </row>
    <row r="4" spans="1:8" x14ac:dyDescent="0.55000000000000004">
      <c r="A4" t="s">
        <v>315</v>
      </c>
      <c r="B4" s="1">
        <f>SUM(E1:E3)</f>
        <v>9599831.2700000014</v>
      </c>
    </row>
    <row r="5" spans="1:8" x14ac:dyDescent="0.55000000000000004">
      <c r="D5" t="s">
        <v>316</v>
      </c>
      <c r="E5" s="1">
        <v>89041.2</v>
      </c>
    </row>
    <row r="6" spans="1:8" x14ac:dyDescent="0.55000000000000004">
      <c r="D6" t="s">
        <v>317</v>
      </c>
      <c r="E6" s="1">
        <v>155801.29999999999</v>
      </c>
    </row>
    <row r="7" spans="1:8" x14ac:dyDescent="0.55000000000000004">
      <c r="D7" s="3" t="s">
        <v>318</v>
      </c>
      <c r="E7" s="6">
        <v>11731.5</v>
      </c>
    </row>
    <row r="8" spans="1:8" x14ac:dyDescent="0.55000000000000004">
      <c r="A8" t="s">
        <v>319</v>
      </c>
      <c r="B8" s="1">
        <f>SUM(E5:E7)</f>
        <v>256574</v>
      </c>
    </row>
    <row r="9" spans="1:8" x14ac:dyDescent="0.55000000000000004">
      <c r="D9" t="s">
        <v>320</v>
      </c>
      <c r="E9" s="1">
        <v>36271</v>
      </c>
    </row>
    <row r="10" spans="1:8" x14ac:dyDescent="0.55000000000000004">
      <c r="D10" t="s">
        <v>321</v>
      </c>
      <c r="E10" s="1">
        <v>164673</v>
      </c>
    </row>
    <row r="11" spans="1:8" x14ac:dyDescent="0.55000000000000004">
      <c r="D11" t="s">
        <v>322</v>
      </c>
      <c r="E11" s="1">
        <v>361908</v>
      </c>
    </row>
    <row r="12" spans="1:8" x14ac:dyDescent="0.55000000000000004">
      <c r="G12" t="s">
        <v>323</v>
      </c>
      <c r="H12" s="1">
        <v>787633</v>
      </c>
    </row>
    <row r="13" spans="1:8" x14ac:dyDescent="0.55000000000000004">
      <c r="G13" t="s">
        <v>324</v>
      </c>
      <c r="H13" s="1">
        <v>-158517.79999999999</v>
      </c>
    </row>
    <row r="14" spans="1:8" x14ac:dyDescent="0.55000000000000004">
      <c r="G14" s="3" t="s">
        <v>325</v>
      </c>
      <c r="H14" s="6">
        <v>-167200</v>
      </c>
    </row>
    <row r="15" spans="1:8" x14ac:dyDescent="0.55000000000000004">
      <c r="D15" s="3" t="s">
        <v>326</v>
      </c>
      <c r="E15" s="6">
        <f>SUM(H12:H14)</f>
        <v>461915.19999999995</v>
      </c>
    </row>
    <row r="16" spans="1:8" x14ac:dyDescent="0.55000000000000004">
      <c r="A16" t="s">
        <v>327</v>
      </c>
      <c r="B16" s="1">
        <f>SUM(E9:E15)</f>
        <v>1024767.2</v>
      </c>
    </row>
    <row r="17" spans="1:5" x14ac:dyDescent="0.55000000000000004">
      <c r="B17" s="1"/>
      <c r="D17" t="s">
        <v>344</v>
      </c>
      <c r="E17" s="1">
        <v>431892</v>
      </c>
    </row>
    <row r="18" spans="1:5" x14ac:dyDescent="0.55000000000000004">
      <c r="B18" s="1"/>
      <c r="D18" s="3" t="s">
        <v>345</v>
      </c>
      <c r="E18" s="6">
        <v>351334</v>
      </c>
    </row>
    <row r="19" spans="1:5" x14ac:dyDescent="0.55000000000000004">
      <c r="A19" t="s">
        <v>346</v>
      </c>
      <c r="B19" s="1">
        <f>SUM(E17:E18)</f>
        <v>783226</v>
      </c>
    </row>
    <row r="20" spans="1:5" x14ac:dyDescent="0.55000000000000004">
      <c r="A20" t="s">
        <v>328</v>
      </c>
      <c r="B20" s="1">
        <v>1564116</v>
      </c>
    </row>
    <row r="21" spans="1:5" x14ac:dyDescent="0.55000000000000004">
      <c r="A21" t="s">
        <v>329</v>
      </c>
      <c r="B21" s="1">
        <v>168604</v>
      </c>
    </row>
    <row r="22" spans="1:5" x14ac:dyDescent="0.55000000000000004">
      <c r="D22" t="s">
        <v>330</v>
      </c>
      <c r="E22" s="1">
        <v>-1664897</v>
      </c>
    </row>
    <row r="23" spans="1:5" x14ac:dyDescent="0.55000000000000004">
      <c r="D23" t="s">
        <v>331</v>
      </c>
      <c r="E23" s="1">
        <v>137222</v>
      </c>
    </row>
    <row r="24" spans="1:5" x14ac:dyDescent="0.55000000000000004">
      <c r="D24" t="s">
        <v>332</v>
      </c>
      <c r="E24" s="1">
        <v>73485</v>
      </c>
    </row>
    <row r="25" spans="1:5" x14ac:dyDescent="0.55000000000000004">
      <c r="D25" t="s">
        <v>333</v>
      </c>
      <c r="E25" s="1">
        <v>14577</v>
      </c>
    </row>
    <row r="26" spans="1:5" x14ac:dyDescent="0.55000000000000004">
      <c r="D26" s="3" t="s">
        <v>334</v>
      </c>
      <c r="E26" s="6">
        <v>742</v>
      </c>
    </row>
    <row r="27" spans="1:5" x14ac:dyDescent="0.55000000000000004">
      <c r="A27" t="s">
        <v>335</v>
      </c>
      <c r="B27" s="1">
        <f>SUM(E22:E26)</f>
        <v>-1438871</v>
      </c>
    </row>
    <row r="28" spans="1:5" x14ac:dyDescent="0.55000000000000004">
      <c r="D28" t="s">
        <v>336</v>
      </c>
      <c r="E28" s="1">
        <v>-474300</v>
      </c>
    </row>
    <row r="29" spans="1:5" x14ac:dyDescent="0.55000000000000004">
      <c r="D29" t="s">
        <v>337</v>
      </c>
      <c r="E29" s="1">
        <v>-147681.37</v>
      </c>
    </row>
    <row r="30" spans="1:5" x14ac:dyDescent="0.55000000000000004">
      <c r="D30" t="s">
        <v>338</v>
      </c>
      <c r="E30" s="1">
        <v>-60261</v>
      </c>
    </row>
    <row r="31" spans="1:5" x14ac:dyDescent="0.55000000000000004">
      <c r="D31" t="s">
        <v>339</v>
      </c>
      <c r="E31" s="2">
        <v>-7423.42</v>
      </c>
    </row>
    <row r="32" spans="1:5" x14ac:dyDescent="0.55000000000000004">
      <c r="D32" t="s">
        <v>340</v>
      </c>
      <c r="E32" s="1">
        <v>-204887</v>
      </c>
    </row>
    <row r="33" spans="1:5" x14ac:dyDescent="0.55000000000000004">
      <c r="D33" t="s">
        <v>341</v>
      </c>
      <c r="E33" s="1">
        <v>-74246</v>
      </c>
    </row>
    <row r="34" spans="1:5" x14ac:dyDescent="0.55000000000000004">
      <c r="D34" s="3" t="s">
        <v>342</v>
      </c>
      <c r="E34" s="6">
        <v>-49384</v>
      </c>
    </row>
    <row r="35" spans="1:5" x14ac:dyDescent="0.55000000000000004">
      <c r="A35" s="3" t="s">
        <v>343</v>
      </c>
      <c r="B35" s="6">
        <f>SUM(E28:E34)</f>
        <v>-1018182.79</v>
      </c>
    </row>
    <row r="36" spans="1:5" x14ac:dyDescent="0.55000000000000004">
      <c r="A36" t="s">
        <v>22</v>
      </c>
      <c r="B36" s="1">
        <f>SUM(B4:B35)</f>
        <v>10940064.68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0FEA7-DBE6-4CF3-9F6A-52AE97FDD8BB}">
  <dimension ref="A1:E19"/>
  <sheetViews>
    <sheetView tabSelected="1" workbookViewId="0">
      <selection activeCell="G16" sqref="G16"/>
    </sheetView>
  </sheetViews>
  <sheetFormatPr defaultRowHeight="14.4" x14ac:dyDescent="0.55000000000000004"/>
  <sheetData>
    <row r="1" spans="1:5" x14ac:dyDescent="0.55000000000000004">
      <c r="A1" s="32" t="s">
        <v>354</v>
      </c>
      <c r="B1" s="1">
        <v>113729</v>
      </c>
    </row>
    <row r="2" spans="1:5" x14ac:dyDescent="0.55000000000000004">
      <c r="D2" s="32" t="s">
        <v>355</v>
      </c>
      <c r="E2">
        <v>285</v>
      </c>
    </row>
    <row r="3" spans="1:5" x14ac:dyDescent="0.55000000000000004">
      <c r="D3" s="32" t="s">
        <v>356</v>
      </c>
      <c r="E3">
        <v>92</v>
      </c>
    </row>
    <row r="4" spans="1:5" x14ac:dyDescent="0.55000000000000004">
      <c r="D4" s="32" t="s">
        <v>357</v>
      </c>
      <c r="E4">
        <v>60</v>
      </c>
    </row>
    <row r="5" spans="1:5" x14ac:dyDescent="0.55000000000000004">
      <c r="D5" s="32" t="s">
        <v>358</v>
      </c>
      <c r="E5">
        <v>28</v>
      </c>
    </row>
    <row r="6" spans="1:5" x14ac:dyDescent="0.55000000000000004">
      <c r="D6" s="32" t="s">
        <v>359</v>
      </c>
      <c r="E6">
        <v>23.1</v>
      </c>
    </row>
    <row r="7" spans="1:5" x14ac:dyDescent="0.55000000000000004">
      <c r="D7" s="32" t="s">
        <v>360</v>
      </c>
      <c r="E7">
        <v>19.7</v>
      </c>
    </row>
    <row r="8" spans="1:5" x14ac:dyDescent="0.55000000000000004">
      <c r="D8" s="32" t="s">
        <v>361</v>
      </c>
      <c r="E8">
        <v>19</v>
      </c>
    </row>
    <row r="9" spans="1:5" x14ac:dyDescent="0.55000000000000004">
      <c r="D9" s="32" t="s">
        <v>362</v>
      </c>
      <c r="E9">
        <v>17.7</v>
      </c>
    </row>
    <row r="10" spans="1:5" x14ac:dyDescent="0.55000000000000004">
      <c r="D10" s="32" t="s">
        <v>363</v>
      </c>
      <c r="E10">
        <v>17.2</v>
      </c>
    </row>
    <row r="11" spans="1:5" x14ac:dyDescent="0.55000000000000004">
      <c r="D11" s="32" t="s">
        <v>364</v>
      </c>
      <c r="E11">
        <v>15.1</v>
      </c>
    </row>
    <row r="12" spans="1:5" x14ac:dyDescent="0.55000000000000004">
      <c r="D12" s="32" t="s">
        <v>365</v>
      </c>
      <c r="E12">
        <v>13</v>
      </c>
    </row>
    <row r="13" spans="1:5" x14ac:dyDescent="0.55000000000000004">
      <c r="D13" s="33" t="s">
        <v>366</v>
      </c>
      <c r="E13" s="3">
        <v>10</v>
      </c>
    </row>
    <row r="14" spans="1:5" x14ac:dyDescent="0.55000000000000004">
      <c r="A14" t="s">
        <v>367</v>
      </c>
      <c r="B14">
        <f>SUM(E2:E13)</f>
        <v>599.80000000000007</v>
      </c>
      <c r="D14" s="32"/>
    </row>
    <row r="15" spans="1:5" ht="14.7" thickBot="1" x14ac:dyDescent="0.6">
      <c r="A15" s="4" t="s">
        <v>22</v>
      </c>
      <c r="B15" s="5">
        <f>SUM(B1:B14)</f>
        <v>114328.8</v>
      </c>
    </row>
    <row r="16" spans="1:5" ht="14.7" thickTop="1" x14ac:dyDescent="0.55000000000000004"/>
    <row r="17" spans="1:2" x14ac:dyDescent="0.55000000000000004">
      <c r="A17" t="s">
        <v>63</v>
      </c>
      <c r="B17" s="1">
        <v>1520000</v>
      </c>
    </row>
    <row r="19" spans="1:2" x14ac:dyDescent="0.55000000000000004">
      <c r="A19" t="s">
        <v>64</v>
      </c>
      <c r="B19" s="8">
        <f>B17/B15</f>
        <v>13.294987789603319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france</vt:lpstr>
      <vt:lpstr>germany</vt:lpstr>
      <vt:lpstr>batavian republic</vt:lpstr>
      <vt:lpstr>united states</vt:lpstr>
      <vt:lpstr>buenaventura</vt:lpstr>
      <vt:lpstr>mexico</vt:lpstr>
      <vt:lpstr>China</vt:lpstr>
      <vt:lpstr>new zealand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2024-11-16T00:11:26Z</dcterms:modified>
</cp:coreProperties>
</file>