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76C6718E-35F4-46F7-BAD0-EC891325F105}" xr6:coauthVersionLast="47" xr6:coauthVersionMax="47" xr10:uidLastSave="{00000000-0000-0000-0000-000000000000}"/>
  <bookViews>
    <workbookView xWindow="-48" yWindow="-48" windowWidth="20832" windowHeight="12336" activeTab="1" xr2:uid="{94B94BC7-FBC8-4BAC-A974-CA3E4662C848}"/>
  </bookViews>
  <sheets>
    <sheet name="france" sheetId="1" r:id="rId1"/>
    <sheet name="united states" sheetId="2" r:id="rId2"/>
    <sheet name="buenaventura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6" i="2" l="1"/>
  <c r="L51" i="2"/>
  <c r="L74" i="2"/>
  <c r="L52" i="2"/>
  <c r="L55" i="2"/>
  <c r="L79" i="2"/>
  <c r="L77" i="2"/>
  <c r="L75" i="2"/>
  <c r="L73" i="2"/>
  <c r="L71" i="2"/>
  <c r="L70" i="2"/>
  <c r="L68" i="2"/>
  <c r="L69" i="2"/>
  <c r="L67" i="2"/>
  <c r="L66" i="2"/>
  <c r="L65" i="2"/>
  <c r="L64" i="2"/>
  <c r="L63" i="2"/>
  <c r="L62" i="2"/>
  <c r="L61" i="2"/>
  <c r="L60" i="2"/>
  <c r="L59" i="2"/>
  <c r="L58" i="2"/>
  <c r="L57" i="2"/>
  <c r="L56" i="2"/>
  <c r="L53" i="2"/>
  <c r="L50" i="2"/>
  <c r="L49" i="2"/>
  <c r="L48" i="2"/>
  <c r="L47" i="2"/>
  <c r="L46" i="2"/>
  <c r="L45" i="2"/>
  <c r="L44" i="2"/>
  <c r="L43" i="2"/>
  <c r="L42" i="2"/>
  <c r="L41" i="2"/>
  <c r="K77" i="2"/>
  <c r="K62" i="2"/>
  <c r="K60" i="2"/>
  <c r="K59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61" i="2"/>
  <c r="K63" i="2"/>
  <c r="K64" i="2"/>
  <c r="K65" i="2"/>
  <c r="K66" i="2"/>
  <c r="K67" i="2"/>
  <c r="K68" i="2"/>
  <c r="K69" i="2"/>
  <c r="K71" i="2"/>
  <c r="K73" i="2"/>
  <c r="K79" i="2"/>
  <c r="C79" i="2"/>
  <c r="K19" i="4"/>
  <c r="C19" i="4" s="1"/>
  <c r="K22" i="4"/>
  <c r="C22" i="4"/>
  <c r="K21" i="4"/>
  <c r="C21" i="4" s="1"/>
  <c r="K17" i="4"/>
  <c r="C17" i="4" s="1"/>
  <c r="K18" i="4"/>
  <c r="C18" i="4" s="1"/>
  <c r="K16" i="4"/>
  <c r="C16" i="4" s="1"/>
  <c r="E11" i="4"/>
  <c r="H7" i="4"/>
  <c r="H6" i="4"/>
  <c r="C56" i="2"/>
  <c r="C50" i="1"/>
  <c r="B41" i="1"/>
  <c r="C41" i="1" s="1"/>
  <c r="C43" i="1"/>
  <c r="C44" i="1"/>
  <c r="C42" i="1"/>
  <c r="C45" i="1"/>
  <c r="C46" i="1"/>
  <c r="C47" i="1"/>
  <c r="C48" i="1"/>
  <c r="C49" i="1"/>
  <c r="C27" i="4" l="1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3" i="1"/>
  <c r="F15" i="1"/>
  <c r="K16" i="1"/>
  <c r="K17" i="1"/>
  <c r="J17" i="1"/>
  <c r="J16" i="1"/>
  <c r="K14" i="1"/>
  <c r="J14" i="1"/>
  <c r="G28" i="1"/>
  <c r="C29" i="1" s="1"/>
  <c r="F7" i="2"/>
  <c r="B6" i="2"/>
  <c r="B33" i="1"/>
  <c r="F28" i="1"/>
  <c r="B29" i="1" s="1"/>
  <c r="C29" i="2" l="1"/>
  <c r="H9" i="4"/>
  <c r="E10" i="4" s="1"/>
  <c r="B34" i="2"/>
  <c r="B36" i="2"/>
  <c r="B37" i="2" s="1"/>
  <c r="G18" i="1"/>
  <c r="C22" i="2"/>
  <c r="B22" i="2"/>
  <c r="B32" i="2" s="1"/>
  <c r="B86" i="2" s="1"/>
  <c r="F18" i="1"/>
  <c r="G15" i="1"/>
  <c r="B19" i="1"/>
  <c r="B30" i="1" s="1"/>
  <c r="B34" i="1" s="1"/>
  <c r="B38" i="1" s="1"/>
  <c r="C32" i="2" l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19" i="1"/>
  <c r="C30" i="1"/>
  <c r="C34" i="1" s="1"/>
  <c r="C38" i="1" s="1"/>
  <c r="C86" i="2" l="1"/>
  <c r="E5" i="4"/>
  <c r="B12" i="4" s="1"/>
  <c r="B13" i="4" s="1"/>
  <c r="B29" i="4" s="1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G41" i="2" l="1"/>
  <c r="H41" i="2" s="1"/>
  <c r="H84" i="2" s="1"/>
</calcChain>
</file>

<file path=xl/sharedStrings.xml><?xml version="1.0" encoding="utf-8"?>
<sst xmlns="http://schemas.openxmlformats.org/spreadsheetml/2006/main" count="471" uniqueCount="248">
  <si>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</si>
  <si>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</si>
  <si>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</si>
  <si>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</si>
  <si>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</si>
  <si>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</si>
  <si>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</si>
  <si>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</si>
  <si>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</si>
  <si>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</si>
  <si>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</si>
  <si>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</si>
  <si>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</si>
  <si>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</si>
  <si>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</si>
  <si>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</si>
  <si>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</si>
  <si>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</si>
  <si>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</si>
  <si>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</si>
  <si>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</si>
  <si>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</si>
  <si>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</si>
  <si>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</si>
  <si>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</si>
  <si>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</si>
  <si>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</si>
  <si>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</si>
  <si>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</si>
  <si>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</si>
  <si>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</si>
  <si>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</si>
  <si>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</si>
  <si>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</si>
  <si>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</si>
  <si>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</si>
  <si>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</si>
  <si>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</si>
  <si>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</si>
  <si>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</si>
  <si>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</si>
  <si>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</si>
  <si>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</si>
  <si>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</si>
  <si>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</si>
  <si>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</si>
  <si>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</si>
  <si>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</si>
  <si>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</si>
  <si>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</si>
  <si>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</si>
  <si>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</si>
  <si>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</si>
  <si>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</si>
  <si>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</si>
  <si>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</si>
  <si>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</si>
  <si>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</si>
  <si>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</si>
  <si>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</si>
  <si>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</si>
  <si>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</si>
  <si>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</si>
  <si>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</si>
  <si>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</si>
  <si>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</si>
  <si>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</si>
  <si>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</si>
  <si>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</si>
  <si>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</si>
  <si>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</si>
  <si>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</si>
  <si>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 xml:space="preserve">Catholicism - 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</si>
  <si>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</si>
  <si>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</si>
  <si>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</si>
  <si>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</si>
  <si>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</si>
  <si>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</si>
  <si>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</si>
  <si>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</si>
  <si>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</si>
  <si>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</si>
  <si>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</si>
  <si>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</si>
  <si>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</si>
  <si>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</si>
  <si>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</si>
  <si>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</si>
  <si>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</si>
  <si>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</si>
  <si>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</si>
  <si>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</si>
  <si>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</si>
  <si>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</si>
  <si>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</si>
  <si>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</si>
  <si>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</si>
  <si>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</si>
  <si>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</si>
  <si>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</si>
  <si>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</si>
  <si>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</si>
  <si>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</si>
  <si>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</si>
  <si>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Iowa</t>
  </si>
  <si>
    <t>Ontonagon</t>
  </si>
  <si>
    <t xml:space="preserve">Nebraska 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</si>
  <si>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</si>
  <si>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</si>
  <si>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</si>
  <si>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</si>
  <si>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</si>
  <si>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</si>
  <si>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</si>
  <si>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</si>
  <si>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</si>
  <si>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</si>
  <si>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</si>
  <si>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</si>
  <si>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</si>
  <si>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</si>
  <si>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</si>
  <si>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</si>
  <si>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</si>
  <si>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</si>
  <si>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</si>
  <si>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</si>
  <si>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</si>
  <si>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</si>
  <si>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</si>
  <si>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</si>
  <si>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</si>
  <si>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</si>
  <si>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</si>
  <si>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</si>
  <si>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</si>
  <si>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</si>
  <si>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</si>
  <si>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</si>
  <si>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</si>
  <si>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</si>
  <si>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</si>
  <si>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</si>
  <si>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</si>
  <si>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New York City</t>
  </si>
  <si>
    <t>St. Louis</t>
  </si>
  <si>
    <t>Cincinnati</t>
  </si>
  <si>
    <t>Philadelphia</t>
  </si>
  <si>
    <t>Boston</t>
  </si>
  <si>
    <t>Richmond</t>
  </si>
  <si>
    <t>Memphis</t>
  </si>
  <si>
    <t>Washington[1]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</si>
  <si>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</si>
  <si>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</si>
  <si>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</si>
  <si>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</si>
  <si>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</si>
  <si>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</si>
  <si>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</si>
  <si>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</si>
  <si>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</si>
  <si>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</si>
  <si>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Persicia[3]</t>
  </si>
  <si>
    <t>Jersey City[4]</t>
  </si>
  <si>
    <t>Charleston</t>
  </si>
  <si>
    <t>Toledo</t>
  </si>
  <si>
    <t>Independence</t>
  </si>
  <si>
    <t>Baltimore</t>
  </si>
  <si>
    <t>Columbus</t>
  </si>
  <si>
    <t>Peoria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</si>
  <si>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</si>
  <si>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</si>
  <si>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</si>
  <si>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</si>
  <si>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</si>
  <si>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</si>
  <si>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</si>
  <si>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</si>
  <si>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</si>
  <si>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</si>
  <si>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</si>
  <si>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</si>
  <si>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</si>
  <si>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</si>
  <si>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</si>
  <si>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</si>
  <si>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</si>
  <si>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</si>
  <si>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</si>
  <si>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</si>
  <si>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</si>
  <si>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</si>
  <si>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</si>
  <si>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</si>
  <si>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</si>
  <si>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</si>
  <si>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</si>
  <si>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</si>
  <si>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Clinton[5]</t>
  </si>
  <si>
    <t>Concord[6]</t>
  </si>
  <si>
    <t>Lille[7]</t>
  </si>
  <si>
    <t>Millewackie</t>
  </si>
  <si>
    <t>Mobile</t>
  </si>
  <si>
    <t>Sioux City</t>
  </si>
  <si>
    <t>Nebraska</t>
  </si>
  <si>
    <t>Pensacola</t>
  </si>
  <si>
    <t>Wichata</t>
  </si>
  <si>
    <t>New York City[1]</t>
  </si>
  <si>
    <t>Washington[2]</t>
  </si>
  <si>
    <t>15,038,000[3]</t>
  </si>
  <si>
    <t>Persitia[4]</t>
  </si>
  <si>
    <t>Clinton[8]</t>
  </si>
  <si>
    <t>Concord[9]</t>
  </si>
  <si>
    <t>Miami[10]</t>
  </si>
  <si>
    <t>Vermillionville[11]</t>
  </si>
  <si>
    <t>Dorrville[12]</t>
  </si>
  <si>
    <t>Lille[13]</t>
  </si>
  <si>
    <t>Chattanooga</t>
  </si>
  <si>
    <t>Coatesbourg[14]</t>
  </si>
  <si>
    <t>Topequa</t>
  </si>
  <si>
    <t>Newark</t>
  </si>
  <si>
    <t>Segovia[15]</t>
  </si>
  <si>
    <t>Savannah</t>
  </si>
  <si>
    <t>Jersey City[5]</t>
  </si>
  <si>
    <t>23,785,000[6]</t>
  </si>
  <si>
    <t>Norfolk[7]</t>
  </si>
  <si>
    <t>Covington</t>
  </si>
  <si>
    <t>10,415,000[16]</t>
  </si>
  <si>
    <t>Alleghania</t>
  </si>
  <si>
    <t>Concord[10]</t>
  </si>
  <si>
    <t>Miami[11]</t>
  </si>
  <si>
    <t>Vermillionville[12]</t>
  </si>
  <si>
    <t>Rochester</t>
  </si>
  <si>
    <t>Dorrville[15]</t>
  </si>
  <si>
    <t>Lexington</t>
  </si>
  <si>
    <t>St. Anthony[17]</t>
  </si>
  <si>
    <t>Juniper</t>
  </si>
  <si>
    <t>5,942,000[18]</t>
  </si>
  <si>
    <t>Raleigh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</si>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</sst>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3" fontId="0" fillId="3" borderId="0" xfId="0" applyNumberFormat="1" applyFill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1" applyNumberFormat="1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50"/>
  <sheetViews>
    <sheetView topLeftCell="A14" workbookViewId="0">
      <selection activeCell="J28" sqref="J28"/>
    </sheetView>
  </sheetViews>
  <sheetFormatPr defaultRowHeight="15" x14ac:dyDescent="0.25"/>
  <cols>
    <col min="2" max="2" width="12.85546875" bestFit="1" customWidth="1"/>
    <col min="3" max="3" width="11.85546875" bestFit="1" customWidth="1"/>
    <col min="10" max="10" width="9" customWidth="1"/>
  </cols>
  <sheetData>
    <row r="1" spans="1:11" x14ac:dyDescent="0.25">
      <c r="A1" s="28" t="s">
        <v>19</v>
      </c>
      <c r="B1" s="28"/>
    </row>
    <row r="2" spans="1:11" x14ac:dyDescent="0.25">
      <c r="A2" t="s">
        <v>0</v>
      </c>
      <c r="B2" s="1">
        <v>549970</v>
      </c>
      <c r="C2" s="1">
        <v>551695</v>
      </c>
      <c r="D2" s="1"/>
    </row>
    <row r="3" spans="1:11" x14ac:dyDescent="0.25">
      <c r="A3" t="s">
        <v>1</v>
      </c>
      <c r="B3" s="1">
        <v>30530</v>
      </c>
      <c r="C3" s="1">
        <v>30689</v>
      </c>
      <c r="D3" s="1"/>
    </row>
    <row r="4" spans="1:11" x14ac:dyDescent="0.25">
      <c r="A4" t="s">
        <v>2</v>
      </c>
      <c r="B4" s="2">
        <v>2586.4</v>
      </c>
      <c r="C4" s="2">
        <v>2586.4</v>
      </c>
      <c r="D4" s="2"/>
    </row>
    <row r="5" spans="1:11" x14ac:dyDescent="0.25">
      <c r="A5" t="s">
        <v>4</v>
      </c>
      <c r="B5">
        <v>733</v>
      </c>
      <c r="C5">
        <v>875.8</v>
      </c>
    </row>
    <row r="6" spans="1:11" x14ac:dyDescent="0.25">
      <c r="A6" t="s">
        <v>76</v>
      </c>
      <c r="B6" s="1">
        <v>2148</v>
      </c>
      <c r="C6" s="1">
        <v>2210</v>
      </c>
    </row>
    <row r="7" spans="1:11" x14ac:dyDescent="0.25">
      <c r="E7" t="s">
        <v>5</v>
      </c>
      <c r="F7" s="1">
        <v>2570</v>
      </c>
      <c r="G7" s="1">
        <v>2570</v>
      </c>
    </row>
    <row r="8" spans="1:11" x14ac:dyDescent="0.25">
      <c r="F8" s="1"/>
      <c r="G8" s="1"/>
      <c r="I8" t="s">
        <v>39</v>
      </c>
      <c r="J8">
        <v>626.79999999999995</v>
      </c>
      <c r="K8">
        <v>626.79999999999995</v>
      </c>
    </row>
    <row r="9" spans="1:11" x14ac:dyDescent="0.25">
      <c r="F9" s="1"/>
      <c r="G9" s="1"/>
      <c r="I9" t="s">
        <v>40</v>
      </c>
      <c r="J9">
        <v>642.37</v>
      </c>
      <c r="K9">
        <v>642.37</v>
      </c>
    </row>
    <row r="10" spans="1:11" x14ac:dyDescent="0.25">
      <c r="F10" s="1"/>
      <c r="G10" s="1"/>
      <c r="I10" t="s">
        <v>41</v>
      </c>
      <c r="J10">
        <v>989.05</v>
      </c>
      <c r="K10">
        <v>989.05</v>
      </c>
    </row>
    <row r="11" spans="1:11" x14ac:dyDescent="0.25">
      <c r="F11" s="1"/>
      <c r="G11" s="1"/>
      <c r="I11" t="s">
        <v>42</v>
      </c>
      <c r="J11">
        <v>782.18</v>
      </c>
      <c r="K11">
        <v>782.18</v>
      </c>
    </row>
    <row r="12" spans="1:11" x14ac:dyDescent="0.25">
      <c r="F12" s="1"/>
      <c r="G12" s="1"/>
      <c r="I12" t="s">
        <v>43</v>
      </c>
      <c r="J12">
        <v>24.12</v>
      </c>
      <c r="K12">
        <v>24.12</v>
      </c>
    </row>
    <row r="13" spans="1:11" x14ac:dyDescent="0.25">
      <c r="F13" s="1"/>
      <c r="G13" s="1"/>
      <c r="I13" t="s">
        <v>44</v>
      </c>
      <c r="J13">
        <v>26.34</v>
      </c>
      <c r="K13">
        <v>26.34</v>
      </c>
    </row>
    <row r="14" spans="1:11" x14ac:dyDescent="0.25">
      <c r="F14" s="1"/>
      <c r="G14" s="1"/>
      <c r="I14" s="3" t="s">
        <v>45</v>
      </c>
      <c r="J14" s="3">
        <f>(1/4)*105.25</f>
        <v>26.3125</v>
      </c>
      <c r="K14" s="3">
        <f>(1/4)*105.25</f>
        <v>26.3125</v>
      </c>
    </row>
    <row r="15" spans="1:11" x14ac:dyDescent="0.25">
      <c r="E15" t="s">
        <v>6</v>
      </c>
      <c r="F15" s="8">
        <f>19854.21-SUM(J8:J14)</f>
        <v>16737.037499999999</v>
      </c>
      <c r="G15" s="8">
        <f>19854.21-SUM(K8:K14)</f>
        <v>16737.037499999999</v>
      </c>
    </row>
    <row r="16" spans="1:11" x14ac:dyDescent="0.25">
      <c r="F16" s="8"/>
      <c r="G16" s="8"/>
      <c r="I16" t="s">
        <v>46</v>
      </c>
      <c r="J16">
        <f>0.5*5289.81</f>
        <v>2644.9050000000002</v>
      </c>
      <c r="K16">
        <f>0.5*5289.81</f>
        <v>2644.9050000000002</v>
      </c>
    </row>
    <row r="17" spans="1:11" x14ac:dyDescent="0.25">
      <c r="F17" s="8"/>
      <c r="G17" s="8"/>
      <c r="I17" t="s">
        <v>47</v>
      </c>
      <c r="J17">
        <f>0.6*7364.71</f>
        <v>4418.826</v>
      </c>
      <c r="K17">
        <f>0.6*7364.71</f>
        <v>4418.826</v>
      </c>
    </row>
    <row r="18" spans="1:11" x14ac:dyDescent="0.25">
      <c r="E18" s="3" t="s">
        <v>8</v>
      </c>
      <c r="F18" s="3">
        <f>SUM(J16:J17)</f>
        <v>7063.7309999999998</v>
      </c>
      <c r="G18" s="3">
        <f>SUM(K16:K17)</f>
        <v>7063.7309999999998</v>
      </c>
    </row>
    <row r="19" spans="1:11" x14ac:dyDescent="0.25">
      <c r="A19" t="s">
        <v>3</v>
      </c>
      <c r="B19" s="1">
        <f>SUM(F7:F18)</f>
        <v>26370.768499999998</v>
      </c>
      <c r="C19" s="1">
        <f>SUM(G7:G18)</f>
        <v>26370.768499999998</v>
      </c>
    </row>
    <row r="20" spans="1:11" x14ac:dyDescent="0.25">
      <c r="E20" t="s">
        <v>9</v>
      </c>
      <c r="F20">
        <v>282.49</v>
      </c>
      <c r="G20">
        <v>282.49</v>
      </c>
    </row>
    <row r="21" spans="1:11" x14ac:dyDescent="0.25">
      <c r="E21" t="s">
        <v>10</v>
      </c>
      <c r="F21" s="2">
        <v>3211.94</v>
      </c>
      <c r="G21" s="2">
        <v>3211.94</v>
      </c>
    </row>
    <row r="22" spans="1:11" x14ac:dyDescent="0.25">
      <c r="E22" t="s">
        <v>11</v>
      </c>
      <c r="F22" s="2">
        <v>5224.49</v>
      </c>
      <c r="G22" s="2">
        <v>5224.49</v>
      </c>
    </row>
    <row r="23" spans="1:11" x14ac:dyDescent="0.25">
      <c r="E23" t="s">
        <v>12</v>
      </c>
      <c r="F23" s="2">
        <v>1671.42</v>
      </c>
      <c r="G23" s="2">
        <v>1671.42</v>
      </c>
    </row>
    <row r="24" spans="1:11" x14ac:dyDescent="0.25">
      <c r="E24" t="s">
        <v>13</v>
      </c>
      <c r="F24" s="2">
        <v>802.24</v>
      </c>
      <c r="G24" s="2">
        <v>802.24</v>
      </c>
    </row>
    <row r="25" spans="1:11" x14ac:dyDescent="0.25">
      <c r="E25" t="s">
        <v>14</v>
      </c>
      <c r="F25" s="2">
        <v>838.51</v>
      </c>
      <c r="G25" s="2">
        <v>838.51</v>
      </c>
    </row>
    <row r="26" spans="1:11" x14ac:dyDescent="0.25">
      <c r="E26" t="s">
        <v>15</v>
      </c>
      <c r="F26" s="2">
        <v>541</v>
      </c>
      <c r="G26" s="2">
        <v>541</v>
      </c>
    </row>
    <row r="27" spans="1:11" x14ac:dyDescent="0.25">
      <c r="E27" t="s">
        <v>16</v>
      </c>
      <c r="F27" s="2">
        <v>89.55</v>
      </c>
      <c r="G27" s="2">
        <v>89.55</v>
      </c>
    </row>
    <row r="28" spans="1:11" x14ac:dyDescent="0.25">
      <c r="E28" s="3" t="s">
        <v>17</v>
      </c>
      <c r="F28" s="3">
        <f>16.34+5.29+8.56+7.5+1.69+2.65</f>
        <v>42.029999999999994</v>
      </c>
      <c r="G28" s="3">
        <f>16.34+5.29+8.56+7.5+1.69+2.65</f>
        <v>42.029999999999994</v>
      </c>
    </row>
    <row r="29" spans="1:11" x14ac:dyDescent="0.25">
      <c r="A29" s="3" t="s">
        <v>7</v>
      </c>
      <c r="B29" s="3">
        <f>SUM(F20:F28)</f>
        <v>12703.67</v>
      </c>
      <c r="C29" s="3">
        <f>SUM(G20:G28)</f>
        <v>12703.67</v>
      </c>
    </row>
    <row r="30" spans="1:11" ht="15.75" thickBot="1" x14ac:dyDescent="0.3">
      <c r="A30" s="4" t="s">
        <v>18</v>
      </c>
      <c r="B30" s="5">
        <f>SUM(B2:B29)</f>
        <v>625041.83850000007</v>
      </c>
      <c r="C30" s="5">
        <f>SUM(C2:C29)</f>
        <v>627130.63850000012</v>
      </c>
    </row>
    <row r="31" spans="1:11" ht="15.75" thickTop="1" x14ac:dyDescent="0.25">
      <c r="E31" t="s">
        <v>20</v>
      </c>
      <c r="F31">
        <v>242</v>
      </c>
      <c r="G31">
        <v>242</v>
      </c>
    </row>
    <row r="32" spans="1:11" x14ac:dyDescent="0.25">
      <c r="E32" s="3" t="s">
        <v>77</v>
      </c>
      <c r="F32" s="3">
        <v>500</v>
      </c>
      <c r="G32" s="3">
        <v>500</v>
      </c>
    </row>
    <row r="33" spans="1:7" x14ac:dyDescent="0.25">
      <c r="A33" s="3" t="s">
        <v>21</v>
      </c>
      <c r="B33" s="3">
        <f>SUM(F31:F32)</f>
        <v>742</v>
      </c>
      <c r="C33" s="3">
        <f>SUM(G31:G32)</f>
        <v>742</v>
      </c>
    </row>
    <row r="34" spans="1:7" ht="15.75" thickBot="1" x14ac:dyDescent="0.3">
      <c r="A34" s="4" t="s">
        <v>22</v>
      </c>
      <c r="B34" s="5">
        <f>SUM(B30:B33)</f>
        <v>625783.83850000007</v>
      </c>
      <c r="C34" s="5">
        <f>SUM(C30:C33)</f>
        <v>627872.63850000012</v>
      </c>
    </row>
    <row r="35" spans="1:7" ht="15.75" thickTop="1" x14ac:dyDescent="0.25"/>
    <row r="36" spans="1:7" x14ac:dyDescent="0.25">
      <c r="A36" t="s">
        <v>63</v>
      </c>
      <c r="B36" s="11">
        <v>131324241</v>
      </c>
    </row>
    <row r="38" spans="1:7" x14ac:dyDescent="0.25">
      <c r="A38" t="s">
        <v>64</v>
      </c>
      <c r="B38" s="12">
        <f>$B$36/B34</f>
        <v>209.85559696585227</v>
      </c>
      <c r="C38" s="12">
        <f>$B$36/C34</f>
        <v>209.15745160314066</v>
      </c>
    </row>
    <row r="40" spans="1:7" x14ac:dyDescent="0.25">
      <c r="A40" t="s">
        <v>73</v>
      </c>
      <c r="B40" t="s">
        <v>74</v>
      </c>
      <c r="C40" t="s">
        <v>63</v>
      </c>
    </row>
    <row r="41" spans="1:7" x14ac:dyDescent="0.25">
      <c r="A41" t="s">
        <v>72</v>
      </c>
      <c r="B41" s="14">
        <f>1-SUM(B42:B49)</f>
        <v>0.36399999999999988</v>
      </c>
      <c r="C41" s="15">
        <f>B$36*B41</f>
        <v>47802023.723999985</v>
      </c>
    </row>
    <row r="42" spans="1:7" x14ac:dyDescent="0.25">
      <c r="A42" t="s">
        <v>75</v>
      </c>
      <c r="B42" s="13">
        <v>0.159</v>
      </c>
      <c r="C42" s="15">
        <f>B$36*B42</f>
        <v>20880554.319000002</v>
      </c>
    </row>
    <row r="43" spans="1:7" x14ac:dyDescent="0.25">
      <c r="A43" t="s">
        <v>71</v>
      </c>
      <c r="B43" s="13">
        <v>0.108</v>
      </c>
      <c r="C43" s="15">
        <f>B$36*B43</f>
        <v>14183018.027999999</v>
      </c>
    </row>
    <row r="44" spans="1:7" x14ac:dyDescent="0.25">
      <c r="A44" t="s">
        <v>70</v>
      </c>
      <c r="B44" s="13">
        <v>7.5999999999999998E-2</v>
      </c>
      <c r="C44" s="15">
        <f t="shared" ref="C44:C49" si="0">B$36*B44</f>
        <v>9980642.3159999996</v>
      </c>
    </row>
    <row r="45" spans="1:7" x14ac:dyDescent="0.25">
      <c r="A45" t="s">
        <v>69</v>
      </c>
      <c r="B45" s="13">
        <v>5.1999999999999998E-2</v>
      </c>
      <c r="C45" s="15">
        <f t="shared" si="0"/>
        <v>6828860.5319999997</v>
      </c>
    </row>
    <row r="46" spans="1:7" x14ac:dyDescent="0.25">
      <c r="A46" t="s">
        <v>68</v>
      </c>
      <c r="B46" s="13">
        <v>3.1E-2</v>
      </c>
      <c r="C46" s="15">
        <f t="shared" si="0"/>
        <v>4071051.4709999999</v>
      </c>
    </row>
    <row r="47" spans="1:7" x14ac:dyDescent="0.25">
      <c r="A47" t="s">
        <v>67</v>
      </c>
      <c r="B47" s="13">
        <v>0.14099999999999999</v>
      </c>
      <c r="C47" s="15">
        <f t="shared" si="0"/>
        <v>18516717.980999999</v>
      </c>
      <c r="G47" s="13"/>
    </row>
    <row r="48" spans="1:7" x14ac:dyDescent="0.25">
      <c r="A48" t="s">
        <v>66</v>
      </c>
      <c r="B48" s="13">
        <v>4.8000000000000001E-2</v>
      </c>
      <c r="C48" s="15">
        <f t="shared" si="0"/>
        <v>6303563.568</v>
      </c>
    </row>
    <row r="49" spans="1:3" x14ac:dyDescent="0.25">
      <c r="A49" t="s">
        <v>65</v>
      </c>
      <c r="B49" s="13">
        <v>2.1000000000000001E-2</v>
      </c>
      <c r="C49" s="15">
        <f t="shared" si="0"/>
        <v>2757809.0610000002</v>
      </c>
    </row>
    <row r="50" spans="1:3" x14ac:dyDescent="0.25">
      <c r="A50" t="s">
        <v>22</v>
      </c>
      <c r="B50" s="16">
        <v>1</v>
      </c>
      <c r="C50" s="15">
        <f>B$36*B50</f>
        <v>131324241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L227"/>
  <sheetViews>
    <sheetView tabSelected="1" topLeftCell="A47" workbookViewId="0">
      <selection activeCell="C61" sqref="C61"/>
    </sheetView>
  </sheetViews>
  <sheetFormatPr defaultRowHeight="15" x14ac:dyDescent="0.25"/>
  <cols>
    <col min="2" max="2" width="13.28515625" bestFit="1" customWidth="1"/>
    <col min="3" max="3" width="13.140625" customWidth="1"/>
    <col min="4" max="5" width="9.5703125" bestFit="1" customWidth="1"/>
    <col min="6" max="6" width="9.140625" customWidth="1"/>
    <col min="11" max="11" width="12.140625" customWidth="1"/>
    <col min="12" max="12" width="10.85546875" bestFit="1" customWidth="1"/>
  </cols>
  <sheetData>
    <row r="1" spans="1:11" x14ac:dyDescent="0.25">
      <c r="A1" t="s">
        <v>23</v>
      </c>
    </row>
    <row r="2" spans="1:11" x14ac:dyDescent="0.25">
      <c r="E2" t="s">
        <v>24</v>
      </c>
      <c r="F2" s="1">
        <v>419350</v>
      </c>
      <c r="G2" s="1">
        <v>469616</v>
      </c>
    </row>
    <row r="3" spans="1:11" x14ac:dyDescent="0.25">
      <c r="E3" t="s">
        <v>25</v>
      </c>
      <c r="F3" s="1">
        <v>629114</v>
      </c>
      <c r="G3" s="1">
        <v>780541</v>
      </c>
    </row>
    <row r="4" spans="1:11" x14ac:dyDescent="0.25">
      <c r="E4" t="s">
        <v>26</v>
      </c>
      <c r="F4" s="1">
        <v>686507</v>
      </c>
      <c r="G4" s="1">
        <v>758842</v>
      </c>
    </row>
    <row r="5" spans="1:11" x14ac:dyDescent="0.25">
      <c r="E5" s="3" t="s">
        <v>27</v>
      </c>
      <c r="F5" s="6">
        <v>461769</v>
      </c>
      <c r="G5" s="6">
        <v>475014</v>
      </c>
    </row>
    <row r="6" spans="1:11" x14ac:dyDescent="0.25">
      <c r="A6" t="s">
        <v>28</v>
      </c>
      <c r="B6">
        <f>SUM(F2:F5)</f>
        <v>2196740</v>
      </c>
      <c r="C6">
        <f>SUM(G2:G5)</f>
        <v>2484013</v>
      </c>
    </row>
    <row r="7" spans="1:11" x14ac:dyDescent="0.25">
      <c r="E7" t="s">
        <v>29</v>
      </c>
      <c r="F7">
        <f>1314730-211754</f>
        <v>1102976</v>
      </c>
      <c r="G7">
        <f>1347715-213100</f>
        <v>1134615</v>
      </c>
    </row>
    <row r="8" spans="1:11" x14ac:dyDescent="0.25">
      <c r="I8" t="s">
        <v>48</v>
      </c>
      <c r="J8" s="1">
        <v>4750</v>
      </c>
      <c r="K8" s="1">
        <v>4770</v>
      </c>
    </row>
    <row r="9" spans="1:11" x14ac:dyDescent="0.25">
      <c r="I9" t="s">
        <v>49</v>
      </c>
      <c r="J9" s="1">
        <v>5290</v>
      </c>
      <c r="K9" s="1">
        <v>5310</v>
      </c>
    </row>
    <row r="10" spans="1:11" x14ac:dyDescent="0.25">
      <c r="I10" s="3" t="s">
        <v>50</v>
      </c>
      <c r="J10" s="6">
        <v>4700</v>
      </c>
      <c r="K10" s="6">
        <v>4710</v>
      </c>
    </row>
    <row r="11" spans="1:11" x14ac:dyDescent="0.25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25">
      <c r="E12" t="s">
        <v>31</v>
      </c>
      <c r="F12" s="9">
        <v>303448.18699999998</v>
      </c>
      <c r="G12" s="9">
        <v>303448.18699999998</v>
      </c>
    </row>
    <row r="13" spans="1:11" x14ac:dyDescent="0.25">
      <c r="F13" s="9"/>
      <c r="G13" s="9"/>
      <c r="I13" t="s">
        <v>51</v>
      </c>
      <c r="J13" s="1">
        <v>10350</v>
      </c>
      <c r="K13" s="1">
        <v>10920</v>
      </c>
    </row>
    <row r="14" spans="1:11" x14ac:dyDescent="0.25">
      <c r="F14" s="9"/>
      <c r="G14" s="9"/>
      <c r="I14" t="s">
        <v>52</v>
      </c>
      <c r="J14" s="1">
        <v>12660</v>
      </c>
      <c r="K14" s="1">
        <v>12780</v>
      </c>
    </row>
    <row r="15" spans="1:11" x14ac:dyDescent="0.25">
      <c r="F15" s="9"/>
      <c r="G15" s="9"/>
      <c r="I15" t="s">
        <v>53</v>
      </c>
      <c r="J15" s="1">
        <v>10560</v>
      </c>
      <c r="K15" s="1">
        <v>10610</v>
      </c>
    </row>
    <row r="16" spans="1:11" x14ac:dyDescent="0.25">
      <c r="F16" s="9"/>
      <c r="G16" s="9"/>
      <c r="I16" t="s">
        <v>54</v>
      </c>
      <c r="J16" s="1">
        <v>5390</v>
      </c>
      <c r="K16" s="1">
        <v>5410</v>
      </c>
    </row>
    <row r="17" spans="1:11" x14ac:dyDescent="0.25">
      <c r="F17" s="9"/>
      <c r="G17" s="9"/>
      <c r="I17" t="s">
        <v>55</v>
      </c>
      <c r="J17" s="1">
        <v>27010</v>
      </c>
      <c r="K17" s="1">
        <v>27170</v>
      </c>
    </row>
    <row r="18" spans="1:11" x14ac:dyDescent="0.25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25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25">
      <c r="E20" t="s">
        <v>33</v>
      </c>
      <c r="F20">
        <f>(1/2)*268875</f>
        <v>134437.5</v>
      </c>
      <c r="G20">
        <f>(1/2)*269601</f>
        <v>134800.5</v>
      </c>
    </row>
    <row r="21" spans="1:11" x14ac:dyDescent="0.25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25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25">
      <c r="B23" s="9"/>
      <c r="C23" s="9"/>
      <c r="I23" t="s">
        <v>57</v>
      </c>
      <c r="J23" s="1">
        <v>4500</v>
      </c>
      <c r="K23" s="1">
        <v>6920</v>
      </c>
    </row>
    <row r="24" spans="1:11" x14ac:dyDescent="0.25">
      <c r="B24" s="9"/>
      <c r="C24" s="9"/>
      <c r="I24" t="s">
        <v>58</v>
      </c>
      <c r="J24" s="1">
        <v>4670</v>
      </c>
      <c r="K24" s="1">
        <v>5650</v>
      </c>
    </row>
    <row r="25" spans="1:11" x14ac:dyDescent="0.25">
      <c r="B25" s="9"/>
      <c r="C25" s="9"/>
      <c r="I25" t="s">
        <v>59</v>
      </c>
      <c r="J25" s="1">
        <v>4930</v>
      </c>
      <c r="K25" s="1">
        <v>5760</v>
      </c>
    </row>
    <row r="26" spans="1:11" x14ac:dyDescent="0.25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25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25">
      <c r="E28" s="3" t="s">
        <v>37</v>
      </c>
      <c r="F28" s="3">
        <v>0.41</v>
      </c>
      <c r="G28" s="3">
        <v>0.41</v>
      </c>
    </row>
    <row r="29" spans="1:11" x14ac:dyDescent="0.25">
      <c r="A29" t="s">
        <v>38</v>
      </c>
      <c r="B29">
        <f>SUM(F27:F28)</f>
        <v>15340.41</v>
      </c>
      <c r="C29">
        <f>SUM(G27:G28)</f>
        <v>19690.41</v>
      </c>
    </row>
    <row r="30" spans="1:11" x14ac:dyDescent="0.25">
      <c r="A30" t="s">
        <v>61</v>
      </c>
      <c r="B30">
        <v>12981.02</v>
      </c>
      <c r="C30">
        <v>12981.02</v>
      </c>
    </row>
    <row r="31" spans="1:11" x14ac:dyDescent="0.25">
      <c r="A31" t="s">
        <v>62</v>
      </c>
      <c r="B31">
        <v>148.12100000000001</v>
      </c>
      <c r="C31">
        <v>148.12100000000001</v>
      </c>
    </row>
    <row r="32" spans="1:11" ht="15.75" thickBot="1" x14ac:dyDescent="0.3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2" ht="15.75" thickTop="1" x14ac:dyDescent="0.25"/>
    <row r="34" spans="1:12" x14ac:dyDescent="0.25">
      <c r="A34" t="s">
        <v>126</v>
      </c>
      <c r="B34" s="12">
        <f>C84^(1/3)</f>
        <v>680.86395376748942</v>
      </c>
    </row>
    <row r="35" spans="1:12" x14ac:dyDescent="0.25">
      <c r="A35" t="s">
        <v>121</v>
      </c>
      <c r="B35">
        <v>675</v>
      </c>
    </row>
    <row r="36" spans="1:12" x14ac:dyDescent="0.25">
      <c r="A36" t="s">
        <v>122</v>
      </c>
      <c r="B36" s="15">
        <f>C84/B35</f>
        <v>467602.96296296298</v>
      </c>
    </row>
    <row r="37" spans="1:12" x14ac:dyDescent="0.25">
      <c r="A37" t="s">
        <v>120</v>
      </c>
      <c r="B37" s="15">
        <f>B36+C37</f>
        <v>469602.96296296298</v>
      </c>
      <c r="C37">
        <v>2000</v>
      </c>
    </row>
    <row r="39" spans="1:12" x14ac:dyDescent="0.25">
      <c r="A39" t="s">
        <v>127</v>
      </c>
      <c r="E39" t="s">
        <v>119</v>
      </c>
      <c r="K39" t="s">
        <v>173</v>
      </c>
    </row>
    <row r="40" spans="1:12" x14ac:dyDescent="0.25">
      <c r="A40" t="s">
        <v>128</v>
      </c>
      <c r="B40" t="s">
        <v>129</v>
      </c>
      <c r="C40" t="s">
        <v>63</v>
      </c>
      <c r="E40" t="s">
        <v>123</v>
      </c>
      <c r="F40" t="s">
        <v>124</v>
      </c>
      <c r="G40" t="s">
        <v>125</v>
      </c>
      <c r="H40" t="s">
        <v>121</v>
      </c>
    </row>
    <row r="41" spans="1:12" x14ac:dyDescent="0.25">
      <c r="A41" s="22">
        <v>1</v>
      </c>
      <c r="B41" s="22" t="s">
        <v>78</v>
      </c>
      <c r="C41" s="23">
        <v>1519000</v>
      </c>
      <c r="D41" s="23"/>
      <c r="E41" s="24">
        <f t="shared" ref="E41:E82" si="0">C41/$B$37</f>
        <v>3.2346473932273754</v>
      </c>
      <c r="F41" s="25">
        <f t="shared" ref="F41:F83" si="1">FLOOR(E41,1)</f>
        <v>3</v>
      </c>
      <c r="G41" s="22">
        <f>SQRT(F41*(F41+1))</f>
        <v>3.4641016151377544</v>
      </c>
      <c r="H41" s="22">
        <f t="shared" ref="H41:H83" si="2">IF(E41&gt;G41,CEILING(E41,1),FLOOR(E41,1))</f>
        <v>3</v>
      </c>
      <c r="I41" s="22"/>
      <c r="J41" s="22"/>
      <c r="K41" s="23">
        <f>K98*0.075</f>
        <v>527850</v>
      </c>
      <c r="L41" s="23">
        <f>E181*0.075</f>
        <v>527850</v>
      </c>
    </row>
    <row r="42" spans="1:12" x14ac:dyDescent="0.25">
      <c r="A42">
        <v>2</v>
      </c>
      <c r="B42" t="s">
        <v>79</v>
      </c>
      <c r="C42" s="1">
        <v>15634000</v>
      </c>
      <c r="D42" s="1"/>
      <c r="E42" s="12">
        <f t="shared" si="0"/>
        <v>33.291953486317837</v>
      </c>
      <c r="F42" s="15">
        <f t="shared" si="1"/>
        <v>33</v>
      </c>
      <c r="G42">
        <f t="shared" ref="G42:G83" si="3">SQRT(F42*(F42+1))</f>
        <v>33.496268448888451</v>
      </c>
      <c r="H42">
        <f t="shared" si="2"/>
        <v>33</v>
      </c>
      <c r="K42" s="11">
        <f>K98*0.75+K111*0.8</f>
        <v>8036100</v>
      </c>
      <c r="L42" s="11">
        <f>E181*0.75+E195*0.8</f>
        <v>8036100</v>
      </c>
    </row>
    <row r="43" spans="1:12" x14ac:dyDescent="0.25">
      <c r="A43" s="22">
        <v>3</v>
      </c>
      <c r="B43" s="22" t="s">
        <v>80</v>
      </c>
      <c r="C43" s="23">
        <v>12137000</v>
      </c>
      <c r="D43" s="23"/>
      <c r="E43" s="24">
        <f t="shared" si="0"/>
        <v>25.845237268993191</v>
      </c>
      <c r="F43" s="25">
        <f t="shared" si="1"/>
        <v>25</v>
      </c>
      <c r="G43" s="22">
        <f t="shared" si="3"/>
        <v>25.495097567963924</v>
      </c>
      <c r="H43" s="22">
        <f t="shared" si="2"/>
        <v>26</v>
      </c>
      <c r="I43" s="22"/>
      <c r="J43" s="22"/>
      <c r="K43" s="26">
        <f>K95*0.15+K98*0.175</f>
        <v>4799400</v>
      </c>
      <c r="L43" s="26">
        <f>E178*0.15+E181*0.175</f>
        <v>4799400</v>
      </c>
    </row>
    <row r="44" spans="1:12" x14ac:dyDescent="0.25">
      <c r="A44">
        <v>4</v>
      </c>
      <c r="B44" t="s">
        <v>81</v>
      </c>
      <c r="C44" s="1">
        <v>11511000</v>
      </c>
      <c r="D44" s="1"/>
      <c r="E44" s="12">
        <f t="shared" si="0"/>
        <v>24.512196276129242</v>
      </c>
      <c r="F44" s="15">
        <f t="shared" si="1"/>
        <v>24</v>
      </c>
      <c r="G44">
        <f t="shared" si="3"/>
        <v>24.494897427831781</v>
      </c>
      <c r="H44">
        <f t="shared" si="2"/>
        <v>25</v>
      </c>
      <c r="K44" s="1">
        <f>K112+K118*(1/3)</f>
        <v>5764333.333333333</v>
      </c>
      <c r="L44" s="1">
        <f>E197+E205*(1/3)+E222*0.7+E214*0.3</f>
        <v>6331333.333333333</v>
      </c>
    </row>
    <row r="45" spans="1:12" x14ac:dyDescent="0.25">
      <c r="A45" s="22">
        <v>5</v>
      </c>
      <c r="B45" s="22" t="s">
        <v>82</v>
      </c>
      <c r="C45" s="23">
        <v>3646000</v>
      </c>
      <c r="D45" s="23"/>
      <c r="E45" s="24">
        <f t="shared" si="0"/>
        <v>7.7640055271277228</v>
      </c>
      <c r="F45" s="25">
        <f t="shared" si="1"/>
        <v>7</v>
      </c>
      <c r="G45" s="22">
        <f t="shared" si="3"/>
        <v>7.4833147735478827</v>
      </c>
      <c r="H45" s="22">
        <f t="shared" si="2"/>
        <v>8</v>
      </c>
      <c r="I45" s="22"/>
      <c r="J45" s="22"/>
      <c r="K45" s="26">
        <f>K95*0.1</f>
        <v>2378500</v>
      </c>
      <c r="L45" s="26">
        <f>E178*0.1</f>
        <v>2378500</v>
      </c>
    </row>
    <row r="46" spans="1:12" x14ac:dyDescent="0.25">
      <c r="A46">
        <v>6</v>
      </c>
      <c r="B46" t="s">
        <v>83</v>
      </c>
      <c r="C46" s="1">
        <v>8683000</v>
      </c>
      <c r="D46" s="1"/>
      <c r="E46" s="12">
        <f t="shared" si="0"/>
        <v>18.490087765235881</v>
      </c>
      <c r="F46" s="15">
        <f t="shared" si="1"/>
        <v>18</v>
      </c>
      <c r="G46">
        <f t="shared" si="3"/>
        <v>18.493242008906929</v>
      </c>
      <c r="H46">
        <f t="shared" si="2"/>
        <v>18</v>
      </c>
      <c r="K46" s="11">
        <f>K99*0.8</f>
        <v>5176800</v>
      </c>
      <c r="L46" s="11">
        <f>E182*0.8</f>
        <v>5176800</v>
      </c>
    </row>
    <row r="47" spans="1:12" x14ac:dyDescent="0.25">
      <c r="A47" s="22">
        <v>7</v>
      </c>
      <c r="B47" s="22" t="s">
        <v>84</v>
      </c>
      <c r="C47" s="23">
        <v>4777000</v>
      </c>
      <c r="D47" s="23"/>
      <c r="E47" s="24">
        <f t="shared" si="0"/>
        <v>10.172423039794058</v>
      </c>
      <c r="F47" s="25">
        <f t="shared" si="1"/>
        <v>10</v>
      </c>
      <c r="G47" s="22">
        <f t="shared" si="3"/>
        <v>10.488088481701515</v>
      </c>
      <c r="H47" s="22">
        <f t="shared" si="2"/>
        <v>10</v>
      </c>
      <c r="I47" s="22"/>
      <c r="J47" s="22"/>
      <c r="K47" s="26">
        <f>K102*(2.5/9)+K121</f>
        <v>3775055.5555555555</v>
      </c>
      <c r="L47" s="26">
        <f>E185*(2.5/9)+E210</f>
        <v>3775055.5555555555</v>
      </c>
    </row>
    <row r="48" spans="1:12" x14ac:dyDescent="0.25">
      <c r="A48">
        <v>8</v>
      </c>
      <c r="B48" t="s">
        <v>85</v>
      </c>
      <c r="C48" s="1">
        <v>9118000</v>
      </c>
      <c r="D48" s="1"/>
      <c r="E48" s="12">
        <f t="shared" si="0"/>
        <v>19.416402193184471</v>
      </c>
      <c r="F48" s="15">
        <f t="shared" si="1"/>
        <v>19</v>
      </c>
      <c r="G48">
        <f t="shared" si="3"/>
        <v>19.493588689617926</v>
      </c>
      <c r="H48">
        <f t="shared" si="2"/>
        <v>19</v>
      </c>
      <c r="K48" s="1">
        <f>K114</f>
        <v>6491000</v>
      </c>
      <c r="L48" s="1">
        <f>E196+E222*0.3</f>
        <v>6606300</v>
      </c>
    </row>
    <row r="49" spans="1:12" x14ac:dyDescent="0.25">
      <c r="A49" s="22">
        <v>9</v>
      </c>
      <c r="B49" s="22" t="s">
        <v>86</v>
      </c>
      <c r="C49" s="23">
        <v>1544000</v>
      </c>
      <c r="D49" s="23"/>
      <c r="E49" s="24">
        <f t="shared" si="0"/>
        <v>3.2878838546037312</v>
      </c>
      <c r="F49" s="25">
        <f t="shared" si="1"/>
        <v>3</v>
      </c>
      <c r="G49" s="22">
        <f t="shared" si="3"/>
        <v>3.4641016151377544</v>
      </c>
      <c r="H49" s="22">
        <f t="shared" si="2"/>
        <v>3</v>
      </c>
      <c r="I49" s="22"/>
      <c r="J49" s="22"/>
      <c r="K49" s="26">
        <f>K99*0.075</f>
        <v>485325</v>
      </c>
      <c r="L49" s="26">
        <f>E182*0.075</f>
        <v>485325</v>
      </c>
    </row>
    <row r="50" spans="1:12" x14ac:dyDescent="0.25">
      <c r="A50">
        <v>10</v>
      </c>
      <c r="B50" t="s">
        <v>87</v>
      </c>
      <c r="C50" s="1">
        <v>17041000</v>
      </c>
      <c r="D50" s="1"/>
      <c r="E50" s="12">
        <f t="shared" si="0"/>
        <v>36.288101532579134</v>
      </c>
      <c r="F50" s="15">
        <f t="shared" si="1"/>
        <v>36</v>
      </c>
      <c r="G50">
        <f t="shared" si="3"/>
        <v>36.496575181789318</v>
      </c>
      <c r="H50">
        <f t="shared" si="2"/>
        <v>36</v>
      </c>
      <c r="K50" s="11">
        <f>K100+K102*(2.5/9)</f>
        <v>10099055.555555556</v>
      </c>
      <c r="L50" s="11">
        <f>E183+E185*(2.5/9)+E200*0.8</f>
        <v>14051055.555555556</v>
      </c>
    </row>
    <row r="51" spans="1:12" x14ac:dyDescent="0.25">
      <c r="A51" s="22">
        <v>11</v>
      </c>
      <c r="B51" s="22" t="s">
        <v>88</v>
      </c>
      <c r="C51" s="23">
        <v>40239000</v>
      </c>
      <c r="D51" s="23"/>
      <c r="E51" s="24">
        <f t="shared" si="0"/>
        <v>85.687278772927172</v>
      </c>
      <c r="F51" s="25">
        <f t="shared" si="1"/>
        <v>85</v>
      </c>
      <c r="G51" s="22">
        <f t="shared" si="3"/>
        <v>85.498537999196216</v>
      </c>
      <c r="H51" s="22">
        <f t="shared" si="2"/>
        <v>86</v>
      </c>
      <c r="I51" s="22"/>
      <c r="J51" s="22"/>
      <c r="K51" s="26">
        <f>K95*0.75+K105</f>
        <v>22651750</v>
      </c>
      <c r="L51" s="26">
        <f>E178*0.75+E188+E219</f>
        <v>24289750</v>
      </c>
    </row>
    <row r="52" spans="1:12" x14ac:dyDescent="0.25">
      <c r="A52">
        <v>12</v>
      </c>
      <c r="B52" t="s">
        <v>89</v>
      </c>
      <c r="C52" s="1">
        <v>11511000</v>
      </c>
      <c r="D52" s="1"/>
      <c r="E52" s="12">
        <f t="shared" si="0"/>
        <v>24.512196276129242</v>
      </c>
      <c r="F52" s="15">
        <f t="shared" si="1"/>
        <v>24</v>
      </c>
      <c r="G52">
        <f t="shared" si="3"/>
        <v>24.494897427831781</v>
      </c>
      <c r="H52">
        <f t="shared" si="2"/>
        <v>25</v>
      </c>
      <c r="K52" s="1">
        <f>K125</f>
        <v>2461000</v>
      </c>
      <c r="L52" s="1">
        <f>E213+E200*0.2+E226</f>
        <v>4383000</v>
      </c>
    </row>
    <row r="53" spans="1:12" x14ac:dyDescent="0.25">
      <c r="A53" s="22">
        <v>13</v>
      </c>
      <c r="B53" s="22" t="s">
        <v>90</v>
      </c>
      <c r="C53" s="23">
        <v>1098000</v>
      </c>
      <c r="D53" s="23"/>
      <c r="E53" s="24">
        <f t="shared" si="0"/>
        <v>2.3381453836495445</v>
      </c>
      <c r="F53" s="25">
        <f t="shared" si="1"/>
        <v>2</v>
      </c>
      <c r="G53" s="22">
        <f t="shared" si="3"/>
        <v>2.4494897427831779</v>
      </c>
      <c r="H53" s="22">
        <f t="shared" si="2"/>
        <v>2</v>
      </c>
      <c r="I53" s="22"/>
      <c r="J53" s="22"/>
      <c r="K53" s="26">
        <f>K99*0.125</f>
        <v>808875</v>
      </c>
      <c r="L53" s="26">
        <f>E182*0.125</f>
        <v>808875</v>
      </c>
    </row>
    <row r="54" spans="1:12" x14ac:dyDescent="0.25">
      <c r="A54">
        <v>14</v>
      </c>
      <c r="B54" t="s">
        <v>91</v>
      </c>
      <c r="C54" s="1">
        <v>647000</v>
      </c>
      <c r="D54" s="1"/>
      <c r="E54" s="12">
        <f t="shared" si="0"/>
        <v>1.3777596204200868</v>
      </c>
      <c r="F54" s="15">
        <f t="shared" si="1"/>
        <v>1</v>
      </c>
      <c r="G54">
        <f t="shared" si="3"/>
        <v>1.4142135623730951</v>
      </c>
      <c r="H54">
        <f t="shared" si="2"/>
        <v>1</v>
      </c>
    </row>
    <row r="55" spans="1:12" x14ac:dyDescent="0.25">
      <c r="A55" s="22">
        <v>15</v>
      </c>
      <c r="B55" s="22" t="s">
        <v>92</v>
      </c>
      <c r="C55" s="23">
        <v>9421000</v>
      </c>
      <c r="D55" s="23"/>
      <c r="E55" s="24">
        <f t="shared" si="0"/>
        <v>20.061628105065903</v>
      </c>
      <c r="F55" s="25">
        <f t="shared" si="1"/>
        <v>20</v>
      </c>
      <c r="G55" s="22">
        <f t="shared" si="3"/>
        <v>20.493901531919196</v>
      </c>
      <c r="H55" s="22">
        <f t="shared" si="2"/>
        <v>20</v>
      </c>
      <c r="I55" s="22"/>
      <c r="J55" s="22"/>
      <c r="K55" s="26">
        <f>K97*0.1+K108*0.8</f>
        <v>4234300</v>
      </c>
      <c r="L55" s="26">
        <f>E180*0.1+E191*0.8+E224</f>
        <v>5227300</v>
      </c>
    </row>
    <row r="56" spans="1:12" x14ac:dyDescent="0.25">
      <c r="A56">
        <v>16</v>
      </c>
      <c r="B56" t="s">
        <v>93</v>
      </c>
      <c r="C56" s="1">
        <f>10480000</f>
        <v>10480000</v>
      </c>
      <c r="D56" s="1"/>
      <c r="E56" s="12">
        <f t="shared" si="0"/>
        <v>22.316724608968332</v>
      </c>
      <c r="F56" s="15">
        <f t="shared" si="1"/>
        <v>22</v>
      </c>
      <c r="G56">
        <f t="shared" si="3"/>
        <v>22.494443758403985</v>
      </c>
      <c r="H56">
        <f t="shared" si="2"/>
        <v>22</v>
      </c>
      <c r="K56" s="11">
        <f>K101*0.8</f>
        <v>5558400</v>
      </c>
      <c r="L56" s="11">
        <f>E184*0.8</f>
        <v>5558400</v>
      </c>
    </row>
    <row r="57" spans="1:12" x14ac:dyDescent="0.25">
      <c r="A57" s="22">
        <v>17</v>
      </c>
      <c r="B57" s="22" t="s">
        <v>94</v>
      </c>
      <c r="C57" s="23">
        <v>23456000</v>
      </c>
      <c r="D57" s="23"/>
      <c r="E57" s="24">
        <f t="shared" si="0"/>
        <v>49.948577521752021</v>
      </c>
      <c r="F57" s="25">
        <f t="shared" si="1"/>
        <v>49</v>
      </c>
      <c r="G57" s="22">
        <f t="shared" si="3"/>
        <v>49.497474683058329</v>
      </c>
      <c r="H57" s="22">
        <f t="shared" si="2"/>
        <v>50</v>
      </c>
      <c r="I57" s="22"/>
      <c r="J57" s="22"/>
      <c r="K57" s="26">
        <f>K97*0.8+K107+K111*0.2+K123+K117*0.3</f>
        <v>15797500</v>
      </c>
      <c r="L57" s="26">
        <f>E180*0.8+E190+E195*0.2+E212+E203*0.3</f>
        <v>15592000</v>
      </c>
    </row>
    <row r="58" spans="1:12" x14ac:dyDescent="0.25">
      <c r="A58">
        <v>18</v>
      </c>
      <c r="B58" t="s">
        <v>95</v>
      </c>
      <c r="C58" s="1">
        <v>9102000</v>
      </c>
      <c r="D58" s="1"/>
      <c r="E58" s="12">
        <f t="shared" si="0"/>
        <v>19.382330857903604</v>
      </c>
      <c r="F58" s="15">
        <f t="shared" si="1"/>
        <v>19</v>
      </c>
      <c r="G58">
        <f t="shared" si="3"/>
        <v>19.493588689617926</v>
      </c>
      <c r="H58">
        <f t="shared" si="2"/>
        <v>19</v>
      </c>
      <c r="K58" s="1">
        <f>K126+K116+(K97*0.1)+K115*0.6</f>
        <v>6915700</v>
      </c>
      <c r="L58" s="1">
        <f>E216+E202+(E180*0.1)+E201*0.6</f>
        <v>6915700</v>
      </c>
    </row>
    <row r="59" spans="1:12" x14ac:dyDescent="0.25">
      <c r="A59" s="22">
        <v>19</v>
      </c>
      <c r="B59" s="22" t="s">
        <v>96</v>
      </c>
      <c r="C59" s="23">
        <v>5302000</v>
      </c>
      <c r="D59" s="23"/>
      <c r="E59" s="24">
        <f t="shared" si="0"/>
        <v>11.290388728697529</v>
      </c>
      <c r="F59" s="25">
        <f t="shared" si="1"/>
        <v>11</v>
      </c>
      <c r="G59" s="22">
        <f t="shared" si="3"/>
        <v>11.489125293076057</v>
      </c>
      <c r="H59" s="22">
        <f t="shared" si="2"/>
        <v>11</v>
      </c>
      <c r="I59" s="22"/>
      <c r="J59" s="22"/>
      <c r="K59" s="26">
        <f>K101*0.1+K119*0.9</f>
        <v>2430900</v>
      </c>
      <c r="L59" s="26">
        <f>E184*0.1+E206*0.9</f>
        <v>2790900</v>
      </c>
    </row>
    <row r="60" spans="1:12" x14ac:dyDescent="0.25">
      <c r="A60">
        <v>20</v>
      </c>
      <c r="B60" t="s">
        <v>97</v>
      </c>
      <c r="C60" s="1">
        <v>6803000</v>
      </c>
      <c r="D60" s="1"/>
      <c r="E60" s="12">
        <f t="shared" si="0"/>
        <v>14.486705869733928</v>
      </c>
      <c r="F60" s="15">
        <f t="shared" si="1"/>
        <v>14</v>
      </c>
      <c r="G60">
        <f t="shared" si="3"/>
        <v>14.491376746189438</v>
      </c>
      <c r="H60">
        <f t="shared" si="2"/>
        <v>14</v>
      </c>
      <c r="K60" s="11">
        <f>K96*(1/3)+K124+K115*0.1+K122*0.7</f>
        <v>8023766.666666666</v>
      </c>
      <c r="L60" s="11">
        <f>E179*(1/3)+E201*0.1+E211*0.3</f>
        <v>5776966.666666666</v>
      </c>
    </row>
    <row r="61" spans="1:12" x14ac:dyDescent="0.25">
      <c r="A61" s="22">
        <v>21</v>
      </c>
      <c r="B61" s="22" t="s">
        <v>98</v>
      </c>
      <c r="C61" s="23">
        <v>1501000</v>
      </c>
      <c r="D61" s="23"/>
      <c r="E61" s="24">
        <f t="shared" si="0"/>
        <v>3.1963171410363995</v>
      </c>
      <c r="F61" s="25">
        <f t="shared" si="1"/>
        <v>3</v>
      </c>
      <c r="G61" s="22">
        <f t="shared" si="3"/>
        <v>3.4641016151377544</v>
      </c>
      <c r="H61" s="22">
        <f t="shared" si="2"/>
        <v>3</v>
      </c>
      <c r="I61" s="22"/>
      <c r="J61" s="22"/>
      <c r="K61" s="26">
        <f>K119*0.1</f>
        <v>192900</v>
      </c>
      <c r="L61" s="26">
        <f>E198*0.2+E207*0.1</f>
        <v>532300</v>
      </c>
    </row>
    <row r="62" spans="1:12" x14ac:dyDescent="0.25">
      <c r="A62">
        <v>22</v>
      </c>
      <c r="B62" t="s">
        <v>99</v>
      </c>
      <c r="C62" s="1">
        <v>11613000</v>
      </c>
      <c r="D62" s="1"/>
      <c r="E62" s="12">
        <f t="shared" si="0"/>
        <v>24.729401038544776</v>
      </c>
      <c r="F62" s="15">
        <f t="shared" si="1"/>
        <v>24</v>
      </c>
      <c r="G62">
        <f t="shared" si="3"/>
        <v>24.494897427831781</v>
      </c>
      <c r="H62">
        <f t="shared" si="2"/>
        <v>25</v>
      </c>
      <c r="K62" s="11">
        <f>K103*0.6</f>
        <v>4045800</v>
      </c>
      <c r="L62" s="11">
        <f>E186*0.6+E204+E215*0.9</f>
        <v>9099400</v>
      </c>
    </row>
    <row r="63" spans="1:12" x14ac:dyDescent="0.25">
      <c r="A63" s="22">
        <v>23</v>
      </c>
      <c r="B63" s="22" t="s">
        <v>100</v>
      </c>
      <c r="C63" s="23">
        <v>8881000</v>
      </c>
      <c r="D63" s="23"/>
      <c r="E63" s="24">
        <f t="shared" si="0"/>
        <v>18.911720539336617</v>
      </c>
      <c r="F63" s="25">
        <f t="shared" si="1"/>
        <v>18</v>
      </c>
      <c r="G63" s="22">
        <f t="shared" si="3"/>
        <v>18.493242008906929</v>
      </c>
      <c r="H63" s="22">
        <f t="shared" si="2"/>
        <v>19</v>
      </c>
      <c r="I63" s="22"/>
      <c r="J63" s="22"/>
      <c r="K63" s="26">
        <f>K117*0.7</f>
        <v>2972900</v>
      </c>
      <c r="L63" s="26">
        <f>E203*0.7</f>
        <v>2493400</v>
      </c>
    </row>
    <row r="64" spans="1:12" x14ac:dyDescent="0.25">
      <c r="A64">
        <v>24</v>
      </c>
      <c r="B64" t="s">
        <v>101</v>
      </c>
      <c r="C64" s="1">
        <v>22203000</v>
      </c>
      <c r="D64" s="1"/>
      <c r="E64" s="12">
        <f t="shared" si="0"/>
        <v>47.28036607756907</v>
      </c>
      <c r="F64" s="15">
        <f t="shared" si="1"/>
        <v>47</v>
      </c>
      <c r="G64">
        <f t="shared" si="3"/>
        <v>47.497368348151667</v>
      </c>
      <c r="H64">
        <f t="shared" si="2"/>
        <v>47</v>
      </c>
      <c r="K64" s="27">
        <f>K96*(2/3)+K120*(2/3)</f>
        <v>13566666.666666664</v>
      </c>
      <c r="L64" s="27">
        <f>E179*(2/3)+E209*(2/3)</f>
        <v>13566666.666666664</v>
      </c>
    </row>
    <row r="65" spans="1:12" x14ac:dyDescent="0.25">
      <c r="A65" s="22">
        <v>25</v>
      </c>
      <c r="B65" s="22" t="s">
        <v>102</v>
      </c>
      <c r="C65" s="23">
        <v>7294000</v>
      </c>
      <c r="D65" s="23"/>
      <c r="E65" s="24">
        <f t="shared" si="0"/>
        <v>15.532269971165555</v>
      </c>
      <c r="F65" s="25">
        <f t="shared" si="1"/>
        <v>15</v>
      </c>
      <c r="G65" s="22">
        <f t="shared" si="3"/>
        <v>15.491933384829668</v>
      </c>
      <c r="H65" s="22">
        <f t="shared" si="2"/>
        <v>16</v>
      </c>
      <c r="I65" s="22"/>
      <c r="J65" s="22"/>
      <c r="K65" s="23">
        <f>K122+K110*0.3+K115</f>
        <v>4613600</v>
      </c>
      <c r="L65" s="23">
        <f>E194+E211*0.7</f>
        <v>3499400</v>
      </c>
    </row>
    <row r="66" spans="1:12" x14ac:dyDescent="0.25">
      <c r="A66">
        <v>26</v>
      </c>
      <c r="B66" t="s">
        <v>103</v>
      </c>
      <c r="C66" s="1">
        <v>3526000</v>
      </c>
      <c r="D66" s="1"/>
      <c r="E66" s="12">
        <f t="shared" si="0"/>
        <v>7.5084705125212157</v>
      </c>
      <c r="F66" s="15">
        <f t="shared" si="1"/>
        <v>7</v>
      </c>
      <c r="G66">
        <f t="shared" si="3"/>
        <v>7.4833147735478827</v>
      </c>
      <c r="H66">
        <f t="shared" si="2"/>
        <v>8</v>
      </c>
      <c r="K66" s="11">
        <f>K101*0.1</f>
        <v>694800</v>
      </c>
      <c r="L66" s="11">
        <f>E184*0.1+E215*0.1</f>
        <v>876200</v>
      </c>
    </row>
    <row r="67" spans="1:12" x14ac:dyDescent="0.25">
      <c r="A67" s="22">
        <v>27</v>
      </c>
      <c r="B67" s="22" t="s">
        <v>104</v>
      </c>
      <c r="C67" s="23">
        <v>8562000</v>
      </c>
      <c r="D67" s="23"/>
      <c r="E67" s="24">
        <f t="shared" si="0"/>
        <v>18.232423292174317</v>
      </c>
      <c r="F67" s="25">
        <f t="shared" si="1"/>
        <v>18</v>
      </c>
      <c r="G67" s="22">
        <f t="shared" si="3"/>
        <v>18.493242008906929</v>
      </c>
      <c r="H67" s="22">
        <f t="shared" si="2"/>
        <v>18</v>
      </c>
      <c r="I67" s="22"/>
      <c r="J67" s="22"/>
      <c r="K67" s="26">
        <f>K103*0.4</f>
        <v>2697200</v>
      </c>
      <c r="L67" s="26">
        <f>E186*0.4+E198*0.8+E207*0.9</f>
        <v>5651900</v>
      </c>
    </row>
    <row r="68" spans="1:12" x14ac:dyDescent="0.25">
      <c r="A68">
        <v>28</v>
      </c>
      <c r="B68" t="s">
        <v>105</v>
      </c>
      <c r="C68" s="1">
        <v>3443000</v>
      </c>
      <c r="D68" s="1"/>
      <c r="E68" s="12">
        <f t="shared" si="0"/>
        <v>7.3317254607517146</v>
      </c>
      <c r="F68" s="15">
        <f t="shared" si="1"/>
        <v>7</v>
      </c>
      <c r="G68">
        <f t="shared" si="3"/>
        <v>7.4833147735478827</v>
      </c>
      <c r="H68">
        <f t="shared" si="2"/>
        <v>7</v>
      </c>
      <c r="K68" s="11">
        <f>K104*(1/3)</f>
        <v>1980666.6666666665</v>
      </c>
      <c r="L68" s="11">
        <f>E187*(1/3)</f>
        <v>1980666.6666666665</v>
      </c>
    </row>
    <row r="69" spans="1:12" x14ac:dyDescent="0.25">
      <c r="A69" s="22">
        <v>29</v>
      </c>
      <c r="B69" s="22" t="s">
        <v>106</v>
      </c>
      <c r="C69" s="23">
        <v>5337000</v>
      </c>
      <c r="D69" s="23"/>
      <c r="E69" s="24">
        <f t="shared" si="0"/>
        <v>11.364919774624425</v>
      </c>
      <c r="F69" s="25">
        <f t="shared" si="1"/>
        <v>11</v>
      </c>
      <c r="G69" s="22">
        <f t="shared" si="3"/>
        <v>11.489125293076057</v>
      </c>
      <c r="H69" s="22">
        <f t="shared" si="2"/>
        <v>11</v>
      </c>
      <c r="I69" s="22"/>
      <c r="J69" s="22"/>
      <c r="K69" s="26">
        <f>K104*(2/3)</f>
        <v>3961333.333333333</v>
      </c>
      <c r="L69" s="26">
        <f>E187*(2/3)</f>
        <v>3961333.333333333</v>
      </c>
    </row>
    <row r="70" spans="1:12" x14ac:dyDescent="0.25">
      <c r="A70">
        <v>30</v>
      </c>
      <c r="B70" t="s">
        <v>107</v>
      </c>
      <c r="C70" s="1">
        <v>2534000</v>
      </c>
      <c r="D70" s="1"/>
      <c r="E70" s="12">
        <f t="shared" si="0"/>
        <v>5.3960477251074188</v>
      </c>
      <c r="F70" s="15">
        <f t="shared" si="1"/>
        <v>5</v>
      </c>
      <c r="G70">
        <f t="shared" si="3"/>
        <v>5.4772255750516612</v>
      </c>
      <c r="H70">
        <f t="shared" si="2"/>
        <v>5</v>
      </c>
      <c r="L70" s="1">
        <f>E218</f>
        <v>1248000</v>
      </c>
    </row>
    <row r="71" spans="1:12" x14ac:dyDescent="0.25">
      <c r="A71" s="22">
        <v>31</v>
      </c>
      <c r="B71" s="22" t="s">
        <v>198</v>
      </c>
      <c r="C71" s="23">
        <v>6921000</v>
      </c>
      <c r="D71" s="23"/>
      <c r="E71" s="24">
        <f t="shared" si="0"/>
        <v>14.737981967430327</v>
      </c>
      <c r="F71" s="25">
        <f t="shared" si="1"/>
        <v>14</v>
      </c>
      <c r="G71" s="22">
        <f t="shared" si="3"/>
        <v>14.491376746189438</v>
      </c>
      <c r="H71" s="22">
        <f t="shared" si="2"/>
        <v>15</v>
      </c>
      <c r="I71" s="22"/>
      <c r="J71" s="22"/>
      <c r="K71" s="26">
        <f>K120*(1/3)</f>
        <v>1770666.6666666665</v>
      </c>
      <c r="L71" s="26">
        <f>E209*(1/3)+E208+E217</f>
        <v>5658666.666666666</v>
      </c>
    </row>
    <row r="72" spans="1:12" x14ac:dyDescent="0.25">
      <c r="A72">
        <v>32</v>
      </c>
      <c r="B72" t="s">
        <v>108</v>
      </c>
      <c r="C72" s="1">
        <v>1072000</v>
      </c>
      <c r="D72" s="1"/>
      <c r="E72" s="12">
        <f t="shared" si="0"/>
        <v>2.2827794638181347</v>
      </c>
      <c r="F72" s="15">
        <f t="shared" si="1"/>
        <v>2</v>
      </c>
      <c r="G72">
        <f t="shared" si="3"/>
        <v>2.4494897427831779</v>
      </c>
      <c r="H72">
        <f t="shared" si="2"/>
        <v>2</v>
      </c>
    </row>
    <row r="73" spans="1:12" x14ac:dyDescent="0.25">
      <c r="A73" s="22">
        <v>33</v>
      </c>
      <c r="B73" s="22" t="s">
        <v>109</v>
      </c>
      <c r="C73" s="23">
        <v>4912000</v>
      </c>
      <c r="D73" s="23"/>
      <c r="E73" s="24">
        <f t="shared" si="0"/>
        <v>10.459899931226378</v>
      </c>
      <c r="F73" s="25">
        <f t="shared" si="1"/>
        <v>10</v>
      </c>
      <c r="G73" s="22">
        <f t="shared" si="3"/>
        <v>10.488088481701515</v>
      </c>
      <c r="H73" s="22">
        <f t="shared" si="2"/>
        <v>10</v>
      </c>
      <c r="I73" s="22"/>
      <c r="J73" s="22"/>
      <c r="K73" s="23">
        <f>K106</f>
        <v>4428000</v>
      </c>
      <c r="L73" s="23">
        <f>E189</f>
        <v>4428000</v>
      </c>
    </row>
    <row r="74" spans="1:12" x14ac:dyDescent="0.25">
      <c r="A74">
        <v>34</v>
      </c>
      <c r="B74" t="s">
        <v>229</v>
      </c>
      <c r="C74" s="1">
        <v>1683000</v>
      </c>
      <c r="D74" s="1"/>
      <c r="E74" s="12">
        <f t="shared" si="0"/>
        <v>3.5838785798562691</v>
      </c>
      <c r="F74" s="15">
        <f t="shared" si="1"/>
        <v>3</v>
      </c>
      <c r="G74">
        <f t="shared" si="3"/>
        <v>3.4641016151377544</v>
      </c>
      <c r="H74">
        <f t="shared" si="2"/>
        <v>4</v>
      </c>
      <c r="L74" s="1">
        <f>E227</f>
        <v>670000</v>
      </c>
    </row>
    <row r="75" spans="1:12" x14ac:dyDescent="0.25">
      <c r="A75" s="22">
        <v>35</v>
      </c>
      <c r="B75" s="22" t="s">
        <v>110</v>
      </c>
      <c r="C75" s="23">
        <v>1426000</v>
      </c>
      <c r="D75" s="23"/>
      <c r="E75" s="24">
        <f t="shared" si="0"/>
        <v>3.036607756907332</v>
      </c>
      <c r="F75" s="25">
        <f t="shared" si="1"/>
        <v>3</v>
      </c>
      <c r="G75" s="22">
        <f t="shared" si="3"/>
        <v>3.4641016151377544</v>
      </c>
      <c r="H75" s="22">
        <f t="shared" si="2"/>
        <v>3</v>
      </c>
      <c r="I75" s="22"/>
      <c r="J75" s="22"/>
      <c r="K75" s="22"/>
      <c r="L75" s="26">
        <f>E214*0.6</f>
        <v>732600</v>
      </c>
    </row>
    <row r="76" spans="1:12" x14ac:dyDescent="0.25">
      <c r="A76">
        <v>36</v>
      </c>
      <c r="B76" t="s">
        <v>117</v>
      </c>
      <c r="C76" s="1">
        <v>7304000</v>
      </c>
      <c r="D76" s="1"/>
      <c r="E76" s="12">
        <f t="shared" si="0"/>
        <v>15.553564555716097</v>
      </c>
      <c r="F76" s="15">
        <f t="shared" si="1"/>
        <v>15</v>
      </c>
      <c r="G76">
        <f t="shared" si="3"/>
        <v>15.491933384829668</v>
      </c>
      <c r="H76">
        <f t="shared" si="2"/>
        <v>16</v>
      </c>
      <c r="L76" s="1">
        <f>E192+E221</f>
        <v>6788000</v>
      </c>
    </row>
    <row r="77" spans="1:12" x14ac:dyDescent="0.25">
      <c r="A77" s="22">
        <v>37</v>
      </c>
      <c r="B77" s="22" t="s">
        <v>118</v>
      </c>
      <c r="C77" s="23">
        <v>3201000</v>
      </c>
      <c r="D77" s="23"/>
      <c r="E77" s="24">
        <f t="shared" si="0"/>
        <v>6.8163965146285905</v>
      </c>
      <c r="F77" s="25">
        <f t="shared" si="1"/>
        <v>6</v>
      </c>
      <c r="G77" s="22">
        <f t="shared" si="3"/>
        <v>6.4807406984078604</v>
      </c>
      <c r="H77" s="22">
        <f t="shared" si="2"/>
        <v>7</v>
      </c>
      <c r="I77" s="22"/>
      <c r="J77" s="22"/>
      <c r="K77" s="23">
        <f>K118*(2/3)</f>
        <v>1648666.6666666665</v>
      </c>
      <c r="L77" s="23">
        <f>E205*(2/3)</f>
        <v>1648666.6666666665</v>
      </c>
    </row>
    <row r="78" spans="1:12" x14ac:dyDescent="0.25">
      <c r="A78">
        <v>38</v>
      </c>
      <c r="B78" t="s">
        <v>111</v>
      </c>
      <c r="C78" s="1">
        <v>1068000</v>
      </c>
      <c r="D78" s="1"/>
      <c r="E78" s="12">
        <f t="shared" si="0"/>
        <v>2.2742616299979179</v>
      </c>
      <c r="F78" s="15">
        <f t="shared" si="1"/>
        <v>2</v>
      </c>
      <c r="G78">
        <f t="shared" si="3"/>
        <v>2.4494897427831779</v>
      </c>
      <c r="H78">
        <f t="shared" si="2"/>
        <v>2</v>
      </c>
    </row>
    <row r="79" spans="1:12" x14ac:dyDescent="0.25">
      <c r="A79" s="22">
        <v>39</v>
      </c>
      <c r="B79" s="22" t="s">
        <v>112</v>
      </c>
      <c r="C79" s="23">
        <f>4303000</f>
        <v>4303000</v>
      </c>
      <c r="D79" s="23"/>
      <c r="E79" s="24">
        <f t="shared" si="0"/>
        <v>9.1630597320983522</v>
      </c>
      <c r="F79" s="25">
        <f t="shared" si="1"/>
        <v>9</v>
      </c>
      <c r="G79" s="22">
        <f t="shared" si="3"/>
        <v>9.4868329805051381</v>
      </c>
      <c r="H79" s="22">
        <f t="shared" si="2"/>
        <v>9</v>
      </c>
      <c r="I79" s="22"/>
      <c r="J79" s="22"/>
      <c r="K79" s="26">
        <f>K102*(4/9)</f>
        <v>4036888.8888888885</v>
      </c>
      <c r="L79" s="26">
        <f>E185*(4/9)</f>
        <v>4036888.8888888885</v>
      </c>
    </row>
    <row r="80" spans="1:12" x14ac:dyDescent="0.25">
      <c r="A80">
        <v>40</v>
      </c>
      <c r="B80" t="s">
        <v>113</v>
      </c>
      <c r="C80" s="1">
        <v>1331000</v>
      </c>
      <c r="D80" s="1"/>
      <c r="E80" s="12">
        <f t="shared" si="0"/>
        <v>2.8343092036771802</v>
      </c>
      <c r="F80" s="15">
        <f t="shared" si="1"/>
        <v>2</v>
      </c>
      <c r="G80">
        <f t="shared" si="3"/>
        <v>2.4494897427831779</v>
      </c>
      <c r="H80">
        <f t="shared" si="2"/>
        <v>3</v>
      </c>
    </row>
    <row r="81" spans="1:11" x14ac:dyDescent="0.25">
      <c r="A81" s="22">
        <v>41</v>
      </c>
      <c r="B81" s="22" t="s">
        <v>115</v>
      </c>
      <c r="C81" s="23">
        <v>3121000</v>
      </c>
      <c r="D81" s="23"/>
      <c r="E81" s="24">
        <f>C81/$B$37</f>
        <v>6.6460398382242527</v>
      </c>
      <c r="F81" s="25">
        <f>FLOOR(E81,1)</f>
        <v>6</v>
      </c>
      <c r="G81" s="22">
        <f>SQRT(F81*(F81+1))</f>
        <v>6.4807406984078604</v>
      </c>
      <c r="H81" s="22">
        <f>IF(E81&gt;G81,CEILING(E81,1),FLOOR(E81,1))</f>
        <v>7</v>
      </c>
      <c r="I81" s="22"/>
      <c r="J81" s="22"/>
      <c r="K81" s="22"/>
    </row>
    <row r="82" spans="1:11" x14ac:dyDescent="0.25">
      <c r="A82">
        <v>42</v>
      </c>
      <c r="B82" t="s">
        <v>114</v>
      </c>
      <c r="C82" s="1">
        <v>435000</v>
      </c>
      <c r="D82" s="1"/>
      <c r="E82" s="12">
        <f t="shared" si="0"/>
        <v>0.92631442794859009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1" x14ac:dyDescent="0.25">
      <c r="A83" s="22">
        <v>43</v>
      </c>
      <c r="B83" s="22" t="s">
        <v>116</v>
      </c>
      <c r="C83" s="23">
        <v>292000</v>
      </c>
      <c r="D83" s="23"/>
      <c r="E83" s="24">
        <f>C83/$B$37</f>
        <v>0.62180186887583522</v>
      </c>
      <c r="F83" s="25">
        <f t="shared" si="1"/>
        <v>0</v>
      </c>
      <c r="G83" s="22">
        <f t="shared" si="3"/>
        <v>0</v>
      </c>
      <c r="H83" s="22">
        <f t="shared" si="2"/>
        <v>1</v>
      </c>
      <c r="I83" s="22"/>
      <c r="J83" s="22"/>
      <c r="K83" s="22"/>
    </row>
    <row r="84" spans="1:11" ht="15.75" thickBot="1" x14ac:dyDescent="0.3">
      <c r="A84" s="4"/>
      <c r="B84" s="4" t="s">
        <v>22</v>
      </c>
      <c r="C84" s="7">
        <f>SUM(C41:C83)</f>
        <v>315632000</v>
      </c>
      <c r="D84" s="7"/>
      <c r="E84" s="7">
        <f>SUM(E41:E83)</f>
        <v>672.12523108567655</v>
      </c>
      <c r="F84" s="7"/>
      <c r="G84" s="7"/>
      <c r="H84" s="7">
        <f>SUM(H41:H83)</f>
        <v>670</v>
      </c>
    </row>
    <row r="85" spans="1:11" ht="15.75" thickTop="1" x14ac:dyDescent="0.25"/>
    <row r="86" spans="1:11" x14ac:dyDescent="0.25">
      <c r="A86" t="s">
        <v>64</v>
      </c>
      <c r="B86" s="12">
        <f>$C$84/B32</f>
        <v>73.530055806280956</v>
      </c>
      <c r="C86" s="12">
        <f>$C$84/C32</f>
        <v>68.360124974618898</v>
      </c>
    </row>
    <row r="94" spans="1:11" x14ac:dyDescent="0.25">
      <c r="G94" t="s">
        <v>141</v>
      </c>
      <c r="H94" t="s">
        <v>142</v>
      </c>
      <c r="I94" t="s">
        <v>129</v>
      </c>
      <c r="J94" t="s">
        <v>143</v>
      </c>
      <c r="K94" t="s">
        <v>144</v>
      </c>
    </row>
    <row r="95" spans="1:11" x14ac:dyDescent="0.25">
      <c r="G95" s="20">
        <v>1</v>
      </c>
      <c r="H95" s="20" t="s">
        <v>145</v>
      </c>
      <c r="I95" s="20" t="s">
        <v>88</v>
      </c>
      <c r="J95" s="21">
        <v>10090000</v>
      </c>
      <c r="K95" s="21">
        <v>23785000</v>
      </c>
    </row>
    <row r="96" spans="1:11" x14ac:dyDescent="0.25">
      <c r="G96" s="20">
        <v>2</v>
      </c>
      <c r="H96" s="20" t="s">
        <v>146</v>
      </c>
      <c r="I96" s="20" t="s">
        <v>101</v>
      </c>
      <c r="J96" s="21">
        <v>5221000</v>
      </c>
      <c r="K96" s="21">
        <v>15038000</v>
      </c>
    </row>
    <row r="97" spans="7:11" x14ac:dyDescent="0.25">
      <c r="G97" s="20">
        <v>3</v>
      </c>
      <c r="H97" s="20" t="s">
        <v>147</v>
      </c>
      <c r="I97" s="20" t="s">
        <v>94</v>
      </c>
      <c r="J97" s="21">
        <v>4047000</v>
      </c>
      <c r="K97" s="21">
        <v>10415000</v>
      </c>
    </row>
    <row r="98" spans="7:11" x14ac:dyDescent="0.25">
      <c r="G98" s="20">
        <v>4</v>
      </c>
      <c r="H98" s="20" t="s">
        <v>148</v>
      </c>
      <c r="I98" s="20" t="s">
        <v>79</v>
      </c>
      <c r="J98" s="21">
        <v>2513000</v>
      </c>
      <c r="K98" s="21">
        <v>7038000</v>
      </c>
    </row>
    <row r="99" spans="7:11" x14ac:dyDescent="0.25">
      <c r="G99" s="20">
        <v>5</v>
      </c>
      <c r="H99" s="20" t="s">
        <v>149</v>
      </c>
      <c r="I99" s="20" t="s">
        <v>83</v>
      </c>
      <c r="J99" s="21">
        <v>2210000</v>
      </c>
      <c r="K99" s="21">
        <v>6471000</v>
      </c>
    </row>
    <row r="100" spans="7:11" x14ac:dyDescent="0.25">
      <c r="G100" s="20">
        <v>6</v>
      </c>
      <c r="H100" s="20" t="s">
        <v>150</v>
      </c>
      <c r="I100" s="20" t="s">
        <v>87</v>
      </c>
      <c r="J100" s="21">
        <v>2031000</v>
      </c>
      <c r="K100" s="21">
        <v>7576000</v>
      </c>
    </row>
    <row r="101" spans="7:11" x14ac:dyDescent="0.25">
      <c r="G101" s="20">
        <v>7</v>
      </c>
      <c r="H101" s="20" t="s">
        <v>151</v>
      </c>
      <c r="I101" s="20" t="s">
        <v>93</v>
      </c>
      <c r="J101" s="21">
        <v>1719000</v>
      </c>
      <c r="K101" s="21">
        <v>6948000</v>
      </c>
    </row>
    <row r="102" spans="7:11" x14ac:dyDescent="0.25">
      <c r="G102" s="20">
        <v>8</v>
      </c>
      <c r="H102" s="20" t="s">
        <v>152</v>
      </c>
      <c r="I102" s="20" t="s">
        <v>153</v>
      </c>
      <c r="J102" s="21">
        <v>1643000</v>
      </c>
      <c r="K102" s="21">
        <v>9083000</v>
      </c>
    </row>
    <row r="103" spans="7:11" x14ac:dyDescent="0.25">
      <c r="G103" s="20">
        <v>9</v>
      </c>
      <c r="H103" s="20" t="s">
        <v>154</v>
      </c>
      <c r="I103" s="20" t="s">
        <v>99</v>
      </c>
      <c r="J103" s="21">
        <v>1480000</v>
      </c>
      <c r="K103" s="21">
        <v>6743000</v>
      </c>
    </row>
    <row r="104" spans="7:11" x14ac:dyDescent="0.25">
      <c r="G104" s="20">
        <v>10</v>
      </c>
      <c r="H104" s="20" t="s">
        <v>155</v>
      </c>
      <c r="I104" s="20" t="s">
        <v>106</v>
      </c>
      <c r="J104" s="21">
        <v>1422000</v>
      </c>
      <c r="K104" s="21">
        <v>5942000</v>
      </c>
    </row>
    <row r="105" spans="7:11" x14ac:dyDescent="0.25">
      <c r="G105" s="20">
        <v>11</v>
      </c>
      <c r="H105" s="20" t="s">
        <v>156</v>
      </c>
      <c r="I105" s="20" t="s">
        <v>88</v>
      </c>
      <c r="J105" s="21">
        <v>1383000</v>
      </c>
      <c r="K105" s="21">
        <v>4813000</v>
      </c>
    </row>
    <row r="106" spans="7:11" x14ac:dyDescent="0.25">
      <c r="G106" s="20">
        <v>12</v>
      </c>
      <c r="H106" s="20" t="s">
        <v>157</v>
      </c>
      <c r="I106" s="20" t="s">
        <v>38</v>
      </c>
      <c r="J106" s="21">
        <v>1369000</v>
      </c>
      <c r="K106" s="21">
        <v>4428000</v>
      </c>
    </row>
    <row r="107" spans="7:11" x14ac:dyDescent="0.25">
      <c r="G107" s="20">
        <v>13</v>
      </c>
      <c r="H107" s="20" t="s">
        <v>158</v>
      </c>
      <c r="I107" s="20" t="s">
        <v>94</v>
      </c>
      <c r="J107" s="21">
        <v>1248000</v>
      </c>
      <c r="K107" s="21">
        <v>3327000</v>
      </c>
    </row>
    <row r="108" spans="7:11" x14ac:dyDescent="0.25">
      <c r="G108" s="20">
        <v>14</v>
      </c>
      <c r="H108" s="20" t="s">
        <v>159</v>
      </c>
      <c r="I108" s="20" t="s">
        <v>92</v>
      </c>
      <c r="J108" s="21">
        <v>1222000</v>
      </c>
      <c r="K108" s="21">
        <v>3991000</v>
      </c>
    </row>
    <row r="109" spans="7:11" x14ac:dyDescent="0.25">
      <c r="G109" s="20">
        <v>15</v>
      </c>
      <c r="H109" s="20" t="s">
        <v>160</v>
      </c>
      <c r="I109" s="20" t="s">
        <v>97</v>
      </c>
      <c r="J109" s="21">
        <v>1210000</v>
      </c>
      <c r="K109" s="21">
        <v>15038000</v>
      </c>
    </row>
    <row r="110" spans="7:11" x14ac:dyDescent="0.25">
      <c r="G110" s="20">
        <v>16</v>
      </c>
      <c r="H110" s="20" t="s">
        <v>161</v>
      </c>
      <c r="I110" s="20" t="s">
        <v>102</v>
      </c>
      <c r="J110" s="21">
        <v>1180000</v>
      </c>
      <c r="K110" s="21">
        <v>1782000</v>
      </c>
    </row>
    <row r="111" spans="7:11" x14ac:dyDescent="0.25">
      <c r="G111" s="20">
        <v>17</v>
      </c>
      <c r="H111" s="20" t="s">
        <v>162</v>
      </c>
      <c r="I111" s="20" t="s">
        <v>79</v>
      </c>
      <c r="J111" s="21">
        <v>1159000</v>
      </c>
      <c r="K111" s="21">
        <v>3447000</v>
      </c>
    </row>
    <row r="112" spans="7:11" x14ac:dyDescent="0.25">
      <c r="G112" s="20">
        <v>18</v>
      </c>
      <c r="H112" s="20" t="s">
        <v>163</v>
      </c>
      <c r="I112" s="20" t="s">
        <v>81</v>
      </c>
      <c r="J112" s="21">
        <v>1091000</v>
      </c>
      <c r="K112" s="21">
        <v>4940000</v>
      </c>
    </row>
    <row r="113" spans="7:11" x14ac:dyDescent="0.25">
      <c r="G113" s="20">
        <v>19</v>
      </c>
      <c r="H113" s="20" t="s">
        <v>164</v>
      </c>
      <c r="I113" s="20" t="s">
        <v>80</v>
      </c>
      <c r="J113" s="21">
        <v>1001000</v>
      </c>
      <c r="K113" s="21">
        <v>23785000</v>
      </c>
    </row>
    <row r="114" spans="7:11" x14ac:dyDescent="0.25">
      <c r="G114" s="20">
        <v>20</v>
      </c>
      <c r="H114" s="20" t="s">
        <v>165</v>
      </c>
      <c r="I114" s="20" t="s">
        <v>85</v>
      </c>
      <c r="J114" s="21">
        <v>1021000</v>
      </c>
      <c r="K114" s="21">
        <v>6491000</v>
      </c>
    </row>
    <row r="115" spans="7:11" x14ac:dyDescent="0.25">
      <c r="G115" s="20">
        <v>21</v>
      </c>
      <c r="H115" s="20" t="s">
        <v>199</v>
      </c>
      <c r="I115" s="20" t="s">
        <v>95</v>
      </c>
      <c r="J115" s="21">
        <v>983000</v>
      </c>
      <c r="K115" s="21">
        <v>2297000</v>
      </c>
    </row>
    <row r="116" spans="7:11" x14ac:dyDescent="0.25">
      <c r="G116" s="20">
        <v>22</v>
      </c>
      <c r="H116" s="20" t="s">
        <v>200</v>
      </c>
      <c r="I116" s="20" t="s">
        <v>95</v>
      </c>
      <c r="J116" s="21">
        <v>951000</v>
      </c>
      <c r="K116" s="21">
        <v>2929000</v>
      </c>
    </row>
    <row r="117" spans="7:11" x14ac:dyDescent="0.25">
      <c r="G117" s="20">
        <v>23</v>
      </c>
      <c r="H117" s="20" t="s">
        <v>166</v>
      </c>
      <c r="I117" s="20" t="s">
        <v>100</v>
      </c>
      <c r="J117" s="21">
        <v>925000</v>
      </c>
      <c r="K117" s="21">
        <v>4247000</v>
      </c>
    </row>
    <row r="118" spans="7:11" x14ac:dyDescent="0.25">
      <c r="G118" s="20">
        <v>24</v>
      </c>
      <c r="H118" s="20" t="s">
        <v>197</v>
      </c>
      <c r="I118" s="20" t="s">
        <v>118</v>
      </c>
      <c r="J118" s="21">
        <v>877000</v>
      </c>
      <c r="K118" s="21">
        <v>2473000</v>
      </c>
    </row>
    <row r="119" spans="7:11" x14ac:dyDescent="0.25">
      <c r="G119" s="20">
        <v>25</v>
      </c>
      <c r="H119" s="20" t="s">
        <v>201</v>
      </c>
      <c r="I119" s="20" t="s">
        <v>96</v>
      </c>
      <c r="J119" s="21">
        <v>851000</v>
      </c>
      <c r="K119" s="21">
        <v>1929000</v>
      </c>
    </row>
    <row r="120" spans="7:11" x14ac:dyDescent="0.25">
      <c r="G120" s="20">
        <v>26</v>
      </c>
      <c r="H120" s="20" t="s">
        <v>167</v>
      </c>
      <c r="I120" s="20" t="s">
        <v>101</v>
      </c>
      <c r="J120" s="21">
        <v>788000</v>
      </c>
      <c r="K120" s="21">
        <v>5312000</v>
      </c>
    </row>
    <row r="121" spans="7:11" x14ac:dyDescent="0.25">
      <c r="G121" s="20">
        <v>27</v>
      </c>
      <c r="H121" s="20" t="s">
        <v>168</v>
      </c>
      <c r="I121" s="20" t="s">
        <v>84</v>
      </c>
      <c r="J121" s="21">
        <v>765000</v>
      </c>
      <c r="K121" s="21">
        <v>1252000</v>
      </c>
    </row>
    <row r="122" spans="7:11" x14ac:dyDescent="0.25">
      <c r="G122" s="20">
        <v>28</v>
      </c>
      <c r="H122" s="20" t="s">
        <v>161</v>
      </c>
      <c r="I122" s="20" t="s">
        <v>102</v>
      </c>
      <c r="J122" s="21">
        <v>741000</v>
      </c>
      <c r="K122" s="21">
        <v>1782000</v>
      </c>
    </row>
    <row r="123" spans="7:11" x14ac:dyDescent="0.25">
      <c r="G123" s="20">
        <v>29</v>
      </c>
      <c r="H123" s="20" t="s">
        <v>169</v>
      </c>
      <c r="I123" s="20" t="s">
        <v>94</v>
      </c>
      <c r="J123" s="21">
        <v>729000</v>
      </c>
      <c r="K123" s="21">
        <v>2175000</v>
      </c>
    </row>
    <row r="124" spans="7:11" x14ac:dyDescent="0.25">
      <c r="G124" s="20">
        <v>30</v>
      </c>
      <c r="H124" s="20" t="s">
        <v>170</v>
      </c>
      <c r="I124" s="20" t="s">
        <v>97</v>
      </c>
      <c r="J124" s="21">
        <v>715000</v>
      </c>
      <c r="K124" s="21">
        <v>1534000</v>
      </c>
    </row>
    <row r="125" spans="7:11" x14ac:dyDescent="0.25">
      <c r="G125" s="20">
        <v>31</v>
      </c>
      <c r="H125" s="20" t="s">
        <v>171</v>
      </c>
      <c r="I125" s="20" t="s">
        <v>89</v>
      </c>
      <c r="J125" s="21">
        <v>701000</v>
      </c>
      <c r="K125" s="21">
        <v>2461000</v>
      </c>
    </row>
    <row r="126" spans="7:11" x14ac:dyDescent="0.25">
      <c r="G126" s="20">
        <v>32</v>
      </c>
      <c r="H126" s="20" t="s">
        <v>172</v>
      </c>
      <c r="I126" s="20" t="s">
        <v>95</v>
      </c>
      <c r="J126" s="21">
        <v>656000</v>
      </c>
      <c r="K126" s="21">
        <v>1567000</v>
      </c>
    </row>
    <row r="130" spans="7:11" x14ac:dyDescent="0.25">
      <c r="G130" t="s">
        <v>141</v>
      </c>
      <c r="H130" t="s">
        <v>142</v>
      </c>
      <c r="I130" t="s">
        <v>129</v>
      </c>
      <c r="J130" t="s">
        <v>143</v>
      </c>
      <c r="K130" t="s">
        <v>144</v>
      </c>
    </row>
    <row r="131" spans="7:11" x14ac:dyDescent="0.25">
      <c r="G131">
        <v>1</v>
      </c>
      <c r="H131" t="s">
        <v>208</v>
      </c>
      <c r="I131" t="s">
        <v>88</v>
      </c>
      <c r="J131" s="1">
        <v>10090000</v>
      </c>
      <c r="K131" s="1">
        <v>23785000</v>
      </c>
    </row>
    <row r="132" spans="7:11" x14ac:dyDescent="0.25">
      <c r="G132">
        <v>2</v>
      </c>
      <c r="H132" t="s">
        <v>146</v>
      </c>
      <c r="I132" t="s">
        <v>101</v>
      </c>
      <c r="J132" s="1">
        <v>5221000</v>
      </c>
      <c r="K132" s="1">
        <v>15038000</v>
      </c>
    </row>
    <row r="133" spans="7:11" x14ac:dyDescent="0.25">
      <c r="G133">
        <v>3</v>
      </c>
      <c r="H133" t="s">
        <v>147</v>
      </c>
      <c r="I133" t="s">
        <v>94</v>
      </c>
      <c r="J133" s="1">
        <v>4047000</v>
      </c>
      <c r="K133" s="1">
        <v>10415000</v>
      </c>
    </row>
    <row r="134" spans="7:11" x14ac:dyDescent="0.25">
      <c r="G134">
        <v>4</v>
      </c>
      <c r="H134" t="s">
        <v>148</v>
      </c>
      <c r="I134" t="s">
        <v>79</v>
      </c>
      <c r="J134" s="1">
        <v>2513000</v>
      </c>
      <c r="K134" s="1">
        <v>7038000</v>
      </c>
    </row>
    <row r="135" spans="7:11" x14ac:dyDescent="0.25">
      <c r="G135">
        <v>5</v>
      </c>
      <c r="H135" t="s">
        <v>149</v>
      </c>
      <c r="I135" t="s">
        <v>83</v>
      </c>
      <c r="J135" s="1">
        <v>2210000</v>
      </c>
      <c r="K135" s="1">
        <v>6471000</v>
      </c>
    </row>
    <row r="136" spans="7:11" x14ac:dyDescent="0.25">
      <c r="G136">
        <v>6</v>
      </c>
      <c r="H136" t="s">
        <v>150</v>
      </c>
      <c r="I136" t="s">
        <v>87</v>
      </c>
      <c r="J136" s="1">
        <v>2031000</v>
      </c>
      <c r="K136" s="1">
        <v>7576000</v>
      </c>
    </row>
    <row r="137" spans="7:11" x14ac:dyDescent="0.25">
      <c r="G137">
        <v>7</v>
      </c>
      <c r="H137" t="s">
        <v>151</v>
      </c>
      <c r="I137" t="s">
        <v>93</v>
      </c>
      <c r="J137" s="1">
        <v>1719000</v>
      </c>
      <c r="K137" s="1">
        <v>6948000</v>
      </c>
    </row>
    <row r="138" spans="7:11" x14ac:dyDescent="0.25">
      <c r="G138">
        <v>8</v>
      </c>
      <c r="H138" t="s">
        <v>209</v>
      </c>
      <c r="I138" t="s">
        <v>153</v>
      </c>
      <c r="J138" s="1">
        <v>1643000</v>
      </c>
      <c r="K138" s="1">
        <v>9083000</v>
      </c>
    </row>
    <row r="139" spans="7:11" x14ac:dyDescent="0.25">
      <c r="G139">
        <v>9</v>
      </c>
      <c r="H139" t="s">
        <v>154</v>
      </c>
      <c r="I139" t="s">
        <v>99</v>
      </c>
      <c r="J139" s="1">
        <v>1480000</v>
      </c>
      <c r="K139" s="1">
        <v>6743000</v>
      </c>
    </row>
    <row r="140" spans="7:11" x14ac:dyDescent="0.25">
      <c r="G140">
        <v>10</v>
      </c>
      <c r="H140" t="s">
        <v>155</v>
      </c>
      <c r="I140" t="s">
        <v>106</v>
      </c>
      <c r="J140" s="1">
        <v>1422000</v>
      </c>
      <c r="K140" s="1">
        <v>5942000</v>
      </c>
    </row>
    <row r="141" spans="7:11" x14ac:dyDescent="0.25">
      <c r="G141">
        <v>11</v>
      </c>
      <c r="H141" t="s">
        <v>156</v>
      </c>
      <c r="I141" t="s">
        <v>88</v>
      </c>
      <c r="J141" s="1">
        <v>1383000</v>
      </c>
      <c r="K141" s="1">
        <v>4813000</v>
      </c>
    </row>
    <row r="142" spans="7:11" x14ac:dyDescent="0.25">
      <c r="G142">
        <v>12</v>
      </c>
      <c r="H142" t="s">
        <v>157</v>
      </c>
      <c r="I142" t="s">
        <v>38</v>
      </c>
      <c r="J142" s="1">
        <v>1369000</v>
      </c>
      <c r="K142" s="1">
        <v>4428000</v>
      </c>
    </row>
    <row r="143" spans="7:11" x14ac:dyDescent="0.25">
      <c r="G143">
        <v>13</v>
      </c>
      <c r="H143" t="s">
        <v>158</v>
      </c>
      <c r="I143" t="s">
        <v>94</v>
      </c>
      <c r="J143" s="1">
        <v>1248000</v>
      </c>
      <c r="K143" s="1">
        <v>3327000</v>
      </c>
    </row>
    <row r="144" spans="7:11" x14ac:dyDescent="0.25">
      <c r="G144">
        <v>14</v>
      </c>
      <c r="H144" t="s">
        <v>159</v>
      </c>
      <c r="I144" t="s">
        <v>92</v>
      </c>
      <c r="J144" s="1">
        <v>1222000</v>
      </c>
      <c r="K144" s="1">
        <v>3991000</v>
      </c>
    </row>
    <row r="145" spans="7:11" x14ac:dyDescent="0.25">
      <c r="G145">
        <v>15</v>
      </c>
      <c r="H145" t="s">
        <v>160</v>
      </c>
      <c r="I145" t="s">
        <v>97</v>
      </c>
      <c r="J145" s="1">
        <v>1210000</v>
      </c>
      <c r="K145" t="s">
        <v>210</v>
      </c>
    </row>
    <row r="146" spans="7:11" x14ac:dyDescent="0.25">
      <c r="G146">
        <v>16</v>
      </c>
      <c r="H146" t="s">
        <v>202</v>
      </c>
      <c r="I146" t="s">
        <v>102</v>
      </c>
      <c r="J146" s="1">
        <v>1180000</v>
      </c>
      <c r="K146" s="1">
        <v>2252000</v>
      </c>
    </row>
    <row r="147" spans="7:11" x14ac:dyDescent="0.25">
      <c r="G147">
        <v>17</v>
      </c>
      <c r="H147" t="s">
        <v>162</v>
      </c>
      <c r="I147" t="s">
        <v>79</v>
      </c>
      <c r="J147" s="1">
        <v>1159000</v>
      </c>
      <c r="K147" s="1">
        <v>3447000</v>
      </c>
    </row>
    <row r="148" spans="7:11" x14ac:dyDescent="0.25">
      <c r="G148">
        <v>18</v>
      </c>
      <c r="H148" t="s">
        <v>165</v>
      </c>
      <c r="I148" t="s">
        <v>85</v>
      </c>
      <c r="J148" s="1">
        <v>1091000</v>
      </c>
      <c r="K148" s="1">
        <v>6491000</v>
      </c>
    </row>
    <row r="149" spans="7:11" x14ac:dyDescent="0.25">
      <c r="G149">
        <v>19</v>
      </c>
      <c r="H149" t="s">
        <v>211</v>
      </c>
      <c r="I149" t="s">
        <v>81</v>
      </c>
      <c r="J149" s="1">
        <v>1069000</v>
      </c>
      <c r="K149" s="1">
        <v>5105000</v>
      </c>
    </row>
    <row r="150" spans="7:11" x14ac:dyDescent="0.25">
      <c r="G150">
        <v>20</v>
      </c>
      <c r="H150" t="s">
        <v>203</v>
      </c>
      <c r="I150" t="s">
        <v>104</v>
      </c>
      <c r="J150" s="1">
        <v>1044000</v>
      </c>
      <c r="K150" s="1">
        <v>1836000</v>
      </c>
    </row>
    <row r="151" spans="7:11" x14ac:dyDescent="0.25">
      <c r="G151">
        <v>21</v>
      </c>
      <c r="H151" t="s">
        <v>224</v>
      </c>
      <c r="I151" t="s">
        <v>80</v>
      </c>
      <c r="J151" s="1">
        <v>1021000</v>
      </c>
      <c r="K151" t="s">
        <v>225</v>
      </c>
    </row>
    <row r="152" spans="7:11" x14ac:dyDescent="0.25">
      <c r="G152">
        <v>22</v>
      </c>
      <c r="H152" t="s">
        <v>226</v>
      </c>
      <c r="I152" t="s">
        <v>87</v>
      </c>
      <c r="J152" s="1">
        <v>1001000</v>
      </c>
      <c r="K152" s="1">
        <v>4940000</v>
      </c>
    </row>
    <row r="153" spans="7:11" x14ac:dyDescent="0.25">
      <c r="G153">
        <v>23</v>
      </c>
      <c r="H153" t="s">
        <v>212</v>
      </c>
      <c r="I153" t="s">
        <v>95</v>
      </c>
      <c r="J153" s="1">
        <v>983000</v>
      </c>
      <c r="K153" s="1">
        <v>2297000</v>
      </c>
    </row>
    <row r="154" spans="7:11" x14ac:dyDescent="0.25">
      <c r="G154">
        <v>24</v>
      </c>
      <c r="H154" t="s">
        <v>213</v>
      </c>
      <c r="I154" t="s">
        <v>95</v>
      </c>
      <c r="J154" s="1">
        <v>951000</v>
      </c>
      <c r="K154" s="1">
        <v>2929000</v>
      </c>
    </row>
    <row r="155" spans="7:11" x14ac:dyDescent="0.25">
      <c r="G155">
        <v>25</v>
      </c>
      <c r="H155" t="s">
        <v>214</v>
      </c>
      <c r="I155" t="s">
        <v>100</v>
      </c>
      <c r="J155" s="1">
        <v>925000</v>
      </c>
      <c r="K155" s="1">
        <v>4247000</v>
      </c>
    </row>
    <row r="156" spans="7:11" x14ac:dyDescent="0.25">
      <c r="G156">
        <v>26</v>
      </c>
      <c r="H156" t="s">
        <v>215</v>
      </c>
      <c r="I156" t="s">
        <v>99</v>
      </c>
      <c r="J156" s="1">
        <v>903000</v>
      </c>
      <c r="K156" s="1">
        <v>3562000</v>
      </c>
    </row>
    <row r="157" spans="7:11" x14ac:dyDescent="0.25">
      <c r="G157">
        <v>27</v>
      </c>
      <c r="H157" t="s">
        <v>216</v>
      </c>
      <c r="I157" t="s">
        <v>117</v>
      </c>
      <c r="J157" s="1">
        <v>891000</v>
      </c>
      <c r="K157" s="1">
        <v>3421000</v>
      </c>
    </row>
    <row r="158" spans="7:11" x14ac:dyDescent="0.25">
      <c r="G158">
        <v>28</v>
      </c>
      <c r="H158" t="s">
        <v>197</v>
      </c>
      <c r="I158" t="s">
        <v>118</v>
      </c>
      <c r="J158" s="1">
        <v>877000</v>
      </c>
      <c r="K158" s="1">
        <v>2473000</v>
      </c>
    </row>
    <row r="159" spans="7:11" x14ac:dyDescent="0.25">
      <c r="G159">
        <v>29</v>
      </c>
      <c r="H159" t="s">
        <v>217</v>
      </c>
      <c r="I159" t="s">
        <v>96</v>
      </c>
      <c r="J159" s="1">
        <v>851000</v>
      </c>
      <c r="K159" s="1">
        <v>2329000</v>
      </c>
    </row>
    <row r="160" spans="7:11" x14ac:dyDescent="0.25">
      <c r="G160">
        <v>30</v>
      </c>
      <c r="H160" t="s">
        <v>206</v>
      </c>
      <c r="I160" t="s">
        <v>104</v>
      </c>
      <c r="J160" s="1">
        <v>824000</v>
      </c>
      <c r="K160" s="1">
        <v>1651000</v>
      </c>
    </row>
    <row r="161" spans="7:11" x14ac:dyDescent="0.25">
      <c r="G161">
        <v>31</v>
      </c>
      <c r="H161" t="s">
        <v>207</v>
      </c>
      <c r="I161" t="s">
        <v>198</v>
      </c>
      <c r="J161" s="1">
        <v>802000</v>
      </c>
      <c r="K161" s="1">
        <v>2547000</v>
      </c>
    </row>
    <row r="162" spans="7:11" x14ac:dyDescent="0.25">
      <c r="G162">
        <v>32</v>
      </c>
      <c r="H162" t="s">
        <v>167</v>
      </c>
      <c r="I162" t="s">
        <v>101</v>
      </c>
      <c r="J162" s="1">
        <v>788000</v>
      </c>
      <c r="K162" s="1">
        <v>5312000</v>
      </c>
    </row>
    <row r="163" spans="7:11" x14ac:dyDescent="0.25">
      <c r="G163">
        <v>33</v>
      </c>
      <c r="H163" t="s">
        <v>168</v>
      </c>
      <c r="I163" t="s">
        <v>84</v>
      </c>
      <c r="J163" s="1">
        <v>765000</v>
      </c>
      <c r="K163" s="1">
        <v>1252000</v>
      </c>
    </row>
    <row r="164" spans="7:11" x14ac:dyDescent="0.25">
      <c r="G164">
        <v>34</v>
      </c>
      <c r="H164" t="s">
        <v>161</v>
      </c>
      <c r="I164" t="s">
        <v>102</v>
      </c>
      <c r="J164" s="1">
        <v>741000</v>
      </c>
      <c r="K164" s="1">
        <v>1782000</v>
      </c>
    </row>
    <row r="165" spans="7:11" x14ac:dyDescent="0.25">
      <c r="G165">
        <v>35</v>
      </c>
      <c r="H165" t="s">
        <v>169</v>
      </c>
      <c r="I165" t="s">
        <v>94</v>
      </c>
      <c r="J165" s="1">
        <v>729000</v>
      </c>
      <c r="K165" s="1">
        <v>2175000</v>
      </c>
    </row>
    <row r="166" spans="7:11" x14ac:dyDescent="0.25">
      <c r="G166">
        <v>36</v>
      </c>
      <c r="H166" t="s">
        <v>171</v>
      </c>
      <c r="I166" t="s">
        <v>89</v>
      </c>
      <c r="J166" s="1">
        <v>701000</v>
      </c>
      <c r="K166" s="1">
        <v>2461000</v>
      </c>
    </row>
    <row r="167" spans="7:11" x14ac:dyDescent="0.25">
      <c r="G167">
        <v>37</v>
      </c>
      <c r="H167" t="s">
        <v>218</v>
      </c>
      <c r="I167" t="s">
        <v>110</v>
      </c>
      <c r="J167" s="1">
        <v>682000</v>
      </c>
      <c r="K167" s="1">
        <v>1221000</v>
      </c>
    </row>
    <row r="168" spans="7:11" x14ac:dyDescent="0.25">
      <c r="G168">
        <v>38</v>
      </c>
      <c r="H168" t="s">
        <v>219</v>
      </c>
      <c r="I168" t="s">
        <v>99</v>
      </c>
      <c r="J168" s="1">
        <v>668000</v>
      </c>
      <c r="K168" s="1">
        <v>1614000</v>
      </c>
    </row>
    <row r="169" spans="7:11" x14ac:dyDescent="0.25">
      <c r="G169">
        <v>39</v>
      </c>
      <c r="H169" t="s">
        <v>172</v>
      </c>
      <c r="I169" t="s">
        <v>95</v>
      </c>
      <c r="J169" s="1">
        <v>656000</v>
      </c>
      <c r="K169" s="1">
        <v>1567000</v>
      </c>
    </row>
    <row r="170" spans="7:11" x14ac:dyDescent="0.25">
      <c r="G170">
        <v>40</v>
      </c>
      <c r="H170" t="s">
        <v>220</v>
      </c>
      <c r="I170" t="s">
        <v>198</v>
      </c>
      <c r="J170" s="1">
        <v>634000</v>
      </c>
      <c r="K170" s="1">
        <v>1341000</v>
      </c>
    </row>
    <row r="171" spans="7:11" x14ac:dyDescent="0.25">
      <c r="G171">
        <v>41</v>
      </c>
      <c r="H171" t="s">
        <v>204</v>
      </c>
      <c r="I171" t="s">
        <v>205</v>
      </c>
      <c r="J171" s="1">
        <v>613000</v>
      </c>
      <c r="K171" s="1">
        <v>1248000</v>
      </c>
    </row>
    <row r="172" spans="7:11" x14ac:dyDescent="0.25">
      <c r="G172">
        <v>42</v>
      </c>
      <c r="H172" t="s">
        <v>221</v>
      </c>
      <c r="I172" t="s">
        <v>80</v>
      </c>
      <c r="J172" s="1">
        <v>584000</v>
      </c>
      <c r="K172" t="s">
        <v>225</v>
      </c>
    </row>
    <row r="173" spans="7:11" x14ac:dyDescent="0.25">
      <c r="G173">
        <v>43</v>
      </c>
      <c r="H173" t="s">
        <v>222</v>
      </c>
      <c r="I173" t="s">
        <v>117</v>
      </c>
      <c r="J173" s="1">
        <v>565000</v>
      </c>
      <c r="K173" s="1">
        <v>1641000</v>
      </c>
    </row>
    <row r="174" spans="7:11" x14ac:dyDescent="0.25">
      <c r="G174">
        <v>44</v>
      </c>
      <c r="H174" t="s">
        <v>223</v>
      </c>
      <c r="I174" t="s">
        <v>81</v>
      </c>
      <c r="J174" s="1">
        <v>524000</v>
      </c>
      <c r="K174" s="1">
        <v>1051000</v>
      </c>
    </row>
    <row r="175" spans="7:11" x14ac:dyDescent="0.25">
      <c r="G175">
        <v>45</v>
      </c>
      <c r="H175" t="s">
        <v>227</v>
      </c>
      <c r="I175" t="s">
        <v>92</v>
      </c>
      <c r="J175" s="1">
        <v>501000</v>
      </c>
      <c r="K175" t="s">
        <v>228</v>
      </c>
    </row>
    <row r="177" spans="1:5" x14ac:dyDescent="0.25">
      <c r="A177" t="s">
        <v>141</v>
      </c>
      <c r="B177" t="s">
        <v>142</v>
      </c>
      <c r="C177" t="s">
        <v>129</v>
      </c>
      <c r="D177" t="s">
        <v>143</v>
      </c>
      <c r="E177" t="s">
        <v>144</v>
      </c>
    </row>
    <row r="178" spans="1:5" x14ac:dyDescent="0.25">
      <c r="A178">
        <v>1</v>
      </c>
      <c r="B178" t="s">
        <v>208</v>
      </c>
      <c r="C178" t="s">
        <v>88</v>
      </c>
      <c r="D178" s="1">
        <v>10090000</v>
      </c>
      <c r="E178" s="1">
        <v>23785000</v>
      </c>
    </row>
    <row r="179" spans="1:5" x14ac:dyDescent="0.25">
      <c r="A179">
        <v>2</v>
      </c>
      <c r="B179" t="s">
        <v>146</v>
      </c>
      <c r="C179" t="s">
        <v>101</v>
      </c>
      <c r="D179" s="1">
        <v>5221000</v>
      </c>
      <c r="E179" s="1">
        <v>15038000</v>
      </c>
    </row>
    <row r="180" spans="1:5" x14ac:dyDescent="0.25">
      <c r="A180">
        <v>3</v>
      </c>
      <c r="B180" t="s">
        <v>147</v>
      </c>
      <c r="C180" t="s">
        <v>94</v>
      </c>
      <c r="D180" s="1">
        <v>4047000</v>
      </c>
      <c r="E180" s="1">
        <v>10415000</v>
      </c>
    </row>
    <row r="181" spans="1:5" x14ac:dyDescent="0.25">
      <c r="A181">
        <v>4</v>
      </c>
      <c r="B181" t="s">
        <v>148</v>
      </c>
      <c r="C181" t="s">
        <v>79</v>
      </c>
      <c r="D181" s="1">
        <v>2513000</v>
      </c>
      <c r="E181" s="1">
        <v>7038000</v>
      </c>
    </row>
    <row r="182" spans="1:5" x14ac:dyDescent="0.25">
      <c r="A182">
        <v>5</v>
      </c>
      <c r="B182" t="s">
        <v>149</v>
      </c>
      <c r="C182" t="s">
        <v>83</v>
      </c>
      <c r="D182" s="1">
        <v>2210000</v>
      </c>
      <c r="E182" s="1">
        <v>6471000</v>
      </c>
    </row>
    <row r="183" spans="1:5" x14ac:dyDescent="0.25">
      <c r="A183">
        <v>6</v>
      </c>
      <c r="B183" t="s">
        <v>150</v>
      </c>
      <c r="C183" t="s">
        <v>87</v>
      </c>
      <c r="D183" s="1">
        <v>2031000</v>
      </c>
      <c r="E183" s="1">
        <v>7576000</v>
      </c>
    </row>
    <row r="184" spans="1:5" x14ac:dyDescent="0.25">
      <c r="A184">
        <v>7</v>
      </c>
      <c r="B184" t="s">
        <v>151</v>
      </c>
      <c r="C184" t="s">
        <v>93</v>
      </c>
      <c r="D184" s="1">
        <v>1719000</v>
      </c>
      <c r="E184" s="1">
        <v>6948000</v>
      </c>
    </row>
    <row r="185" spans="1:5" x14ac:dyDescent="0.25">
      <c r="A185">
        <v>8</v>
      </c>
      <c r="B185" t="s">
        <v>209</v>
      </c>
      <c r="C185" t="s">
        <v>153</v>
      </c>
      <c r="D185" s="1">
        <v>1643000</v>
      </c>
      <c r="E185" s="1">
        <v>9083000</v>
      </c>
    </row>
    <row r="186" spans="1:5" x14ac:dyDescent="0.25">
      <c r="A186">
        <v>9</v>
      </c>
      <c r="B186" t="s">
        <v>154</v>
      </c>
      <c r="C186" t="s">
        <v>99</v>
      </c>
      <c r="D186" s="1">
        <v>1480000</v>
      </c>
      <c r="E186" s="1">
        <v>6743000</v>
      </c>
    </row>
    <row r="187" spans="1:5" x14ac:dyDescent="0.25">
      <c r="A187">
        <v>10</v>
      </c>
      <c r="B187" t="s">
        <v>155</v>
      </c>
      <c r="C187" t="s">
        <v>106</v>
      </c>
      <c r="D187" s="1">
        <v>1422000</v>
      </c>
      <c r="E187" s="1">
        <v>5942000</v>
      </c>
    </row>
    <row r="188" spans="1:5" x14ac:dyDescent="0.25">
      <c r="A188">
        <v>11</v>
      </c>
      <c r="B188" t="s">
        <v>156</v>
      </c>
      <c r="C188" t="s">
        <v>88</v>
      </c>
      <c r="D188" s="1">
        <v>1383000</v>
      </c>
      <c r="E188" s="1">
        <v>4813000</v>
      </c>
    </row>
    <row r="189" spans="1:5" x14ac:dyDescent="0.25">
      <c r="A189">
        <v>12</v>
      </c>
      <c r="B189" t="s">
        <v>157</v>
      </c>
      <c r="C189" t="s">
        <v>38</v>
      </c>
      <c r="D189" s="1">
        <v>1369000</v>
      </c>
      <c r="E189" s="1">
        <v>4428000</v>
      </c>
    </row>
    <row r="190" spans="1:5" x14ac:dyDescent="0.25">
      <c r="A190">
        <v>13</v>
      </c>
      <c r="B190" t="s">
        <v>158</v>
      </c>
      <c r="C190" t="s">
        <v>94</v>
      </c>
      <c r="D190" s="1">
        <v>1248000</v>
      </c>
      <c r="E190" s="1">
        <v>3327000</v>
      </c>
    </row>
    <row r="191" spans="1:5" x14ac:dyDescent="0.25">
      <c r="A191">
        <v>14</v>
      </c>
      <c r="B191" t="s">
        <v>159</v>
      </c>
      <c r="C191" t="s">
        <v>92</v>
      </c>
      <c r="D191" s="1">
        <v>1222000</v>
      </c>
      <c r="E191" s="1">
        <v>3991000</v>
      </c>
    </row>
    <row r="192" spans="1:5" x14ac:dyDescent="0.25">
      <c r="A192">
        <v>15</v>
      </c>
      <c r="B192" t="s">
        <v>241</v>
      </c>
      <c r="C192" t="s">
        <v>117</v>
      </c>
      <c r="D192" s="1">
        <v>1206000</v>
      </c>
      <c r="E192" s="1">
        <v>5147000</v>
      </c>
    </row>
    <row r="193" spans="1:5" x14ac:dyDescent="0.25">
      <c r="A193">
        <v>16</v>
      </c>
      <c r="B193" t="s">
        <v>160</v>
      </c>
      <c r="C193" t="s">
        <v>97</v>
      </c>
      <c r="D193" s="1">
        <v>1180000</v>
      </c>
      <c r="E193" t="s">
        <v>242</v>
      </c>
    </row>
    <row r="194" spans="1:5" x14ac:dyDescent="0.25">
      <c r="A194">
        <v>17</v>
      </c>
      <c r="B194" t="s">
        <v>202</v>
      </c>
      <c r="C194" t="s">
        <v>102</v>
      </c>
      <c r="D194" s="1">
        <v>1160000</v>
      </c>
      <c r="E194" s="1">
        <v>2252000</v>
      </c>
    </row>
    <row r="195" spans="1:5" x14ac:dyDescent="0.25">
      <c r="A195">
        <v>18</v>
      </c>
      <c r="B195" t="s">
        <v>162</v>
      </c>
      <c r="C195" t="s">
        <v>79</v>
      </c>
      <c r="D195" s="1">
        <v>1129000</v>
      </c>
      <c r="E195" s="1">
        <v>3447000</v>
      </c>
    </row>
    <row r="196" spans="1:5" x14ac:dyDescent="0.25">
      <c r="A196">
        <v>19</v>
      </c>
      <c r="B196" t="s">
        <v>165</v>
      </c>
      <c r="C196" t="s">
        <v>85</v>
      </c>
      <c r="D196" s="1">
        <v>1091000</v>
      </c>
      <c r="E196" s="1">
        <v>6291000</v>
      </c>
    </row>
    <row r="197" spans="1:5" x14ac:dyDescent="0.25">
      <c r="A197">
        <v>20</v>
      </c>
      <c r="B197" t="s">
        <v>243</v>
      </c>
      <c r="C197" t="s">
        <v>81</v>
      </c>
      <c r="D197" s="1">
        <v>1069000</v>
      </c>
      <c r="E197" s="1">
        <v>4405000</v>
      </c>
    </row>
    <row r="198" spans="1:5" x14ac:dyDescent="0.25">
      <c r="A198">
        <v>21</v>
      </c>
      <c r="B198" t="s">
        <v>203</v>
      </c>
      <c r="C198" t="s">
        <v>104</v>
      </c>
      <c r="D198" s="1">
        <v>1044000</v>
      </c>
      <c r="E198" s="1">
        <v>1836000</v>
      </c>
    </row>
    <row r="199" spans="1:5" x14ac:dyDescent="0.25">
      <c r="A199">
        <v>22</v>
      </c>
      <c r="B199" t="s">
        <v>244</v>
      </c>
      <c r="C199" t="s">
        <v>80</v>
      </c>
      <c r="D199" s="1">
        <v>1021000</v>
      </c>
      <c r="E199" t="s">
        <v>245</v>
      </c>
    </row>
    <row r="200" spans="1:5" x14ac:dyDescent="0.25">
      <c r="A200">
        <v>23</v>
      </c>
      <c r="B200" t="s">
        <v>246</v>
      </c>
      <c r="C200" t="s">
        <v>87</v>
      </c>
      <c r="D200" s="1">
        <v>1001000</v>
      </c>
      <c r="E200" s="1">
        <v>4940000</v>
      </c>
    </row>
    <row r="201" spans="1:5" x14ac:dyDescent="0.25">
      <c r="A201">
        <v>24</v>
      </c>
      <c r="B201" t="s">
        <v>247</v>
      </c>
      <c r="C201" t="s">
        <v>95</v>
      </c>
      <c r="D201" s="1">
        <v>983000</v>
      </c>
      <c r="E201" s="1">
        <v>2297000</v>
      </c>
    </row>
    <row r="202" spans="1:5" x14ac:dyDescent="0.25">
      <c r="A202">
        <v>25</v>
      </c>
      <c r="B202" t="s">
        <v>230</v>
      </c>
      <c r="C202" t="s">
        <v>95</v>
      </c>
      <c r="D202" s="1">
        <v>925000</v>
      </c>
      <c r="E202" s="1">
        <v>2929000</v>
      </c>
    </row>
    <row r="203" spans="1:5" x14ac:dyDescent="0.25">
      <c r="A203">
        <v>26</v>
      </c>
      <c r="B203" t="s">
        <v>231</v>
      </c>
      <c r="C203" t="s">
        <v>100</v>
      </c>
      <c r="D203" s="1">
        <v>903000</v>
      </c>
      <c r="E203" s="1">
        <v>3562000</v>
      </c>
    </row>
    <row r="204" spans="1:5" x14ac:dyDescent="0.25">
      <c r="A204">
        <v>27</v>
      </c>
      <c r="B204" t="s">
        <v>232</v>
      </c>
      <c r="C204" t="s">
        <v>99</v>
      </c>
      <c r="D204" s="1">
        <v>891000</v>
      </c>
      <c r="E204" s="1">
        <v>3421000</v>
      </c>
    </row>
    <row r="205" spans="1:5" x14ac:dyDescent="0.25">
      <c r="A205">
        <v>28</v>
      </c>
      <c r="B205" t="s">
        <v>197</v>
      </c>
      <c r="C205" t="s">
        <v>118</v>
      </c>
      <c r="D205" s="1">
        <v>877000</v>
      </c>
      <c r="E205" s="1">
        <v>2473000</v>
      </c>
    </row>
    <row r="206" spans="1:5" x14ac:dyDescent="0.25">
      <c r="A206">
        <v>29</v>
      </c>
      <c r="B206" t="s">
        <v>217</v>
      </c>
      <c r="C206" t="s">
        <v>96</v>
      </c>
      <c r="D206" s="1">
        <v>851000</v>
      </c>
      <c r="E206" s="1">
        <v>2329000</v>
      </c>
    </row>
    <row r="207" spans="1:5" x14ac:dyDescent="0.25">
      <c r="A207">
        <v>30</v>
      </c>
      <c r="B207" t="s">
        <v>206</v>
      </c>
      <c r="C207" t="s">
        <v>104</v>
      </c>
      <c r="D207" s="1">
        <v>824000</v>
      </c>
      <c r="E207" s="1">
        <v>1651000</v>
      </c>
    </row>
    <row r="208" spans="1:5" x14ac:dyDescent="0.25">
      <c r="A208">
        <v>31</v>
      </c>
      <c r="B208" t="s">
        <v>207</v>
      </c>
      <c r="C208" t="s">
        <v>198</v>
      </c>
      <c r="D208" s="1">
        <v>802000</v>
      </c>
      <c r="E208" s="1">
        <v>2547000</v>
      </c>
    </row>
    <row r="209" spans="1:5" x14ac:dyDescent="0.25">
      <c r="A209">
        <v>32</v>
      </c>
      <c r="B209" t="s">
        <v>167</v>
      </c>
      <c r="C209" t="s">
        <v>101</v>
      </c>
      <c r="D209" s="1">
        <v>788000</v>
      </c>
      <c r="E209" s="1">
        <v>5312000</v>
      </c>
    </row>
    <row r="210" spans="1:5" x14ac:dyDescent="0.25">
      <c r="A210">
        <v>33</v>
      </c>
      <c r="B210" t="s">
        <v>168</v>
      </c>
      <c r="C210" t="s">
        <v>84</v>
      </c>
      <c r="D210" s="1">
        <v>765000</v>
      </c>
      <c r="E210" s="1">
        <v>1252000</v>
      </c>
    </row>
    <row r="211" spans="1:5" x14ac:dyDescent="0.25">
      <c r="A211">
        <v>34</v>
      </c>
      <c r="B211" t="s">
        <v>161</v>
      </c>
      <c r="C211" t="s">
        <v>102</v>
      </c>
      <c r="D211" s="1">
        <v>741000</v>
      </c>
      <c r="E211" s="1">
        <v>1782000</v>
      </c>
    </row>
    <row r="212" spans="1:5" x14ac:dyDescent="0.25">
      <c r="A212">
        <v>35</v>
      </c>
      <c r="B212" t="s">
        <v>169</v>
      </c>
      <c r="C212" t="s">
        <v>94</v>
      </c>
      <c r="D212" s="1">
        <v>729000</v>
      </c>
      <c r="E212" s="1">
        <v>2175000</v>
      </c>
    </row>
    <row r="213" spans="1:5" x14ac:dyDescent="0.25">
      <c r="A213">
        <v>36</v>
      </c>
      <c r="B213" t="s">
        <v>171</v>
      </c>
      <c r="C213" t="s">
        <v>89</v>
      </c>
      <c r="D213" s="1">
        <v>701000</v>
      </c>
      <c r="E213" s="1">
        <v>2461000</v>
      </c>
    </row>
    <row r="214" spans="1:5" x14ac:dyDescent="0.25">
      <c r="A214">
        <v>37</v>
      </c>
      <c r="B214" t="s">
        <v>218</v>
      </c>
      <c r="C214" t="s">
        <v>110</v>
      </c>
      <c r="D214" s="1">
        <v>682000</v>
      </c>
      <c r="E214" s="1">
        <v>1221000</v>
      </c>
    </row>
    <row r="215" spans="1:5" x14ac:dyDescent="0.25">
      <c r="A215">
        <v>38</v>
      </c>
      <c r="B215" t="s">
        <v>219</v>
      </c>
      <c r="C215" t="s">
        <v>99</v>
      </c>
      <c r="D215" s="1">
        <v>668000</v>
      </c>
      <c r="E215" s="1">
        <v>1814000</v>
      </c>
    </row>
    <row r="216" spans="1:5" x14ac:dyDescent="0.25">
      <c r="A216">
        <v>39</v>
      </c>
      <c r="B216" t="s">
        <v>172</v>
      </c>
      <c r="C216" t="s">
        <v>95</v>
      </c>
      <c r="D216" s="1">
        <v>656000</v>
      </c>
      <c r="E216" s="1">
        <v>1567000</v>
      </c>
    </row>
    <row r="217" spans="1:5" x14ac:dyDescent="0.25">
      <c r="A217">
        <v>40</v>
      </c>
      <c r="B217" t="s">
        <v>220</v>
      </c>
      <c r="C217" t="s">
        <v>198</v>
      </c>
      <c r="D217" s="1">
        <v>634000</v>
      </c>
      <c r="E217" s="1">
        <v>1341000</v>
      </c>
    </row>
    <row r="218" spans="1:5" x14ac:dyDescent="0.25">
      <c r="A218">
        <v>41</v>
      </c>
      <c r="B218" t="s">
        <v>204</v>
      </c>
      <c r="C218" t="s">
        <v>205</v>
      </c>
      <c r="D218" s="1">
        <v>613000</v>
      </c>
      <c r="E218" s="1">
        <v>1248000</v>
      </c>
    </row>
    <row r="219" spans="1:5" x14ac:dyDescent="0.25">
      <c r="A219">
        <v>42</v>
      </c>
      <c r="B219" t="s">
        <v>233</v>
      </c>
      <c r="C219" t="s">
        <v>88</v>
      </c>
      <c r="D219" s="1">
        <v>606000</v>
      </c>
      <c r="E219" s="1">
        <v>1638000</v>
      </c>
    </row>
    <row r="220" spans="1:5" x14ac:dyDescent="0.25">
      <c r="A220">
        <v>43</v>
      </c>
      <c r="B220" t="s">
        <v>221</v>
      </c>
      <c r="C220" t="s">
        <v>80</v>
      </c>
      <c r="D220" s="1">
        <v>584000</v>
      </c>
      <c r="E220" t="s">
        <v>225</v>
      </c>
    </row>
    <row r="221" spans="1:5" x14ac:dyDescent="0.25">
      <c r="A221">
        <v>44</v>
      </c>
      <c r="B221" t="s">
        <v>234</v>
      </c>
      <c r="C221" t="s">
        <v>117</v>
      </c>
      <c r="D221" s="1">
        <v>565000</v>
      </c>
      <c r="E221" s="1">
        <v>1641000</v>
      </c>
    </row>
    <row r="222" spans="1:5" x14ac:dyDescent="0.25">
      <c r="A222">
        <v>45</v>
      </c>
      <c r="B222" t="s">
        <v>223</v>
      </c>
      <c r="C222" t="s">
        <v>81</v>
      </c>
      <c r="D222" s="1">
        <v>524000</v>
      </c>
      <c r="E222" s="1">
        <v>1051000</v>
      </c>
    </row>
    <row r="223" spans="1:5" x14ac:dyDescent="0.25">
      <c r="A223">
        <v>46</v>
      </c>
      <c r="B223" t="s">
        <v>227</v>
      </c>
      <c r="C223" t="s">
        <v>92</v>
      </c>
      <c r="D223" s="1">
        <v>501000</v>
      </c>
      <c r="E223" t="s">
        <v>228</v>
      </c>
    </row>
    <row r="224" spans="1:5" x14ac:dyDescent="0.25">
      <c r="A224">
        <v>47</v>
      </c>
      <c r="B224" t="s">
        <v>235</v>
      </c>
      <c r="C224" t="s">
        <v>92</v>
      </c>
      <c r="D224" s="1">
        <v>479000</v>
      </c>
      <c r="E224" s="1">
        <v>993000</v>
      </c>
    </row>
    <row r="225" spans="1:5" x14ac:dyDescent="0.25">
      <c r="A225">
        <v>48</v>
      </c>
      <c r="B225" t="s">
        <v>236</v>
      </c>
      <c r="C225" t="s">
        <v>237</v>
      </c>
      <c r="D225" s="1">
        <v>460000</v>
      </c>
      <c r="E225" t="s">
        <v>238</v>
      </c>
    </row>
    <row r="226" spans="1:5" x14ac:dyDescent="0.25">
      <c r="A226">
        <v>49</v>
      </c>
      <c r="B226" t="s">
        <v>239</v>
      </c>
      <c r="C226" t="s">
        <v>89</v>
      </c>
      <c r="D226" s="1">
        <v>447000</v>
      </c>
      <c r="E226" s="1">
        <v>934000</v>
      </c>
    </row>
    <row r="227" spans="1:5" x14ac:dyDescent="0.25">
      <c r="A227">
        <v>50</v>
      </c>
      <c r="B227" t="s">
        <v>240</v>
      </c>
      <c r="C227" t="s">
        <v>229</v>
      </c>
      <c r="D227" s="1">
        <v>429000</v>
      </c>
      <c r="E227" s="1">
        <v>670000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1"/>
  <sheetViews>
    <sheetView topLeftCell="A8" workbookViewId="0">
      <selection activeCell="K20" sqref="K20"/>
    </sheetView>
  </sheetViews>
  <sheetFormatPr defaultRowHeight="15" x14ac:dyDescent="0.25"/>
  <cols>
    <col min="2" max="2" width="11" customWidth="1"/>
    <col min="3" max="3" width="11.85546875" customWidth="1"/>
    <col min="4" max="4" width="10.42578125" customWidth="1"/>
    <col min="5" max="5" width="10.5703125" bestFit="1" customWidth="1"/>
    <col min="8" max="8" width="8.85546875" customWidth="1"/>
    <col min="11" max="11" width="10.42578125" customWidth="1"/>
  </cols>
  <sheetData>
    <row r="1" spans="1:11" x14ac:dyDescent="0.25">
      <c r="A1" t="s">
        <v>130</v>
      </c>
    </row>
    <row r="2" spans="1:11" x14ac:dyDescent="0.25">
      <c r="A2" t="s">
        <v>131</v>
      </c>
      <c r="B2" s="1">
        <v>1054549</v>
      </c>
    </row>
    <row r="4" spans="1:11" x14ac:dyDescent="0.25">
      <c r="D4" t="s">
        <v>132</v>
      </c>
      <c r="E4" s="1">
        <v>9833520</v>
      </c>
    </row>
    <row r="5" spans="1:11" x14ac:dyDescent="0.25">
      <c r="D5" t="s">
        <v>133</v>
      </c>
      <c r="E5" s="11">
        <f>'united states'!C32</f>
        <v>4617194.6016363995</v>
      </c>
    </row>
    <row r="6" spans="1:11" x14ac:dyDescent="0.25">
      <c r="G6" t="s">
        <v>134</v>
      </c>
      <c r="H6" s="11">
        <f>380800-'united states'!G12</f>
        <v>77351.813000000024</v>
      </c>
    </row>
    <row r="7" spans="1:11" x14ac:dyDescent="0.25">
      <c r="G7" t="s">
        <v>136</v>
      </c>
      <c r="H7">
        <f>253335-10920-12780-5040</f>
        <v>224595</v>
      </c>
    </row>
    <row r="8" spans="1:11" x14ac:dyDescent="0.25">
      <c r="G8" t="s">
        <v>135</v>
      </c>
      <c r="H8" s="1">
        <v>254806</v>
      </c>
    </row>
    <row r="9" spans="1:11" x14ac:dyDescent="0.25">
      <c r="G9" t="s">
        <v>137</v>
      </c>
      <c r="H9" s="1">
        <f>184827-'united states'!G27</f>
        <v>165137</v>
      </c>
    </row>
    <row r="10" spans="1:11" x14ac:dyDescent="0.25">
      <c r="D10" t="s">
        <v>138</v>
      </c>
      <c r="E10" s="15">
        <f>SUM(H6:H9)</f>
        <v>721889.81300000008</v>
      </c>
    </row>
    <row r="11" spans="1:11" x14ac:dyDescent="0.25">
      <c r="D11" t="s">
        <v>140</v>
      </c>
      <c r="E11" s="15">
        <f>SUM('united states'!C30:C31)</f>
        <v>13129.141</v>
      </c>
    </row>
    <row r="12" spans="1:11" x14ac:dyDescent="0.25">
      <c r="A12" s="3" t="s">
        <v>139</v>
      </c>
      <c r="B12" s="19">
        <f>E4-SUM(E5:E11)</f>
        <v>4481306.4443636006</v>
      </c>
    </row>
    <row r="13" spans="1:11" ht="15.75" thickBot="1" x14ac:dyDescent="0.3">
      <c r="A13" s="17" t="s">
        <v>22</v>
      </c>
      <c r="B13" s="18">
        <f>SUM(B2:B12)</f>
        <v>5535855.4443636006</v>
      </c>
    </row>
    <row r="14" spans="1:11" ht="15.75" thickTop="1" x14ac:dyDescent="0.25"/>
    <row r="15" spans="1:11" x14ac:dyDescent="0.25">
      <c r="B15" t="s">
        <v>129</v>
      </c>
      <c r="C15" t="s">
        <v>63</v>
      </c>
      <c r="K15" t="s">
        <v>173</v>
      </c>
    </row>
    <row r="16" spans="1:11" x14ac:dyDescent="0.25">
      <c r="B16" t="s">
        <v>177</v>
      </c>
      <c r="C16" s="1">
        <f>K16+2000000</f>
        <v>12046000</v>
      </c>
      <c r="K16" s="1">
        <f>E32</f>
        <v>10046000</v>
      </c>
    </row>
    <row r="17" spans="1:11" x14ac:dyDescent="0.25">
      <c r="B17" t="s">
        <v>185</v>
      </c>
      <c r="C17" s="1">
        <f>K17+2000000</f>
        <v>6602000</v>
      </c>
      <c r="K17" s="1">
        <f>E36</f>
        <v>4602000</v>
      </c>
    </row>
    <row r="18" spans="1:11" x14ac:dyDescent="0.25">
      <c r="B18" t="s">
        <v>179</v>
      </c>
      <c r="C18" s="11">
        <f>K18*(1.5)</f>
        <v>11286000</v>
      </c>
      <c r="K18" s="1">
        <f>E33</f>
        <v>7524000</v>
      </c>
    </row>
    <row r="19" spans="1:11" x14ac:dyDescent="0.25">
      <c r="B19" t="s">
        <v>183</v>
      </c>
      <c r="C19" s="1">
        <f>K19+7000000</f>
        <v>11924000</v>
      </c>
      <c r="K19" s="1">
        <f>E35</f>
        <v>4924000</v>
      </c>
    </row>
    <row r="20" spans="1:11" x14ac:dyDescent="0.25">
      <c r="B20" t="s">
        <v>194</v>
      </c>
      <c r="C20" s="1">
        <v>1521000</v>
      </c>
      <c r="K20" s="1"/>
    </row>
    <row r="21" spans="1:11" x14ac:dyDescent="0.25">
      <c r="B21" t="s">
        <v>187</v>
      </c>
      <c r="C21" s="11">
        <f>K21*1.5</f>
        <v>14124000</v>
      </c>
      <c r="K21" s="1">
        <f>SUM(E37:E39)+E41</f>
        <v>9416000</v>
      </c>
    </row>
    <row r="22" spans="1:11" x14ac:dyDescent="0.25">
      <c r="B22" t="s">
        <v>181</v>
      </c>
      <c r="C22" s="11">
        <f>K22+1500000</f>
        <v>8893000</v>
      </c>
      <c r="K22" s="1">
        <f>E40+E34</f>
        <v>7393000</v>
      </c>
    </row>
    <row r="23" spans="1:11" x14ac:dyDescent="0.25">
      <c r="B23" t="s">
        <v>192</v>
      </c>
      <c r="C23" s="1">
        <v>2341000</v>
      </c>
    </row>
    <row r="24" spans="1:11" x14ac:dyDescent="0.25">
      <c r="B24" t="s">
        <v>193</v>
      </c>
      <c r="C24" s="1">
        <v>1567000</v>
      </c>
    </row>
    <row r="25" spans="1:11" x14ac:dyDescent="0.25">
      <c r="B25" t="s">
        <v>195</v>
      </c>
      <c r="C25" s="1">
        <v>234000</v>
      </c>
    </row>
    <row r="26" spans="1:11" x14ac:dyDescent="0.25">
      <c r="B26" t="s">
        <v>196</v>
      </c>
      <c r="C26" s="1">
        <v>1624000</v>
      </c>
    </row>
    <row r="27" spans="1:11" ht="15.75" thickBot="1" x14ac:dyDescent="0.3">
      <c r="A27" s="4"/>
      <c r="B27" s="4" t="s">
        <v>22</v>
      </c>
      <c r="C27" s="5">
        <f>SUM(C16:C26)</f>
        <v>72162000</v>
      </c>
      <c r="D27" s="4"/>
      <c r="E27" s="4"/>
      <c r="F27" s="4"/>
      <c r="G27" s="4"/>
      <c r="H27" s="4"/>
      <c r="I27" s="4"/>
      <c r="J27" s="4"/>
      <c r="K27" s="4"/>
    </row>
    <row r="28" spans="1:11" ht="15.75" thickTop="1" x14ac:dyDescent="0.25"/>
    <row r="29" spans="1:11" x14ac:dyDescent="0.25">
      <c r="A29" t="s">
        <v>64</v>
      </c>
      <c r="B29" s="8">
        <f>C27/B13</f>
        <v>13.035383731609652</v>
      </c>
    </row>
    <row r="31" spans="1:11" x14ac:dyDescent="0.25">
      <c r="A31" t="s">
        <v>141</v>
      </c>
      <c r="B31" t="s">
        <v>142</v>
      </c>
      <c r="C31" t="s">
        <v>174</v>
      </c>
      <c r="D31" t="s">
        <v>63</v>
      </c>
      <c r="E31" t="s">
        <v>175</v>
      </c>
    </row>
    <row r="32" spans="1:11" x14ac:dyDescent="0.25">
      <c r="A32">
        <v>1</v>
      </c>
      <c r="B32" t="s">
        <v>176</v>
      </c>
      <c r="C32" t="s">
        <v>177</v>
      </c>
      <c r="D32" s="1">
        <v>5221000</v>
      </c>
      <c r="E32" s="1">
        <v>10046000</v>
      </c>
    </row>
    <row r="33" spans="1:5" x14ac:dyDescent="0.25">
      <c r="A33">
        <v>2</v>
      </c>
      <c r="B33" t="s">
        <v>178</v>
      </c>
      <c r="C33" t="s">
        <v>179</v>
      </c>
      <c r="D33" s="1">
        <v>3270000</v>
      </c>
      <c r="E33" s="1">
        <v>7524000</v>
      </c>
    </row>
    <row r="34" spans="1:5" x14ac:dyDescent="0.25">
      <c r="A34">
        <v>3</v>
      </c>
      <c r="B34" t="s">
        <v>180</v>
      </c>
      <c r="C34" t="s">
        <v>181</v>
      </c>
      <c r="D34" s="1">
        <v>2769000</v>
      </c>
      <c r="E34" s="1">
        <v>5435000</v>
      </c>
    </row>
    <row r="35" spans="1:5" x14ac:dyDescent="0.25">
      <c r="A35">
        <v>4</v>
      </c>
      <c r="B35" t="s">
        <v>182</v>
      </c>
      <c r="C35" t="s">
        <v>183</v>
      </c>
      <c r="D35" s="1">
        <v>2534000</v>
      </c>
      <c r="E35" s="1">
        <v>4924000</v>
      </c>
    </row>
    <row r="36" spans="1:5" x14ac:dyDescent="0.25">
      <c r="A36">
        <v>5</v>
      </c>
      <c r="B36" t="s">
        <v>184</v>
      </c>
      <c r="C36" t="s">
        <v>185</v>
      </c>
      <c r="D36" s="1">
        <v>2150000</v>
      </c>
      <c r="E36" s="1">
        <v>4602000</v>
      </c>
    </row>
    <row r="37" spans="1:5" x14ac:dyDescent="0.25">
      <c r="A37">
        <v>6</v>
      </c>
      <c r="B37" t="s">
        <v>186</v>
      </c>
      <c r="C37" t="s">
        <v>187</v>
      </c>
      <c r="D37" s="1">
        <v>1623000</v>
      </c>
      <c r="E37" s="1">
        <v>2912000</v>
      </c>
    </row>
    <row r="38" spans="1:5" x14ac:dyDescent="0.25">
      <c r="A38">
        <v>7</v>
      </c>
      <c r="B38" t="s">
        <v>188</v>
      </c>
      <c r="C38" t="s">
        <v>187</v>
      </c>
      <c r="D38" s="1">
        <v>1408000</v>
      </c>
      <c r="E38" s="1">
        <v>2705000</v>
      </c>
    </row>
    <row r="39" spans="1:5" x14ac:dyDescent="0.25">
      <c r="A39">
        <v>8</v>
      </c>
      <c r="B39" t="s">
        <v>189</v>
      </c>
      <c r="C39" t="s">
        <v>187</v>
      </c>
      <c r="D39" s="1">
        <v>1251000</v>
      </c>
      <c r="E39" s="1">
        <v>2396000</v>
      </c>
    </row>
    <row r="40" spans="1:5" x14ac:dyDescent="0.25">
      <c r="A40">
        <v>9</v>
      </c>
      <c r="B40" t="s">
        <v>190</v>
      </c>
      <c r="C40" t="s">
        <v>181</v>
      </c>
      <c r="D40" s="1">
        <v>1115000</v>
      </c>
      <c r="E40" s="1">
        <v>1958000</v>
      </c>
    </row>
    <row r="41" spans="1:5" x14ac:dyDescent="0.25">
      <c r="A41">
        <v>10</v>
      </c>
      <c r="B41" t="s">
        <v>191</v>
      </c>
      <c r="C41" t="s">
        <v>187</v>
      </c>
      <c r="D41" s="1">
        <v>1059000</v>
      </c>
      <c r="E41" s="1">
        <v>1403000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france</vt:lpstr>
      <vt:lpstr>united states</vt:lpstr>
      <vt:lpstr>buenaventura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2024-02-12T15:17:23Z</dcterms:modified>
</cp:coreProperties>
</file>