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iCloudDrive\iCloud~md~obsidian\Ishan's notes\Spreadsheets\"/>
    </mc:Choice>
  </mc:AlternateContent>
  <xr:revisionPtr revIDLastSave="0" documentId="13_ncr:1_{5A22B9C3-F02C-4400-BFB4-95DFCE7BEBF1}" xr6:coauthVersionLast="47" xr6:coauthVersionMax="47" xr10:uidLastSave="{00000000-0000-0000-0000-000000000000}"/>
  <bookViews>
    <workbookView xWindow="-96" yWindow="-96" windowWidth="20928" windowHeight="12432" activeTab="1" xr2:uid="{94B94BC7-FBC8-4BAC-A974-CA3E4662C848}"/>
  </bookViews>
  <sheets>
    <sheet name="france" sheetId="1" r:id="rId1"/>
    <sheet name="united states" sheetId="2" r:id="rId2"/>
    <sheet name="buenaventura" sheetId="4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4" i="2" l="1"/>
  <c r="K19" i="4"/>
  <c r="C19" i="4" s="1"/>
  <c r="K22" i="4"/>
  <c r="C22" i="4"/>
  <c r="K21" i="4"/>
  <c r="C21" i="4" s="1"/>
  <c r="K17" i="4"/>
  <c r="C17" i="4" s="1"/>
  <c r="K18" i="4"/>
  <c r="C18" i="4" s="1"/>
  <c r="K16" i="4"/>
  <c r="C16" i="4" s="1"/>
  <c r="K59" i="2"/>
  <c r="K66" i="2"/>
  <c r="K56" i="2"/>
  <c r="K55" i="2"/>
  <c r="K57" i="2"/>
  <c r="K58" i="2"/>
  <c r="K53" i="2"/>
  <c r="K61" i="2"/>
  <c r="K60" i="2"/>
  <c r="K65" i="2"/>
  <c r="K63" i="2"/>
  <c r="K52" i="2"/>
  <c r="K47" i="2"/>
  <c r="K71" i="2"/>
  <c r="K77" i="2"/>
  <c r="K48" i="2"/>
  <c r="K44" i="2"/>
  <c r="K42" i="2"/>
  <c r="K73" i="2"/>
  <c r="K51" i="2"/>
  <c r="K50" i="2"/>
  <c r="K68" i="2"/>
  <c r="K69" i="2"/>
  <c r="K45" i="2"/>
  <c r="K43" i="2"/>
  <c r="K67" i="2"/>
  <c r="K62" i="2"/>
  <c r="C79" i="2"/>
  <c r="K79" i="2"/>
  <c r="K46" i="2"/>
  <c r="K49" i="2"/>
  <c r="K41" i="2"/>
  <c r="E11" i="4"/>
  <c r="H7" i="4"/>
  <c r="H9" i="4"/>
  <c r="E5" i="4"/>
  <c r="H6" i="4"/>
  <c r="C56" i="2"/>
  <c r="C50" i="1"/>
  <c r="B41" i="1"/>
  <c r="C41" i="1" s="1"/>
  <c r="C43" i="1"/>
  <c r="C44" i="1"/>
  <c r="C42" i="1"/>
  <c r="C45" i="1"/>
  <c r="C46" i="1"/>
  <c r="C47" i="1"/>
  <c r="C48" i="1"/>
  <c r="C49" i="1"/>
  <c r="C27" i="4" l="1"/>
  <c r="E10" i="4"/>
  <c r="B12" i="4" s="1"/>
  <c r="B13" i="4" s="1"/>
  <c r="C85" i="2"/>
  <c r="K26" i="2"/>
  <c r="G27" i="2" s="1"/>
  <c r="C29" i="2" s="1"/>
  <c r="J26" i="2"/>
  <c r="F27" i="2" s="1"/>
  <c r="B29" i="2" s="1"/>
  <c r="G19" i="2"/>
  <c r="F19" i="2"/>
  <c r="F20" i="2"/>
  <c r="G20" i="2"/>
  <c r="G11" i="2"/>
  <c r="F11" i="2"/>
  <c r="G21" i="2"/>
  <c r="F21" i="2"/>
  <c r="G7" i="2"/>
  <c r="C6" i="2"/>
  <c r="C33" i="1"/>
  <c r="F15" i="1"/>
  <c r="K16" i="1"/>
  <c r="K17" i="1"/>
  <c r="J17" i="1"/>
  <c r="J16" i="1"/>
  <c r="K14" i="1"/>
  <c r="J14" i="1"/>
  <c r="G28" i="1"/>
  <c r="C29" i="1" s="1"/>
  <c r="F7" i="2"/>
  <c r="B6" i="2"/>
  <c r="B33" i="1"/>
  <c r="F28" i="1"/>
  <c r="B29" i="1" s="1"/>
  <c r="B29" i="4" l="1"/>
  <c r="B34" i="2"/>
  <c r="B36" i="2"/>
  <c r="B37" i="2" s="1"/>
  <c r="G18" i="1"/>
  <c r="C22" i="2"/>
  <c r="C32" i="2" s="1"/>
  <c r="C87" i="2" s="1"/>
  <c r="B22" i="2"/>
  <c r="B32" i="2" s="1"/>
  <c r="B87" i="2" s="1"/>
  <c r="F18" i="1"/>
  <c r="G15" i="1"/>
  <c r="B19" i="1"/>
  <c r="B30" i="1" s="1"/>
  <c r="B34" i="1" s="1"/>
  <c r="B38" i="1" s="1"/>
  <c r="E60" i="2" l="1"/>
  <c r="F60" i="2" s="1"/>
  <c r="G60" i="2" s="1"/>
  <c r="H60" i="2" s="1"/>
  <c r="E56" i="2"/>
  <c r="F56" i="2" s="1"/>
  <c r="G56" i="2" s="1"/>
  <c r="H56" i="2" s="1"/>
  <c r="E51" i="2"/>
  <c r="E79" i="2"/>
  <c r="E75" i="2"/>
  <c r="E67" i="2"/>
  <c r="E61" i="2"/>
  <c r="F61" i="2" s="1"/>
  <c r="G61" i="2" s="1"/>
  <c r="H61" i="2" s="1"/>
  <c r="E82" i="2"/>
  <c r="F82" i="2" s="1"/>
  <c r="G82" i="2" s="1"/>
  <c r="H82" i="2" s="1"/>
  <c r="E78" i="2"/>
  <c r="F78" i="2" s="1"/>
  <c r="G78" i="2" s="1"/>
  <c r="H78" i="2" s="1"/>
  <c r="E55" i="2"/>
  <c r="E80" i="2"/>
  <c r="F80" i="2" s="1"/>
  <c r="G80" i="2" s="1"/>
  <c r="H80" i="2" s="1"/>
  <c r="E58" i="2"/>
  <c r="F58" i="2" s="1"/>
  <c r="G58" i="2" s="1"/>
  <c r="H58" i="2" s="1"/>
  <c r="E76" i="2"/>
  <c r="F76" i="2" s="1"/>
  <c r="G76" i="2" s="1"/>
  <c r="H76" i="2" s="1"/>
  <c r="E46" i="2"/>
  <c r="F46" i="2" s="1"/>
  <c r="G46" i="2" s="1"/>
  <c r="H46" i="2" s="1"/>
  <c r="E83" i="2"/>
  <c r="E68" i="2"/>
  <c r="F68" i="2" s="1"/>
  <c r="G68" i="2" s="1"/>
  <c r="H68" i="2" s="1"/>
  <c r="E77" i="2"/>
  <c r="F77" i="2" s="1"/>
  <c r="G77" i="2" s="1"/>
  <c r="H77" i="2" s="1"/>
  <c r="E64" i="2"/>
  <c r="F64" i="2" s="1"/>
  <c r="G64" i="2" s="1"/>
  <c r="H64" i="2" s="1"/>
  <c r="E52" i="2"/>
  <c r="F52" i="2" s="1"/>
  <c r="G52" i="2" s="1"/>
  <c r="H52" i="2" s="1"/>
  <c r="E53" i="2"/>
  <c r="F53" i="2" s="1"/>
  <c r="G53" i="2" s="1"/>
  <c r="H53" i="2" s="1"/>
  <c r="E48" i="2"/>
  <c r="F48" i="2" s="1"/>
  <c r="G48" i="2" s="1"/>
  <c r="H48" i="2" s="1"/>
  <c r="E49" i="2"/>
  <c r="F49" i="2" s="1"/>
  <c r="G49" i="2" s="1"/>
  <c r="H49" i="2" s="1"/>
  <c r="E44" i="2"/>
  <c r="F44" i="2" s="1"/>
  <c r="G44" i="2" s="1"/>
  <c r="H44" i="2" s="1"/>
  <c r="E45" i="2"/>
  <c r="F45" i="2" s="1"/>
  <c r="G45" i="2" s="1"/>
  <c r="H45" i="2" s="1"/>
  <c r="E50" i="2"/>
  <c r="F50" i="2" s="1"/>
  <c r="G50" i="2" s="1"/>
  <c r="H50" i="2" s="1"/>
  <c r="E74" i="2"/>
  <c r="F74" i="2" s="1"/>
  <c r="G74" i="2" s="1"/>
  <c r="H74" i="2" s="1"/>
  <c r="E81" i="2"/>
  <c r="F81" i="2" s="1"/>
  <c r="G81" i="2" s="1"/>
  <c r="H81" i="2" s="1"/>
  <c r="E73" i="2"/>
  <c r="F73" i="2" s="1"/>
  <c r="G73" i="2" s="1"/>
  <c r="H73" i="2" s="1"/>
  <c r="E42" i="2"/>
  <c r="F42" i="2" s="1"/>
  <c r="G42" i="2" s="1"/>
  <c r="H42" i="2" s="1"/>
  <c r="E65" i="2"/>
  <c r="F65" i="2" s="1"/>
  <c r="G65" i="2" s="1"/>
  <c r="H65" i="2" s="1"/>
  <c r="E41" i="2"/>
  <c r="E63" i="2"/>
  <c r="E57" i="2"/>
  <c r="F57" i="2" s="1"/>
  <c r="G57" i="2" s="1"/>
  <c r="H57" i="2" s="1"/>
  <c r="E66" i="2"/>
  <c r="F66" i="2" s="1"/>
  <c r="G66" i="2" s="1"/>
  <c r="H66" i="2" s="1"/>
  <c r="E59" i="2"/>
  <c r="E84" i="2"/>
  <c r="F84" i="2" s="1"/>
  <c r="G84" i="2" s="1"/>
  <c r="H84" i="2" s="1"/>
  <c r="E70" i="2"/>
  <c r="F70" i="2" s="1"/>
  <c r="G70" i="2" s="1"/>
  <c r="H70" i="2" s="1"/>
  <c r="E47" i="2"/>
  <c r="E43" i="2"/>
  <c r="F43" i="2" s="1"/>
  <c r="G43" i="2" s="1"/>
  <c r="H43" i="2" s="1"/>
  <c r="E72" i="2"/>
  <c r="F72" i="2" s="1"/>
  <c r="G72" i="2" s="1"/>
  <c r="H72" i="2" s="1"/>
  <c r="E62" i="2"/>
  <c r="F62" i="2" s="1"/>
  <c r="G62" i="2" s="1"/>
  <c r="H62" i="2" s="1"/>
  <c r="E54" i="2"/>
  <c r="F54" i="2" s="1"/>
  <c r="G54" i="2" s="1"/>
  <c r="H54" i="2" s="1"/>
  <c r="E69" i="2"/>
  <c r="F69" i="2" s="1"/>
  <c r="G69" i="2" s="1"/>
  <c r="H69" i="2" s="1"/>
  <c r="E71" i="2"/>
  <c r="F71" i="2" s="1"/>
  <c r="G71" i="2" s="1"/>
  <c r="H71" i="2" s="1"/>
  <c r="C19" i="1"/>
  <c r="C30" i="1"/>
  <c r="C34" i="1" s="1"/>
  <c r="C38" i="1" s="1"/>
  <c r="F63" i="2" l="1"/>
  <c r="G63" i="2" s="1"/>
  <c r="H63" i="2" s="1"/>
  <c r="F55" i="2"/>
  <c r="G55" i="2" s="1"/>
  <c r="H55" i="2" s="1"/>
  <c r="F67" i="2"/>
  <c r="G67" i="2" s="1"/>
  <c r="H67" i="2" s="1"/>
  <c r="F41" i="2"/>
  <c r="G41" i="2" s="1"/>
  <c r="H41" i="2" s="1"/>
  <c r="E85" i="2"/>
  <c r="F47" i="2"/>
  <c r="G47" i="2" s="1"/>
  <c r="H47" i="2" s="1"/>
  <c r="F75" i="2"/>
  <c r="G75" i="2" s="1"/>
  <c r="H75" i="2" s="1"/>
  <c r="F79" i="2"/>
  <c r="G79" i="2" s="1"/>
  <c r="H79" i="2" s="1"/>
  <c r="F83" i="2"/>
  <c r="G83" i="2" s="1"/>
  <c r="H83" i="2" s="1"/>
  <c r="F59" i="2"/>
  <c r="G59" i="2" s="1"/>
  <c r="H59" i="2" s="1"/>
  <c r="F51" i="2"/>
  <c r="G51" i="2" s="1"/>
  <c r="H51" i="2" s="1"/>
  <c r="H85" i="2" l="1"/>
</calcChain>
</file>

<file path=xl/sharedStrings.xml><?xml version="1.0" encoding="utf-8"?>
<sst xmlns="http://schemas.openxmlformats.org/spreadsheetml/2006/main" count="263" uniqueCount="205">
  <si>
    <t>OTL Metro France</t>
  </si>
  <si>
    <t>Belgium</t>
  </si>
  <si>
    <t>Luxembourg</t>
  </si>
  <si>
    <t>Left Bank of the Rhine</t>
  </si>
  <si>
    <t>Zeelandic Flanders</t>
  </si>
  <si>
    <t>Saarland</t>
  </si>
  <si>
    <t>Rhineland-Palatinate</t>
  </si>
  <si>
    <t>Switzerland</t>
  </si>
  <si>
    <t>North Rhine-Westphalia (est)</t>
  </si>
  <si>
    <t>Geneva</t>
  </si>
  <si>
    <t>Leman</t>
  </si>
  <si>
    <t>Valais</t>
  </si>
  <si>
    <t>Fribourg</t>
  </si>
  <si>
    <t>Neuchatel</t>
  </si>
  <si>
    <t>Jura</t>
  </si>
  <si>
    <t>Bernese Jura</t>
  </si>
  <si>
    <t>Laufen</t>
  </si>
  <si>
    <t>Solothurn exclaves</t>
  </si>
  <si>
    <t>Metropolitan total</t>
  </si>
  <si>
    <t>France</t>
  </si>
  <si>
    <t>St. Pierre and Miquelon</t>
  </si>
  <si>
    <t>Overseas</t>
  </si>
  <si>
    <t>Total</t>
  </si>
  <si>
    <t>United States</t>
  </si>
  <si>
    <t>Northeast</t>
  </si>
  <si>
    <t>East North Central</t>
  </si>
  <si>
    <t>South Atlantic</t>
  </si>
  <si>
    <t>East South Central</t>
  </si>
  <si>
    <t>Eastern United States</t>
  </si>
  <si>
    <t>West North Central-Kansas</t>
  </si>
  <si>
    <t>Oklahoma-panhandle</t>
  </si>
  <si>
    <t>Montana east of Continental Divide</t>
  </si>
  <si>
    <t>Wyoming-othstuff</t>
  </si>
  <si>
    <t>Colorado-othstuff</t>
  </si>
  <si>
    <t>Kansas-othstuff</t>
  </si>
  <si>
    <t>Interior United States</t>
  </si>
  <si>
    <t>Olympia (peninsula)</t>
  </si>
  <si>
    <t>Farallon Islands</t>
  </si>
  <si>
    <t>Olympia</t>
  </si>
  <si>
    <t>Neuwied</t>
  </si>
  <si>
    <t>Altenkirchen</t>
  </si>
  <si>
    <t>Westerwaldkreis</t>
  </si>
  <si>
    <t>Rhein-Lahn</t>
  </si>
  <si>
    <t>Benforf</t>
  </si>
  <si>
    <t>Vallendar</t>
  </si>
  <si>
    <t>Koblenz-right</t>
  </si>
  <si>
    <t>Dusseldorf l-o-r</t>
  </si>
  <si>
    <t>Cologne</t>
  </si>
  <si>
    <t>Cimarron County</t>
  </si>
  <si>
    <t>Texas County</t>
  </si>
  <si>
    <t>Beaver County</t>
  </si>
  <si>
    <t>Teton County</t>
  </si>
  <si>
    <t>Sublette County</t>
  </si>
  <si>
    <t>Lincoln County</t>
  </si>
  <si>
    <t>Uinta County</t>
  </si>
  <si>
    <t>Sweetwater County</t>
  </si>
  <si>
    <t>Carbon County (part)</t>
  </si>
  <si>
    <t>Clallam County</t>
  </si>
  <si>
    <t>Jefferson County</t>
  </si>
  <si>
    <t>Grays Harbor County</t>
  </si>
  <si>
    <t>Mason County</t>
  </si>
  <si>
    <t>Extra Maine</t>
  </si>
  <si>
    <t>Extra Northwest Corner</t>
  </si>
  <si>
    <t>Population</t>
  </si>
  <si>
    <t>Density</t>
  </si>
  <si>
    <t>Other</t>
  </si>
  <si>
    <t>Unaffiliated</t>
  </si>
  <si>
    <t>None</t>
  </si>
  <si>
    <t>Judaism</t>
  </si>
  <si>
    <t>Islam</t>
  </si>
  <si>
    <t>Protestantism</t>
  </si>
  <si>
    <t>Orthodoxy</t>
  </si>
  <si>
    <t xml:space="preserve">Catholicism - </t>
  </si>
  <si>
    <t>Religion</t>
  </si>
  <si>
    <t>Percent</t>
  </si>
  <si>
    <t>Independent Catholicism</t>
  </si>
  <si>
    <t>Dutch Limburg</t>
  </si>
  <si>
    <t>Macapá Spatiodrome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</si>
  <si>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</si>
  <si>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</si>
  <si>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</si>
  <si>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</si>
  <si>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</si>
  <si>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</si>
  <si>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</si>
  <si>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</si>
  <si>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</si>
  <si>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</si>
  <si>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</si>
  <si>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</si>
  <si>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</si>
  <si>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</si>
  <si>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</si>
  <si>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</si>
  <si>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</si>
  <si>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Indiana</t>
  </si>
  <si>
    <t>Yazoo</t>
  </si>
  <si>
    <t>Illinois</t>
  </si>
  <si>
    <t>Mississippi</t>
  </si>
  <si>
    <t>Orleans</t>
  </si>
  <si>
    <t>Michigan</t>
  </si>
  <si>
    <t>Missouri</t>
  </si>
  <si>
    <t>Wisconsan</t>
  </si>
  <si>
    <t>Arkansaw</t>
  </si>
  <si>
    <t>West Florida</t>
  </si>
  <si>
    <t>Iowa</t>
  </si>
  <si>
    <t>Ontonagon</t>
  </si>
  <si>
    <t xml:space="preserve">Nebraska </t>
  </si>
  <si>
    <t xml:space="preserve">Kansas </t>
  </si>
  <si>
    <t xml:space="preserve">Maine </t>
  </si>
  <si>
    <t xml:space="preserve">Olympia </t>
  </si>
  <si>
    <t>New Virginia</t>
  </si>
  <si>
    <t>Franklin</t>
  </si>
  <si>
    <t xml:space="preserve">Pembina </t>
  </si>
  <si>
    <t xml:space="preserve">Anacostia </t>
  </si>
  <si>
    <t>Tahosa</t>
  </si>
  <si>
    <t>Washingtonia</t>
  </si>
  <si>
    <t>Minasota</t>
  </si>
  <si>
    <t xml:space="preserve">Jefferson </t>
  </si>
  <si>
    <t>Cheyenne</t>
  </si>
  <si>
    <t>Cimarron</t>
  </si>
  <si>
    <t>East Florida</t>
  </si>
  <si>
    <t>Apportionment</t>
  </si>
  <si>
    <t>d</t>
  </si>
  <si>
    <t>seats</t>
  </si>
  <si>
    <t>sd</t>
  </si>
  <si>
    <t>quota</t>
  </si>
  <si>
    <t>n</t>
  </si>
  <si>
    <t>geometric mean</t>
  </si>
  <si>
    <t>cube root</t>
  </si>
  <si>
    <t>States</t>
  </si>
  <si>
    <t>Rank by admission</t>
  </si>
  <si>
    <t>State</t>
  </si>
  <si>
    <t>Buenaventura</t>
  </si>
  <si>
    <t>Northern Mexico</t>
  </si>
  <si>
    <t>OTL US</t>
  </si>
  <si>
    <t>(-)TTL US</t>
  </si>
  <si>
    <t>Montana west of Continental divide</t>
  </si>
  <si>
    <t>Oregon</t>
  </si>
  <si>
    <t>Wyoming (oregon part)</t>
  </si>
  <si>
    <t>Washington (less Olympia)</t>
  </si>
  <si>
    <t>(-)Columbia part</t>
  </si>
  <si>
    <t>Western US</t>
  </si>
  <si>
    <t>(-)Extra US</t>
  </si>
  <si>
    <t>Rank</t>
  </si>
  <si>
    <t>City</t>
  </si>
  <si>
    <t>City proper</t>
  </si>
  <si>
    <t>Metropolitan</t>
  </si>
  <si>
    <t>New York City</t>
  </si>
  <si>
    <t>St. Louis</t>
  </si>
  <si>
    <t>Cincinnati</t>
  </si>
  <si>
    <t>Philadelphia</t>
  </si>
  <si>
    <t>Boston</t>
  </si>
  <si>
    <t>Richmond</t>
  </si>
  <si>
    <t>Memphis</t>
  </si>
  <si>
    <t>Washington[1]</t>
  </si>
  <si>
    <t>Anacostia</t>
  </si>
  <si>
    <t>New Orleans</t>
  </si>
  <si>
    <t>St. Paul</t>
  </si>
  <si>
    <t>Black Rock</t>
  </si>
  <si>
    <t>Port Townsend</t>
  </si>
  <si>
    <t>Sandusky</t>
  </si>
  <si>
    <t>Louisville</t>
  </si>
  <si>
    <t>East St. Louis</t>
  </si>
  <si>
    <t>Chicago</t>
  </si>
  <si>
    <t>Pittsburgh</t>
  </si>
  <si>
    <t>Persicia[3]</t>
  </si>
  <si>
    <t>Jersey City[4]</t>
  </si>
  <si>
    <t>Charleston</t>
  </si>
  <si>
    <t>Michigan City</t>
  </si>
  <si>
    <t>Concord[5]</t>
  </si>
  <si>
    <t>Toledo</t>
  </si>
  <si>
    <t>St. Augustine</t>
  </si>
  <si>
    <t>Lille[6]</t>
  </si>
  <si>
    <t>Independence</t>
  </si>
  <si>
    <t>Baltimore</t>
  </si>
  <si>
    <t>Milwaukie</t>
  </si>
  <si>
    <t>Columbus</t>
  </si>
  <si>
    <t>Peoria</t>
  </si>
  <si>
    <t>Wilmington</t>
  </si>
  <si>
    <t>Fort Wayne</t>
  </si>
  <si>
    <t>Cities tabulation</t>
  </si>
  <si>
    <t>Province</t>
  </si>
  <si>
    <t>Metropolitan population</t>
  </si>
  <si>
    <t>San Francisco(a)</t>
  </si>
  <si>
    <t>North California</t>
  </si>
  <si>
    <t>Monterrey</t>
  </si>
  <si>
    <t>New Leon</t>
  </si>
  <si>
    <t>Matamoros</t>
  </si>
  <si>
    <t>New Santander</t>
  </si>
  <si>
    <t>El Paso</t>
  </si>
  <si>
    <t>North New Vizcaya</t>
  </si>
  <si>
    <t>San Diego</t>
  </si>
  <si>
    <t>South California</t>
  </si>
  <si>
    <t>San Antonio</t>
  </si>
  <si>
    <t>Texas</t>
  </si>
  <si>
    <t>San Patricio (b)</t>
  </si>
  <si>
    <t>New Darmstadt(c)</t>
  </si>
  <si>
    <t>Tampico</t>
  </si>
  <si>
    <t>Conalia(d)</t>
  </si>
  <si>
    <t>New Mexico</t>
  </si>
  <si>
    <t>Pimeria</t>
  </si>
  <si>
    <t>South New Vizcaya</t>
  </si>
  <si>
    <t>Yuta</t>
  </si>
  <si>
    <t>New Extremadura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</si>
</sst>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1" xfId="0" applyBorder="1"/>
    <xf numFmtId="0" fontId="2" fillId="0" borderId="2" xfId="0" applyFont="1" applyBorder="1"/>
    <xf numFmtId="3" fontId="2" fillId="0" borderId="2" xfId="0" applyNumberFormat="1" applyFont="1" applyBorder="1"/>
    <xf numFmtId="3" fontId="0" fillId="0" borderId="1" xfId="0" applyNumberFormat="1" applyBorder="1"/>
    <xf numFmtId="164" fontId="2" fillId="0" borderId="2" xfId="1" applyNumberFormat="1" applyFont="1" applyBorder="1"/>
    <xf numFmtId="2" fontId="0" fillId="0" borderId="0" xfId="0" applyNumberFormat="1"/>
    <xf numFmtId="1" fontId="0" fillId="0" borderId="0" xfId="0" applyNumberFormat="1"/>
    <xf numFmtId="164" fontId="0" fillId="0" borderId="1" xfId="1" applyNumberFormat="1" applyFont="1" applyBorder="1"/>
    <xf numFmtId="164" fontId="0" fillId="0" borderId="0" xfId="1" applyNumberFormat="1" applyFont="1"/>
    <xf numFmtId="43" fontId="0" fillId="0" borderId="0" xfId="0" applyNumberFormat="1"/>
    <xf numFmtId="165" fontId="0" fillId="0" borderId="0" xfId="0" applyNumberFormat="1"/>
    <xf numFmtId="165" fontId="0" fillId="0" borderId="0" xfId="2" applyNumberFormat="1" applyFont="1"/>
    <xf numFmtId="164" fontId="0" fillId="0" borderId="0" xfId="0" applyNumberFormat="1"/>
    <xf numFmtId="9" fontId="0" fillId="0" borderId="0" xfId="0" applyNumberFormat="1"/>
    <xf numFmtId="0" fontId="2" fillId="0" borderId="3" xfId="0" applyFont="1" applyBorder="1"/>
    <xf numFmtId="3" fontId="2" fillId="0" borderId="3" xfId="0" applyNumberFormat="1" applyFont="1" applyBorder="1"/>
    <xf numFmtId="164" fontId="0" fillId="0" borderId="1" xfId="0" applyNumberFormat="1" applyBorder="1"/>
    <xf numFmtId="0" fontId="0" fillId="2" borderId="0" xfId="0" applyFill="1"/>
    <xf numFmtId="3" fontId="0" fillId="2" borderId="0" xfId="0" applyNumberFormat="1" applyFill="1"/>
    <xf numFmtId="0" fontId="0" fillId="3" borderId="0" xfId="0" applyFill="1"/>
    <xf numFmtId="3" fontId="0" fillId="3" borderId="0" xfId="0" applyNumberFormat="1" applyFill="1"/>
    <xf numFmtId="43" fontId="0" fillId="3" borderId="0" xfId="0" applyNumberFormat="1" applyFill="1"/>
    <xf numFmtId="164" fontId="0" fillId="3" borderId="0" xfId="0" applyNumberFormat="1" applyFill="1"/>
    <xf numFmtId="164" fontId="0" fillId="3" borderId="0" xfId="1" applyNumberFormat="1" applyFont="1" applyFill="1"/>
    <xf numFmtId="164" fontId="0" fillId="0" borderId="0" xfId="1" applyNumberFormat="1" applyFont="1" applyBorder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DD57-E97E-46C5-91B6-044FDCA9CA47}">
  <dimension ref="A1:K50"/>
  <sheetViews>
    <sheetView topLeftCell="A14" workbookViewId="0">
      <selection activeCell="J28" sqref="J28"/>
    </sheetView>
  </sheetViews>
  <sheetFormatPr defaultRowHeight="15" x14ac:dyDescent="0.25"/>
  <cols>
    <col min="2" max="2" width="12.85546875" bestFit="1" customWidth="1"/>
    <col min="3" max="3" width="11.85546875" bestFit="1" customWidth="1"/>
    <col min="10" max="10" width="9" customWidth="1"/>
  </cols>
  <sheetData>
    <row r="1" spans="1:11" x14ac:dyDescent="0.25">
      <c r="A1" s="28" t="s">
        <v>19</v>
      </c>
      <c r="B1" s="28"/>
    </row>
    <row r="2" spans="1:11" x14ac:dyDescent="0.25">
      <c r="A2" t="s">
        <v>0</v>
      </c>
      <c r="B2" s="1">
        <v>549970</v>
      </c>
      <c r="C2" s="1">
        <v>551695</v>
      </c>
      <c r="D2" s="1"/>
    </row>
    <row r="3" spans="1:11" x14ac:dyDescent="0.25">
      <c r="A3" t="s">
        <v>1</v>
      </c>
      <c r="B3" s="1">
        <v>30530</v>
      </c>
      <c r="C3" s="1">
        <v>30689</v>
      </c>
      <c r="D3" s="1"/>
    </row>
    <row r="4" spans="1:11" x14ac:dyDescent="0.25">
      <c r="A4" t="s">
        <v>2</v>
      </c>
      <c r="B4" s="2">
        <v>2586.4</v>
      </c>
      <c r="C4" s="2">
        <v>2586.4</v>
      </c>
      <c r="D4" s="2"/>
    </row>
    <row r="5" spans="1:11" x14ac:dyDescent="0.25">
      <c r="A5" t="s">
        <v>4</v>
      </c>
      <c r="B5">
        <v>733</v>
      </c>
      <c r="C5">
        <v>875.8</v>
      </c>
    </row>
    <row r="6" spans="1:11" x14ac:dyDescent="0.25">
      <c r="A6" t="s">
        <v>76</v>
      </c>
      <c r="B6" s="1">
        <v>2148</v>
      </c>
      <c r="C6" s="1">
        <v>2210</v>
      </c>
    </row>
    <row r="7" spans="1:11" x14ac:dyDescent="0.25">
      <c r="E7" t="s">
        <v>5</v>
      </c>
      <c r="F7" s="1">
        <v>2570</v>
      </c>
      <c r="G7" s="1">
        <v>2570</v>
      </c>
    </row>
    <row r="8" spans="1:11" x14ac:dyDescent="0.25">
      <c r="F8" s="1"/>
      <c r="G8" s="1"/>
      <c r="I8" t="s">
        <v>39</v>
      </c>
      <c r="J8">
        <v>626.79999999999995</v>
      </c>
      <c r="K8">
        <v>626.79999999999995</v>
      </c>
    </row>
    <row r="9" spans="1:11" x14ac:dyDescent="0.25">
      <c r="F9" s="1"/>
      <c r="G9" s="1"/>
      <c r="I9" t="s">
        <v>40</v>
      </c>
      <c r="J9">
        <v>642.37</v>
      </c>
      <c r="K9">
        <v>642.37</v>
      </c>
    </row>
    <row r="10" spans="1:11" x14ac:dyDescent="0.25">
      <c r="F10" s="1"/>
      <c r="G10" s="1"/>
      <c r="I10" t="s">
        <v>41</v>
      </c>
      <c r="J10">
        <v>989.05</v>
      </c>
      <c r="K10">
        <v>989.05</v>
      </c>
    </row>
    <row r="11" spans="1:11" x14ac:dyDescent="0.25">
      <c r="F11" s="1"/>
      <c r="G11" s="1"/>
      <c r="I11" t="s">
        <v>42</v>
      </c>
      <c r="J11">
        <v>782.18</v>
      </c>
      <c r="K11">
        <v>782.18</v>
      </c>
    </row>
    <row r="12" spans="1:11" x14ac:dyDescent="0.25">
      <c r="F12" s="1"/>
      <c r="G12" s="1"/>
      <c r="I12" t="s">
        <v>43</v>
      </c>
      <c r="J12">
        <v>24.12</v>
      </c>
      <c r="K12">
        <v>24.12</v>
      </c>
    </row>
    <row r="13" spans="1:11" x14ac:dyDescent="0.25">
      <c r="F13" s="1"/>
      <c r="G13" s="1"/>
      <c r="I13" t="s">
        <v>44</v>
      </c>
      <c r="J13">
        <v>26.34</v>
      </c>
      <c r="K13">
        <v>26.34</v>
      </c>
    </row>
    <row r="14" spans="1:11" x14ac:dyDescent="0.25">
      <c r="F14" s="1"/>
      <c r="G14" s="1"/>
      <c r="I14" s="3" t="s">
        <v>45</v>
      </c>
      <c r="J14" s="3">
        <f>(1/4)*105.25</f>
        <v>26.3125</v>
      </c>
      <c r="K14" s="3">
        <f>(1/4)*105.25</f>
        <v>26.3125</v>
      </c>
    </row>
    <row r="15" spans="1:11" x14ac:dyDescent="0.25">
      <c r="E15" t="s">
        <v>6</v>
      </c>
      <c r="F15" s="8">
        <f>19854.21-SUM(J8:J14)</f>
        <v>16737.037499999999</v>
      </c>
      <c r="G15" s="8">
        <f>19854.21-SUM(K8:K14)</f>
        <v>16737.037499999999</v>
      </c>
    </row>
    <row r="16" spans="1:11" x14ac:dyDescent="0.25">
      <c r="F16" s="8"/>
      <c r="G16" s="8"/>
      <c r="I16" t="s">
        <v>46</v>
      </c>
      <c r="J16">
        <f>0.5*5289.81</f>
        <v>2644.9050000000002</v>
      </c>
      <c r="K16">
        <f>0.5*5289.81</f>
        <v>2644.9050000000002</v>
      </c>
    </row>
    <row r="17" spans="1:11" x14ac:dyDescent="0.25">
      <c r="F17" s="8"/>
      <c r="G17" s="8"/>
      <c r="I17" t="s">
        <v>47</v>
      </c>
      <c r="J17">
        <f>0.6*7364.71</f>
        <v>4418.826</v>
      </c>
      <c r="K17">
        <f>0.6*7364.71</f>
        <v>4418.826</v>
      </c>
    </row>
    <row r="18" spans="1:11" x14ac:dyDescent="0.25">
      <c r="E18" s="3" t="s">
        <v>8</v>
      </c>
      <c r="F18" s="3">
        <f>SUM(J16:J17)</f>
        <v>7063.7309999999998</v>
      </c>
      <c r="G18" s="3">
        <f>SUM(K16:K17)</f>
        <v>7063.7309999999998</v>
      </c>
    </row>
    <row r="19" spans="1:11" x14ac:dyDescent="0.25">
      <c r="A19" t="s">
        <v>3</v>
      </c>
      <c r="B19" s="1">
        <f>SUM(F7:F18)</f>
        <v>26370.768499999998</v>
      </c>
      <c r="C19" s="1">
        <f>SUM(G7:G18)</f>
        <v>26370.768499999998</v>
      </c>
    </row>
    <row r="20" spans="1:11" x14ac:dyDescent="0.25">
      <c r="E20" t="s">
        <v>9</v>
      </c>
      <c r="F20">
        <v>282.49</v>
      </c>
      <c r="G20">
        <v>282.49</v>
      </c>
    </row>
    <row r="21" spans="1:11" x14ac:dyDescent="0.25">
      <c r="E21" t="s">
        <v>10</v>
      </c>
      <c r="F21" s="2">
        <v>3211.94</v>
      </c>
      <c r="G21" s="2">
        <v>3211.94</v>
      </c>
    </row>
    <row r="22" spans="1:11" x14ac:dyDescent="0.25">
      <c r="E22" t="s">
        <v>11</v>
      </c>
      <c r="F22" s="2">
        <v>5224.49</v>
      </c>
      <c r="G22" s="2">
        <v>5224.49</v>
      </c>
    </row>
    <row r="23" spans="1:11" x14ac:dyDescent="0.25">
      <c r="E23" t="s">
        <v>12</v>
      </c>
      <c r="F23" s="2">
        <v>1671.42</v>
      </c>
      <c r="G23" s="2">
        <v>1671.42</v>
      </c>
    </row>
    <row r="24" spans="1:11" x14ac:dyDescent="0.25">
      <c r="E24" t="s">
        <v>13</v>
      </c>
      <c r="F24" s="2">
        <v>802.24</v>
      </c>
      <c r="G24" s="2">
        <v>802.24</v>
      </c>
    </row>
    <row r="25" spans="1:11" x14ac:dyDescent="0.25">
      <c r="E25" t="s">
        <v>14</v>
      </c>
      <c r="F25" s="2">
        <v>838.51</v>
      </c>
      <c r="G25" s="2">
        <v>838.51</v>
      </c>
    </row>
    <row r="26" spans="1:11" x14ac:dyDescent="0.25">
      <c r="E26" t="s">
        <v>15</v>
      </c>
      <c r="F26" s="2">
        <v>541</v>
      </c>
      <c r="G26" s="2">
        <v>541</v>
      </c>
    </row>
    <row r="27" spans="1:11" x14ac:dyDescent="0.25">
      <c r="E27" t="s">
        <v>16</v>
      </c>
      <c r="F27" s="2">
        <v>89.55</v>
      </c>
      <c r="G27" s="2">
        <v>89.55</v>
      </c>
    </row>
    <row r="28" spans="1:11" x14ac:dyDescent="0.25">
      <c r="E28" s="3" t="s">
        <v>17</v>
      </c>
      <c r="F28" s="3">
        <f>16.34+5.29+8.56+7.5+1.69+2.65</f>
        <v>42.029999999999994</v>
      </c>
      <c r="G28" s="3">
        <f>16.34+5.29+8.56+7.5+1.69+2.65</f>
        <v>42.029999999999994</v>
      </c>
    </row>
    <row r="29" spans="1:11" x14ac:dyDescent="0.25">
      <c r="A29" s="3" t="s">
        <v>7</v>
      </c>
      <c r="B29" s="3">
        <f>SUM(F20:F28)</f>
        <v>12703.67</v>
      </c>
      <c r="C29" s="3">
        <f>SUM(G20:G28)</f>
        <v>12703.67</v>
      </c>
    </row>
    <row r="30" spans="1:11" ht="15.75" thickBot="1" x14ac:dyDescent="0.3">
      <c r="A30" s="4" t="s">
        <v>18</v>
      </c>
      <c r="B30" s="5">
        <f>SUM(B2:B29)</f>
        <v>625041.83850000007</v>
      </c>
      <c r="C30" s="5">
        <f>SUM(C2:C29)</f>
        <v>627130.63850000012</v>
      </c>
    </row>
    <row r="31" spans="1:11" ht="15.75" thickTop="1" x14ac:dyDescent="0.25">
      <c r="E31" t="s">
        <v>20</v>
      </c>
      <c r="F31">
        <v>242</v>
      </c>
      <c r="G31">
        <v>242</v>
      </c>
    </row>
    <row r="32" spans="1:11" x14ac:dyDescent="0.25">
      <c r="E32" s="3" t="s">
        <v>77</v>
      </c>
      <c r="F32" s="3">
        <v>500</v>
      </c>
      <c r="G32" s="3">
        <v>500</v>
      </c>
    </row>
    <row r="33" spans="1:7" x14ac:dyDescent="0.25">
      <c r="A33" s="3" t="s">
        <v>21</v>
      </c>
      <c r="B33" s="3">
        <f>SUM(F31:F32)</f>
        <v>742</v>
      </c>
      <c r="C33" s="3">
        <f>SUM(G31:G32)</f>
        <v>742</v>
      </c>
    </row>
    <row r="34" spans="1:7" ht="15.75" thickBot="1" x14ac:dyDescent="0.3">
      <c r="A34" s="4" t="s">
        <v>22</v>
      </c>
      <c r="B34" s="5">
        <f>SUM(B30:B33)</f>
        <v>625783.83850000007</v>
      </c>
      <c r="C34" s="5">
        <f>SUM(C30:C33)</f>
        <v>627872.63850000012</v>
      </c>
    </row>
    <row r="35" spans="1:7" ht="15.75" thickTop="1" x14ac:dyDescent="0.25"/>
    <row r="36" spans="1:7" x14ac:dyDescent="0.25">
      <c r="A36" t="s">
        <v>63</v>
      </c>
      <c r="B36" s="11">
        <v>131324241</v>
      </c>
    </row>
    <row r="38" spans="1:7" x14ac:dyDescent="0.25">
      <c r="A38" t="s">
        <v>64</v>
      </c>
      <c r="B38" s="12">
        <f>$B$36/B34</f>
        <v>209.85559696585227</v>
      </c>
      <c r="C38" s="12">
        <f>$B$36/C34</f>
        <v>209.15745160314066</v>
      </c>
    </row>
    <row r="40" spans="1:7" x14ac:dyDescent="0.25">
      <c r="A40" t="s">
        <v>73</v>
      </c>
      <c r="B40" t="s">
        <v>74</v>
      </c>
      <c r="C40" t="s">
        <v>63</v>
      </c>
    </row>
    <row r="41" spans="1:7" x14ac:dyDescent="0.25">
      <c r="A41" t="s">
        <v>72</v>
      </c>
      <c r="B41" s="14">
        <f>1-SUM(B42:B49)</f>
        <v>0.36399999999999988</v>
      </c>
      <c r="C41" s="15">
        <f>B$36*B41</f>
        <v>47802023.723999985</v>
      </c>
    </row>
    <row r="42" spans="1:7" x14ac:dyDescent="0.25">
      <c r="A42" t="s">
        <v>75</v>
      </c>
      <c r="B42" s="13">
        <v>0.159</v>
      </c>
      <c r="C42" s="15">
        <f>B$36*B42</f>
        <v>20880554.319000002</v>
      </c>
    </row>
    <row r="43" spans="1:7" x14ac:dyDescent="0.25">
      <c r="A43" t="s">
        <v>71</v>
      </c>
      <c r="B43" s="13">
        <v>0.108</v>
      </c>
      <c r="C43" s="15">
        <f>B$36*B43</f>
        <v>14183018.027999999</v>
      </c>
    </row>
    <row r="44" spans="1:7" x14ac:dyDescent="0.25">
      <c r="A44" t="s">
        <v>70</v>
      </c>
      <c r="B44" s="13">
        <v>7.5999999999999998E-2</v>
      </c>
      <c r="C44" s="15">
        <f t="shared" ref="C44:C49" si="0">B$36*B44</f>
        <v>9980642.3159999996</v>
      </c>
    </row>
    <row r="45" spans="1:7" x14ac:dyDescent="0.25">
      <c r="A45" t="s">
        <v>69</v>
      </c>
      <c r="B45" s="13">
        <v>5.1999999999999998E-2</v>
      </c>
      <c r="C45" s="15">
        <f t="shared" si="0"/>
        <v>6828860.5319999997</v>
      </c>
    </row>
    <row r="46" spans="1:7" x14ac:dyDescent="0.25">
      <c r="A46" t="s">
        <v>68</v>
      </c>
      <c r="B46" s="13">
        <v>3.1E-2</v>
      </c>
      <c r="C46" s="15">
        <f t="shared" si="0"/>
        <v>4071051.4709999999</v>
      </c>
    </row>
    <row r="47" spans="1:7" x14ac:dyDescent="0.25">
      <c r="A47" t="s">
        <v>67</v>
      </c>
      <c r="B47" s="13">
        <v>0.14099999999999999</v>
      </c>
      <c r="C47" s="15">
        <f t="shared" si="0"/>
        <v>18516717.980999999</v>
      </c>
      <c r="G47" s="13"/>
    </row>
    <row r="48" spans="1:7" x14ac:dyDescent="0.25">
      <c r="A48" t="s">
        <v>66</v>
      </c>
      <c r="B48" s="13">
        <v>4.8000000000000001E-2</v>
      </c>
      <c r="C48" s="15">
        <f t="shared" si="0"/>
        <v>6303563.568</v>
      </c>
    </row>
    <row r="49" spans="1:3" x14ac:dyDescent="0.25">
      <c r="A49" t="s">
        <v>65</v>
      </c>
      <c r="B49" s="13">
        <v>2.1000000000000001E-2</v>
      </c>
      <c r="C49" s="15">
        <f t="shared" si="0"/>
        <v>2757809.0610000002</v>
      </c>
    </row>
    <row r="50" spans="1:3" x14ac:dyDescent="0.25">
      <c r="A50" t="s">
        <v>22</v>
      </c>
      <c r="B50" s="16">
        <v>1</v>
      </c>
      <c r="C50" s="15">
        <f>B$36*B50</f>
        <v>131324241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5E12-030D-4421-A6DC-982053D4A77E}">
  <dimension ref="A1:K127"/>
  <sheetViews>
    <sheetView tabSelected="1" topLeftCell="A37" workbookViewId="0">
      <selection activeCell="C52" sqref="C52"/>
    </sheetView>
  </sheetViews>
  <sheetFormatPr defaultRowHeight="15" x14ac:dyDescent="0.25"/>
  <cols>
    <col min="2" max="2" width="13.28515625" bestFit="1" customWidth="1"/>
    <col min="3" max="3" width="13.140625" customWidth="1"/>
    <col min="4" max="5" width="9.5703125" bestFit="1" customWidth="1"/>
    <col min="6" max="6" width="9.140625" customWidth="1"/>
    <col min="11" max="11" width="12.140625" customWidth="1"/>
  </cols>
  <sheetData>
    <row r="1" spans="1:11" x14ac:dyDescent="0.25">
      <c r="A1" t="s">
        <v>23</v>
      </c>
    </row>
    <row r="2" spans="1:11" x14ac:dyDescent="0.25">
      <c r="E2" t="s">
        <v>24</v>
      </c>
      <c r="F2" s="1">
        <v>419350</v>
      </c>
      <c r="G2" s="1">
        <v>469616</v>
      </c>
    </row>
    <row r="3" spans="1:11" x14ac:dyDescent="0.25">
      <c r="E3" t="s">
        <v>25</v>
      </c>
      <c r="F3" s="1">
        <v>629114</v>
      </c>
      <c r="G3" s="1">
        <v>780541</v>
      </c>
    </row>
    <row r="4" spans="1:11" x14ac:dyDescent="0.25">
      <c r="E4" t="s">
        <v>26</v>
      </c>
      <c r="F4" s="1">
        <v>686507</v>
      </c>
      <c r="G4" s="1">
        <v>758842</v>
      </c>
    </row>
    <row r="5" spans="1:11" x14ac:dyDescent="0.25">
      <c r="E5" s="3" t="s">
        <v>27</v>
      </c>
      <c r="F5" s="6">
        <v>461769</v>
      </c>
      <c r="G5" s="6">
        <v>475014</v>
      </c>
    </row>
    <row r="6" spans="1:11" x14ac:dyDescent="0.25">
      <c r="A6" t="s">
        <v>28</v>
      </c>
      <c r="B6">
        <f>SUM(F2:F5)</f>
        <v>2196740</v>
      </c>
      <c r="C6">
        <f>SUM(G2:G5)</f>
        <v>2484013</v>
      </c>
    </row>
    <row r="7" spans="1:11" x14ac:dyDescent="0.25">
      <c r="E7" t="s">
        <v>29</v>
      </c>
      <c r="F7">
        <f>1314730-211754</f>
        <v>1102976</v>
      </c>
      <c r="G7">
        <f>1347715-213100</f>
        <v>1134615</v>
      </c>
    </row>
    <row r="8" spans="1:11" x14ac:dyDescent="0.25">
      <c r="I8" t="s">
        <v>48</v>
      </c>
      <c r="J8" s="1">
        <v>4750</v>
      </c>
      <c r="K8" s="1">
        <v>4770</v>
      </c>
    </row>
    <row r="9" spans="1:11" x14ac:dyDescent="0.25">
      <c r="I9" t="s">
        <v>49</v>
      </c>
      <c r="J9" s="1">
        <v>5290</v>
      </c>
      <c r="K9" s="1">
        <v>5310</v>
      </c>
    </row>
    <row r="10" spans="1:11" x14ac:dyDescent="0.25">
      <c r="I10" s="3" t="s">
        <v>50</v>
      </c>
      <c r="J10" s="6">
        <v>4700</v>
      </c>
      <c r="K10" s="6">
        <v>4710</v>
      </c>
    </row>
    <row r="11" spans="1:11" x14ac:dyDescent="0.25">
      <c r="E11" t="s">
        <v>30</v>
      </c>
      <c r="F11" s="1">
        <f>177660-SUM(J8:J10)</f>
        <v>162920</v>
      </c>
      <c r="G11" s="1">
        <f>181038-SUM(K8:K10)</f>
        <v>166248</v>
      </c>
    </row>
    <row r="12" spans="1:11" x14ac:dyDescent="0.25">
      <c r="E12" t="s">
        <v>31</v>
      </c>
      <c r="F12" s="9">
        <v>303448.18699999998</v>
      </c>
      <c r="G12" s="9">
        <v>303448.18699999998</v>
      </c>
    </row>
    <row r="13" spans="1:11" x14ac:dyDescent="0.25">
      <c r="F13" s="9"/>
      <c r="G13" s="9"/>
      <c r="I13" t="s">
        <v>51</v>
      </c>
      <c r="J13" s="1">
        <v>10350</v>
      </c>
      <c r="K13" s="1">
        <v>10920</v>
      </c>
    </row>
    <row r="14" spans="1:11" x14ac:dyDescent="0.25">
      <c r="F14" s="9"/>
      <c r="G14" s="9"/>
      <c r="I14" t="s">
        <v>52</v>
      </c>
      <c r="J14" s="1">
        <v>12660</v>
      </c>
      <c r="K14" s="1">
        <v>12780</v>
      </c>
    </row>
    <row r="15" spans="1:11" x14ac:dyDescent="0.25">
      <c r="F15" s="9"/>
      <c r="G15" s="9"/>
      <c r="I15" t="s">
        <v>53</v>
      </c>
      <c r="J15" s="1">
        <v>10560</v>
      </c>
      <c r="K15" s="1">
        <v>10610</v>
      </c>
    </row>
    <row r="16" spans="1:11" x14ac:dyDescent="0.25">
      <c r="F16" s="9"/>
      <c r="G16" s="9"/>
      <c r="I16" t="s">
        <v>54</v>
      </c>
      <c r="J16" s="1">
        <v>5390</v>
      </c>
      <c r="K16" s="1">
        <v>5410</v>
      </c>
    </row>
    <row r="17" spans="1:11" x14ac:dyDescent="0.25">
      <c r="F17" s="9"/>
      <c r="G17" s="9"/>
      <c r="I17" t="s">
        <v>55</v>
      </c>
      <c r="J17" s="1">
        <v>27010</v>
      </c>
      <c r="K17" s="1">
        <v>27170</v>
      </c>
    </row>
    <row r="18" spans="1:11" x14ac:dyDescent="0.25">
      <c r="F18" s="9"/>
      <c r="G18" s="9"/>
      <c r="I18" s="3" t="s">
        <v>56</v>
      </c>
      <c r="J18" s="6">
        <v>19000</v>
      </c>
      <c r="K18" s="6">
        <v>19050</v>
      </c>
    </row>
    <row r="19" spans="1:11" x14ac:dyDescent="0.25">
      <c r="E19" t="s">
        <v>32</v>
      </c>
      <c r="F19" s="1">
        <f>253600-SUM(J13:J18)</f>
        <v>168630</v>
      </c>
      <c r="G19" s="1">
        <f>253600-SUM(K13:K18)</f>
        <v>167660</v>
      </c>
    </row>
    <row r="20" spans="1:11" x14ac:dyDescent="0.25">
      <c r="E20" t="s">
        <v>33</v>
      </c>
      <c r="F20">
        <f>(1/2)*268875</f>
        <v>134437.5</v>
      </c>
      <c r="G20">
        <f>(1/2)*269601</f>
        <v>134800.5</v>
      </c>
    </row>
    <row r="21" spans="1:11" x14ac:dyDescent="0.25">
      <c r="E21" s="3" t="s">
        <v>34</v>
      </c>
      <c r="F21" s="10">
        <f>213100-18163.6363636</f>
        <v>194936.3636364</v>
      </c>
      <c r="G21" s="6">
        <f>211754-18163.6363636</f>
        <v>193590.3636364</v>
      </c>
    </row>
    <row r="22" spans="1:11" x14ac:dyDescent="0.25">
      <c r="A22" t="s">
        <v>35</v>
      </c>
      <c r="B22" s="9">
        <f>SUM(F7:F21)</f>
        <v>2067348.0506364</v>
      </c>
      <c r="C22" s="9">
        <f>SUM(G7:G21)</f>
        <v>2100362.0506364</v>
      </c>
    </row>
    <row r="23" spans="1:11" x14ac:dyDescent="0.25">
      <c r="B23" s="9"/>
      <c r="C23" s="9"/>
      <c r="I23" t="s">
        <v>57</v>
      </c>
      <c r="J23" s="1">
        <v>4500</v>
      </c>
      <c r="K23" s="1">
        <v>6920</v>
      </c>
    </row>
    <row r="24" spans="1:11" x14ac:dyDescent="0.25">
      <c r="B24" s="9"/>
      <c r="C24" s="9"/>
      <c r="I24" t="s">
        <v>58</v>
      </c>
      <c r="J24" s="1">
        <v>4670</v>
      </c>
      <c r="K24" s="1">
        <v>5650</v>
      </c>
    </row>
    <row r="25" spans="1:11" x14ac:dyDescent="0.25">
      <c r="B25" s="9"/>
      <c r="C25" s="9"/>
      <c r="I25" t="s">
        <v>59</v>
      </c>
      <c r="J25" s="1">
        <v>4930</v>
      </c>
      <c r="K25" s="1">
        <v>5760</v>
      </c>
    </row>
    <row r="26" spans="1:11" x14ac:dyDescent="0.25">
      <c r="B26" s="9"/>
      <c r="C26" s="9"/>
      <c r="I26" s="3" t="s">
        <v>60</v>
      </c>
      <c r="J26" s="6">
        <f>0.5*2480</f>
        <v>1240</v>
      </c>
      <c r="K26" s="3">
        <f>0.5*2720</f>
        <v>1360</v>
      </c>
    </row>
    <row r="27" spans="1:11" x14ac:dyDescent="0.25">
      <c r="E27" t="s">
        <v>36</v>
      </c>
      <c r="F27" s="1">
        <f>SUM(J23:J26)</f>
        <v>15340</v>
      </c>
      <c r="G27" s="1">
        <f>SUM(K23:K26)</f>
        <v>19690</v>
      </c>
    </row>
    <row r="28" spans="1:11" x14ac:dyDescent="0.25">
      <c r="E28" s="3" t="s">
        <v>37</v>
      </c>
      <c r="F28" s="3">
        <v>0.41</v>
      </c>
      <c r="G28" s="3">
        <v>0.41</v>
      </c>
    </row>
    <row r="29" spans="1:11" x14ac:dyDescent="0.25">
      <c r="A29" t="s">
        <v>38</v>
      </c>
      <c r="B29">
        <f>SUM(F27:F28)</f>
        <v>15340.41</v>
      </c>
      <c r="C29">
        <f>SUM(G27:G28)</f>
        <v>19690.41</v>
      </c>
    </row>
    <row r="30" spans="1:11" x14ac:dyDescent="0.25">
      <c r="A30" t="s">
        <v>61</v>
      </c>
      <c r="B30">
        <v>12981.02</v>
      </c>
      <c r="C30">
        <v>12981.02</v>
      </c>
    </row>
    <row r="31" spans="1:11" x14ac:dyDescent="0.25">
      <c r="A31" t="s">
        <v>62</v>
      </c>
      <c r="B31">
        <v>148.12100000000001</v>
      </c>
      <c r="C31">
        <v>148.12100000000001</v>
      </c>
    </row>
    <row r="32" spans="1:11" ht="15.75" thickBot="1" x14ac:dyDescent="0.3">
      <c r="A32" s="4" t="s">
        <v>22</v>
      </c>
      <c r="B32" s="7">
        <f>SUM(B2:B31)</f>
        <v>4292557.6016363995</v>
      </c>
      <c r="C32" s="7">
        <f>SUM(C2:C31)</f>
        <v>4617194.6016363995</v>
      </c>
    </row>
    <row r="33" spans="1:11" ht="15.75" thickTop="1" x14ac:dyDescent="0.25"/>
    <row r="34" spans="1:11" x14ac:dyDescent="0.25">
      <c r="A34" t="s">
        <v>129</v>
      </c>
      <c r="B34" s="12">
        <f>C85^(1/3)</f>
        <v>673.53821083615708</v>
      </c>
    </row>
    <row r="35" spans="1:11" x14ac:dyDescent="0.25">
      <c r="A35" t="s">
        <v>124</v>
      </c>
      <c r="B35">
        <v>672</v>
      </c>
    </row>
    <row r="36" spans="1:11" x14ac:dyDescent="0.25">
      <c r="A36" t="s">
        <v>125</v>
      </c>
      <c r="B36" s="15">
        <f>C85/B35</f>
        <v>454692.13673941803</v>
      </c>
    </row>
    <row r="37" spans="1:11" x14ac:dyDescent="0.25">
      <c r="A37" t="s">
        <v>123</v>
      </c>
      <c r="B37" s="15">
        <f>B36+C37</f>
        <v>454192.13673941803</v>
      </c>
      <c r="C37">
        <v>-500</v>
      </c>
    </row>
    <row r="39" spans="1:11" x14ac:dyDescent="0.25">
      <c r="A39" t="s">
        <v>130</v>
      </c>
      <c r="E39" t="s">
        <v>122</v>
      </c>
      <c r="K39" t="s">
        <v>181</v>
      </c>
    </row>
    <row r="40" spans="1:11" x14ac:dyDescent="0.25">
      <c r="A40" t="s">
        <v>131</v>
      </c>
      <c r="B40" t="s">
        <v>132</v>
      </c>
      <c r="C40" t="s">
        <v>63</v>
      </c>
      <c r="E40" t="s">
        <v>126</v>
      </c>
      <c r="F40" t="s">
        <v>127</v>
      </c>
      <c r="G40" t="s">
        <v>128</v>
      </c>
      <c r="H40" t="s">
        <v>124</v>
      </c>
    </row>
    <row r="41" spans="1:11" x14ac:dyDescent="0.25">
      <c r="A41" s="22">
        <v>1</v>
      </c>
      <c r="B41" s="22" t="s">
        <v>78</v>
      </c>
      <c r="C41" s="23">
        <v>1519000</v>
      </c>
      <c r="D41" s="23"/>
      <c r="E41" s="24">
        <f t="shared" ref="E41:E84" si="0">C41/$B$37</f>
        <v>3.3443995990434554</v>
      </c>
      <c r="F41" s="25">
        <f t="shared" ref="F41:F84" si="1">FLOOR(E41,1)</f>
        <v>3</v>
      </c>
      <c r="G41" s="22">
        <f t="shared" ref="G41:G84" si="2">SQRT(F41*(F41+1))</f>
        <v>3.4641016151377544</v>
      </c>
      <c r="H41" s="22">
        <f t="shared" ref="H41:H84" si="3">IF(E41&gt;G41,CEILING(E41,1),FLOOR(E41,1))</f>
        <v>3</v>
      </c>
      <c r="I41" s="22"/>
      <c r="J41" s="22"/>
      <c r="K41" s="23">
        <f>E99*0.075</f>
        <v>527850</v>
      </c>
    </row>
    <row r="42" spans="1:11" x14ac:dyDescent="0.25">
      <c r="A42">
        <v>2</v>
      </c>
      <c r="B42" t="s">
        <v>79</v>
      </c>
      <c r="C42" s="1">
        <v>15634000</v>
      </c>
      <c r="D42" s="1"/>
      <c r="E42" s="12">
        <f t="shared" si="0"/>
        <v>34.42155584690282</v>
      </c>
      <c r="F42" s="15">
        <f t="shared" si="1"/>
        <v>34</v>
      </c>
      <c r="G42">
        <f t="shared" si="2"/>
        <v>34.496376621320678</v>
      </c>
      <c r="H42">
        <f t="shared" si="3"/>
        <v>34</v>
      </c>
      <c r="K42" s="11">
        <f>E99*0.75+E112*0.8</f>
        <v>8036100</v>
      </c>
    </row>
    <row r="43" spans="1:11" x14ac:dyDescent="0.25">
      <c r="A43" s="22">
        <v>3</v>
      </c>
      <c r="B43" s="22" t="s">
        <v>80</v>
      </c>
      <c r="C43" s="23">
        <v>12137000</v>
      </c>
      <c r="D43" s="23"/>
      <c r="E43" s="24">
        <f t="shared" si="0"/>
        <v>26.722171121521015</v>
      </c>
      <c r="F43" s="25">
        <f t="shared" si="1"/>
        <v>26</v>
      </c>
      <c r="G43" s="22">
        <f t="shared" si="2"/>
        <v>26.49528259898354</v>
      </c>
      <c r="H43" s="22">
        <f t="shared" si="3"/>
        <v>27</v>
      </c>
      <c r="I43" s="22"/>
      <c r="J43" s="22"/>
      <c r="K43" s="26">
        <f>E96*0.15+E99*0.175</f>
        <v>4799400</v>
      </c>
    </row>
    <row r="44" spans="1:11" x14ac:dyDescent="0.25">
      <c r="A44">
        <v>4</v>
      </c>
      <c r="B44" t="s">
        <v>81</v>
      </c>
      <c r="C44" s="1">
        <v>10711000</v>
      </c>
      <c r="D44" s="1"/>
      <c r="E44" s="12">
        <f t="shared" si="0"/>
        <v>23.58253068160267</v>
      </c>
      <c r="F44" s="15">
        <f t="shared" si="1"/>
        <v>23</v>
      </c>
      <c r="G44">
        <f t="shared" si="2"/>
        <v>23.49468024894146</v>
      </c>
      <c r="H44">
        <f t="shared" si="3"/>
        <v>24</v>
      </c>
      <c r="K44" s="1">
        <f>E113</f>
        <v>4940000</v>
      </c>
    </row>
    <row r="45" spans="1:11" x14ac:dyDescent="0.25">
      <c r="A45" s="22">
        <v>5</v>
      </c>
      <c r="B45" s="22" t="s">
        <v>82</v>
      </c>
      <c r="C45" s="23">
        <v>3646000</v>
      </c>
      <c r="D45" s="23"/>
      <c r="E45" s="24">
        <f t="shared" si="0"/>
        <v>8.0274397222596701</v>
      </c>
      <c r="F45" s="25">
        <f t="shared" si="1"/>
        <v>8</v>
      </c>
      <c r="G45" s="22">
        <f t="shared" si="2"/>
        <v>8.4852813742385695</v>
      </c>
      <c r="H45" s="22">
        <f t="shared" si="3"/>
        <v>8</v>
      </c>
      <c r="I45" s="22"/>
      <c r="J45" s="22"/>
      <c r="K45" s="26">
        <f>E96*0.1</f>
        <v>2378500</v>
      </c>
    </row>
    <row r="46" spans="1:11" x14ac:dyDescent="0.25">
      <c r="A46">
        <v>6</v>
      </c>
      <c r="B46" t="s">
        <v>83</v>
      </c>
      <c r="C46" s="1">
        <v>8683000</v>
      </c>
      <c r="D46" s="1"/>
      <c r="E46" s="12">
        <f t="shared" si="0"/>
        <v>19.117459985842213</v>
      </c>
      <c r="F46" s="15">
        <f t="shared" si="1"/>
        <v>19</v>
      </c>
      <c r="G46">
        <f t="shared" si="2"/>
        <v>19.493588689617926</v>
      </c>
      <c r="H46">
        <f t="shared" si="3"/>
        <v>19</v>
      </c>
      <c r="K46" s="11">
        <f>E100*0.8</f>
        <v>5176800</v>
      </c>
    </row>
    <row r="47" spans="1:11" x14ac:dyDescent="0.25">
      <c r="A47" s="22">
        <v>7</v>
      </c>
      <c r="B47" s="22" t="s">
        <v>84</v>
      </c>
      <c r="C47" s="23">
        <v>5177000</v>
      </c>
      <c r="D47" s="23"/>
      <c r="E47" s="24">
        <f t="shared" si="0"/>
        <v>11.39825985796443</v>
      </c>
      <c r="F47" s="25">
        <f t="shared" si="1"/>
        <v>11</v>
      </c>
      <c r="G47" s="22">
        <f t="shared" si="2"/>
        <v>11.489125293076057</v>
      </c>
      <c r="H47" s="22">
        <f t="shared" si="3"/>
        <v>11</v>
      </c>
      <c r="I47" s="22"/>
      <c r="J47" s="22"/>
      <c r="K47" s="26">
        <f>E103*(2.5/9)+E122</f>
        <v>3775055.5555555555</v>
      </c>
    </row>
    <row r="48" spans="1:11" x14ac:dyDescent="0.25">
      <c r="A48">
        <v>8</v>
      </c>
      <c r="B48" t="s">
        <v>85</v>
      </c>
      <c r="C48" s="1">
        <v>9118000</v>
      </c>
      <c r="D48" s="1"/>
      <c r="E48" s="12">
        <f t="shared" si="0"/>
        <v>20.075204439814502</v>
      </c>
      <c r="F48" s="15">
        <f t="shared" si="1"/>
        <v>20</v>
      </c>
      <c r="G48">
        <f t="shared" si="2"/>
        <v>20.493901531919196</v>
      </c>
      <c r="H48">
        <f t="shared" si="3"/>
        <v>20</v>
      </c>
      <c r="K48" s="1">
        <f>E115</f>
        <v>6491000</v>
      </c>
    </row>
    <row r="49" spans="1:11" x14ac:dyDescent="0.25">
      <c r="A49" s="22">
        <v>9</v>
      </c>
      <c r="B49" s="22" t="s">
        <v>86</v>
      </c>
      <c r="C49" s="23">
        <v>1544000</v>
      </c>
      <c r="D49" s="23"/>
      <c r="E49" s="24">
        <f t="shared" si="0"/>
        <v>3.3994423837545065</v>
      </c>
      <c r="F49" s="25">
        <f t="shared" si="1"/>
        <v>3</v>
      </c>
      <c r="G49" s="22">
        <f t="shared" si="2"/>
        <v>3.4641016151377544</v>
      </c>
      <c r="H49" s="22">
        <f t="shared" si="3"/>
        <v>3</v>
      </c>
      <c r="I49" s="22"/>
      <c r="J49" s="22"/>
      <c r="K49" s="26">
        <f>E100*0.075</f>
        <v>485325</v>
      </c>
    </row>
    <row r="50" spans="1:11" x14ac:dyDescent="0.25">
      <c r="A50">
        <v>10</v>
      </c>
      <c r="B50" t="s">
        <v>87</v>
      </c>
      <c r="C50" s="1">
        <v>16041000</v>
      </c>
      <c r="D50" s="1"/>
      <c r="E50" s="12">
        <f t="shared" si="0"/>
        <v>35.317652381998727</v>
      </c>
      <c r="F50" s="15">
        <f t="shared" si="1"/>
        <v>35</v>
      </c>
      <c r="G50">
        <f t="shared" si="2"/>
        <v>35.496478698597699</v>
      </c>
      <c r="H50">
        <f t="shared" si="3"/>
        <v>35</v>
      </c>
      <c r="K50" s="11">
        <f>E101+E103*(2.5/9)</f>
        <v>10099055.555555556</v>
      </c>
    </row>
    <row r="51" spans="1:11" x14ac:dyDescent="0.25">
      <c r="A51" s="22">
        <v>11</v>
      </c>
      <c r="B51" s="22" t="s">
        <v>88</v>
      </c>
      <c r="C51" s="23">
        <v>40239000</v>
      </c>
      <c r="D51" s="23"/>
      <c r="E51" s="24">
        <f t="shared" si="0"/>
        <v>88.59466455951916</v>
      </c>
      <c r="F51" s="25">
        <f t="shared" si="1"/>
        <v>88</v>
      </c>
      <c r="G51" s="22">
        <f t="shared" si="2"/>
        <v>88.498587559350341</v>
      </c>
      <c r="H51" s="22">
        <f t="shared" si="3"/>
        <v>89</v>
      </c>
      <c r="I51" s="22"/>
      <c r="J51" s="22"/>
      <c r="K51" s="26">
        <f>E96*0.75+E106</f>
        <v>22651750</v>
      </c>
    </row>
    <row r="52" spans="1:11" x14ac:dyDescent="0.25">
      <c r="A52">
        <v>12</v>
      </c>
      <c r="B52" t="s">
        <v>89</v>
      </c>
      <c r="C52" s="1">
        <v>10511000</v>
      </c>
      <c r="D52" s="1"/>
      <c r="E52" s="12">
        <f t="shared" si="0"/>
        <v>23.142188403914261</v>
      </c>
      <c r="F52" s="15">
        <f t="shared" si="1"/>
        <v>23</v>
      </c>
      <c r="G52">
        <f t="shared" si="2"/>
        <v>23.49468024894146</v>
      </c>
      <c r="H52">
        <f t="shared" si="3"/>
        <v>23</v>
      </c>
      <c r="K52" s="1">
        <f>E126</f>
        <v>2461000</v>
      </c>
    </row>
    <row r="53" spans="1:11" x14ac:dyDescent="0.25">
      <c r="A53" s="22">
        <v>13</v>
      </c>
      <c r="B53" s="22" t="s">
        <v>90</v>
      </c>
      <c r="C53" s="23">
        <v>1098163</v>
      </c>
      <c r="D53" s="23"/>
      <c r="E53" s="24">
        <f t="shared" si="0"/>
        <v>2.4178379834656738</v>
      </c>
      <c r="F53" s="25">
        <f t="shared" si="1"/>
        <v>2</v>
      </c>
      <c r="G53" s="22">
        <f t="shared" si="2"/>
        <v>2.4494897427831779</v>
      </c>
      <c r="H53" s="22">
        <f t="shared" si="3"/>
        <v>2</v>
      </c>
      <c r="I53" s="22"/>
      <c r="J53" s="22"/>
      <c r="K53" s="26">
        <f>E100*0.125</f>
        <v>808875</v>
      </c>
    </row>
    <row r="54" spans="1:11" x14ac:dyDescent="0.25">
      <c r="A54">
        <v>14</v>
      </c>
      <c r="B54" t="s">
        <v>91</v>
      </c>
      <c r="C54" s="1">
        <v>647064</v>
      </c>
      <c r="D54" s="1"/>
      <c r="E54" s="12">
        <f t="shared" si="0"/>
        <v>1.4246481778508588</v>
      </c>
      <c r="F54" s="15">
        <f t="shared" si="1"/>
        <v>1</v>
      </c>
      <c r="G54">
        <f t="shared" si="2"/>
        <v>1.4142135623730951</v>
      </c>
      <c r="H54">
        <f t="shared" si="3"/>
        <v>2</v>
      </c>
    </row>
    <row r="55" spans="1:11" x14ac:dyDescent="0.25">
      <c r="A55" s="22">
        <v>15</v>
      </c>
      <c r="B55" s="22" t="s">
        <v>92</v>
      </c>
      <c r="C55" s="23">
        <v>8421000</v>
      </c>
      <c r="D55" s="23"/>
      <c r="E55" s="24">
        <f t="shared" si="0"/>
        <v>18.540611602070403</v>
      </c>
      <c r="F55" s="25">
        <f t="shared" si="1"/>
        <v>18</v>
      </c>
      <c r="G55" s="22">
        <f t="shared" si="2"/>
        <v>18.493242008906929</v>
      </c>
      <c r="H55" s="22">
        <f t="shared" si="3"/>
        <v>19</v>
      </c>
      <c r="I55" s="22"/>
      <c r="J55" s="22"/>
      <c r="K55" s="26">
        <f>E98*0.1+E109*0.8</f>
        <v>4234300</v>
      </c>
    </row>
    <row r="56" spans="1:11" x14ac:dyDescent="0.25">
      <c r="A56">
        <v>16</v>
      </c>
      <c r="B56" t="s">
        <v>93</v>
      </c>
      <c r="C56" s="1">
        <f>10480000</f>
        <v>10480000</v>
      </c>
      <c r="D56" s="1"/>
      <c r="E56" s="12">
        <f t="shared" si="0"/>
        <v>23.073935350872556</v>
      </c>
      <c r="F56" s="15">
        <f t="shared" si="1"/>
        <v>23</v>
      </c>
      <c r="G56">
        <f t="shared" si="2"/>
        <v>23.49468024894146</v>
      </c>
      <c r="H56">
        <f t="shared" si="3"/>
        <v>23</v>
      </c>
      <c r="K56" s="11">
        <f>E102*0.8</f>
        <v>5558400</v>
      </c>
    </row>
    <row r="57" spans="1:11" x14ac:dyDescent="0.25">
      <c r="A57" s="22">
        <v>17</v>
      </c>
      <c r="B57" s="22" t="s">
        <v>94</v>
      </c>
      <c r="C57" s="23">
        <v>23456000</v>
      </c>
      <c r="D57" s="23"/>
      <c r="E57" s="24">
        <f t="shared" si="0"/>
        <v>51.643342327296445</v>
      </c>
      <c r="F57" s="25">
        <f t="shared" si="1"/>
        <v>51</v>
      </c>
      <c r="G57" s="22">
        <f t="shared" si="2"/>
        <v>51.497572758334933</v>
      </c>
      <c r="H57" s="22">
        <f t="shared" si="3"/>
        <v>52</v>
      </c>
      <c r="I57" s="22"/>
      <c r="J57" s="22"/>
      <c r="K57" s="26">
        <f>E98*0.8+E108+E112*0.2+E124+E118*0.3</f>
        <v>15797500</v>
      </c>
    </row>
    <row r="58" spans="1:11" x14ac:dyDescent="0.25">
      <c r="A58">
        <v>18</v>
      </c>
      <c r="B58" t="s">
        <v>95</v>
      </c>
      <c r="C58" s="1">
        <v>9102000</v>
      </c>
      <c r="D58" s="1"/>
      <c r="E58" s="12">
        <f t="shared" si="0"/>
        <v>20.03997705759943</v>
      </c>
      <c r="F58" s="15">
        <f t="shared" si="1"/>
        <v>20</v>
      </c>
      <c r="G58">
        <f t="shared" si="2"/>
        <v>20.493901531919196</v>
      </c>
      <c r="H58">
        <f t="shared" si="3"/>
        <v>20</v>
      </c>
      <c r="K58" s="1">
        <f>E127+E117+(E98*0.1)+E116*0.6</f>
        <v>6915700</v>
      </c>
    </row>
    <row r="59" spans="1:11" x14ac:dyDescent="0.25">
      <c r="A59" s="22">
        <v>19</v>
      </c>
      <c r="B59" s="22" t="s">
        <v>96</v>
      </c>
      <c r="C59" s="23">
        <v>6302000</v>
      </c>
      <c r="D59" s="23"/>
      <c r="E59" s="24">
        <f t="shared" si="0"/>
        <v>13.875185169961723</v>
      </c>
      <c r="F59" s="25">
        <f t="shared" si="1"/>
        <v>13</v>
      </c>
      <c r="G59" s="22">
        <f t="shared" si="2"/>
        <v>13.490737563232042</v>
      </c>
      <c r="H59" s="22">
        <f t="shared" si="3"/>
        <v>14</v>
      </c>
      <c r="I59" s="22"/>
      <c r="J59" s="22"/>
      <c r="K59" s="26">
        <f>E102*0.1+E120*0.9</f>
        <v>4230900</v>
      </c>
    </row>
    <row r="60" spans="1:11" x14ac:dyDescent="0.25">
      <c r="A60">
        <v>20</v>
      </c>
      <c r="B60" t="s">
        <v>97</v>
      </c>
      <c r="C60" s="1">
        <v>7903000</v>
      </c>
      <c r="D60" s="1"/>
      <c r="E60" s="12">
        <f t="shared" si="0"/>
        <v>17.400125102857427</v>
      </c>
      <c r="F60" s="15">
        <f t="shared" si="1"/>
        <v>17</v>
      </c>
      <c r="G60">
        <f t="shared" si="2"/>
        <v>17.4928556845359</v>
      </c>
      <c r="H60">
        <f t="shared" si="3"/>
        <v>17</v>
      </c>
      <c r="K60" s="11">
        <f>E97*(1/3)+E125+E116*0.1</f>
        <v>6776366.666666666</v>
      </c>
    </row>
    <row r="61" spans="1:11" x14ac:dyDescent="0.25">
      <c r="A61" s="22">
        <v>21</v>
      </c>
      <c r="B61" s="22" t="s">
        <v>98</v>
      </c>
      <c r="C61" s="23">
        <v>1801000</v>
      </c>
      <c r="D61" s="23"/>
      <c r="E61" s="24">
        <f t="shared" si="0"/>
        <v>3.9652822105841103</v>
      </c>
      <c r="F61" s="25">
        <f t="shared" si="1"/>
        <v>3</v>
      </c>
      <c r="G61" s="22">
        <f t="shared" si="2"/>
        <v>3.4641016151377544</v>
      </c>
      <c r="H61" s="22">
        <f t="shared" si="3"/>
        <v>4</v>
      </c>
      <c r="I61" s="22"/>
      <c r="J61" s="22"/>
      <c r="K61" s="26">
        <f>E120*0.1</f>
        <v>392900</v>
      </c>
    </row>
    <row r="62" spans="1:11" x14ac:dyDescent="0.25">
      <c r="A62">
        <v>22</v>
      </c>
      <c r="B62" t="s">
        <v>99</v>
      </c>
      <c r="C62" s="1">
        <v>7113000</v>
      </c>
      <c r="D62" s="1"/>
      <c r="E62" s="12">
        <f t="shared" si="0"/>
        <v>15.660773105988216</v>
      </c>
      <c r="F62" s="15">
        <f t="shared" si="1"/>
        <v>15</v>
      </c>
      <c r="G62">
        <f t="shared" si="2"/>
        <v>15.491933384829668</v>
      </c>
      <c r="H62">
        <f t="shared" si="3"/>
        <v>16</v>
      </c>
      <c r="K62" s="11">
        <f>E104*0.6</f>
        <v>4045800</v>
      </c>
    </row>
    <row r="63" spans="1:11" x14ac:dyDescent="0.25">
      <c r="A63" s="22">
        <v>23</v>
      </c>
      <c r="B63" s="22" t="s">
        <v>100</v>
      </c>
      <c r="C63" s="23">
        <v>11281000</v>
      </c>
      <c r="D63" s="23"/>
      <c r="E63" s="24">
        <f t="shared" si="0"/>
        <v>24.837506173014631</v>
      </c>
      <c r="F63" s="25">
        <f t="shared" si="1"/>
        <v>24</v>
      </c>
      <c r="G63" s="22">
        <f t="shared" si="2"/>
        <v>24.494897427831781</v>
      </c>
      <c r="H63" s="22">
        <f t="shared" si="3"/>
        <v>25</v>
      </c>
      <c r="I63" s="22"/>
      <c r="J63" s="22"/>
      <c r="K63" s="26">
        <f>E118*0.7</f>
        <v>2972900</v>
      </c>
    </row>
    <row r="64" spans="1:11" x14ac:dyDescent="0.25">
      <c r="A64">
        <v>24</v>
      </c>
      <c r="B64" t="s">
        <v>101</v>
      </c>
      <c r="C64" s="1">
        <v>22203000</v>
      </c>
      <c r="D64" s="1"/>
      <c r="E64" s="12">
        <f t="shared" si="0"/>
        <v>48.884597957578571</v>
      </c>
      <c r="F64" s="15">
        <f t="shared" si="1"/>
        <v>48</v>
      </c>
      <c r="G64">
        <f t="shared" si="2"/>
        <v>48.497422611928563</v>
      </c>
      <c r="H64">
        <f t="shared" si="3"/>
        <v>49</v>
      </c>
      <c r="K64" s="27">
        <f>E97*(2/3)+E121*(2/3)</f>
        <v>13566666.666666664</v>
      </c>
    </row>
    <row r="65" spans="1:11" x14ac:dyDescent="0.25">
      <c r="A65" s="22">
        <v>25</v>
      </c>
      <c r="B65" s="22" t="s">
        <v>102</v>
      </c>
      <c r="C65" s="23">
        <v>8294000</v>
      </c>
      <c r="D65" s="23"/>
      <c r="E65" s="24">
        <f t="shared" si="0"/>
        <v>18.260994255738261</v>
      </c>
      <c r="F65" s="25">
        <f t="shared" si="1"/>
        <v>18</v>
      </c>
      <c r="G65" s="22">
        <f t="shared" si="2"/>
        <v>18.493242008906929</v>
      </c>
      <c r="H65" s="22">
        <f t="shared" si="3"/>
        <v>18</v>
      </c>
      <c r="I65" s="22"/>
      <c r="J65" s="22"/>
      <c r="K65" s="23">
        <f>E123+E111+E116*0.3</f>
        <v>4723100</v>
      </c>
    </row>
    <row r="66" spans="1:11" x14ac:dyDescent="0.25">
      <c r="A66">
        <v>26</v>
      </c>
      <c r="B66" t="s">
        <v>103</v>
      </c>
      <c r="C66" s="1">
        <v>3526000</v>
      </c>
      <c r="D66" s="1"/>
      <c r="E66" s="12">
        <f t="shared" si="0"/>
        <v>7.7632343556466257</v>
      </c>
      <c r="F66" s="15">
        <f t="shared" si="1"/>
        <v>7</v>
      </c>
      <c r="G66">
        <f t="shared" si="2"/>
        <v>7.4833147735478827</v>
      </c>
      <c r="H66">
        <f t="shared" si="3"/>
        <v>8</v>
      </c>
      <c r="K66" s="11">
        <f>E102*0.1</f>
        <v>694800</v>
      </c>
    </row>
    <row r="67" spans="1:11" x14ac:dyDescent="0.25">
      <c r="A67" s="22">
        <v>27</v>
      </c>
      <c r="B67" s="22" t="s">
        <v>104</v>
      </c>
      <c r="C67" s="23">
        <v>6562000</v>
      </c>
      <c r="D67" s="23"/>
      <c r="E67" s="24">
        <f t="shared" si="0"/>
        <v>14.447630130956652</v>
      </c>
      <c r="F67" s="25">
        <f t="shared" si="1"/>
        <v>14</v>
      </c>
      <c r="G67" s="22">
        <f t="shared" si="2"/>
        <v>14.491376746189438</v>
      </c>
      <c r="H67" s="22">
        <f t="shared" si="3"/>
        <v>14</v>
      </c>
      <c r="I67" s="22"/>
      <c r="J67" s="22"/>
      <c r="K67" s="26">
        <f>E104*0.4</f>
        <v>2697200</v>
      </c>
    </row>
    <row r="68" spans="1:11" x14ac:dyDescent="0.25">
      <c r="A68">
        <v>28</v>
      </c>
      <c r="B68" t="s">
        <v>105</v>
      </c>
      <c r="C68" s="1">
        <v>6443000</v>
      </c>
      <c r="D68" s="1"/>
      <c r="E68" s="12">
        <f t="shared" si="0"/>
        <v>14.18562647573205</v>
      </c>
      <c r="F68" s="15">
        <f t="shared" si="1"/>
        <v>14</v>
      </c>
      <c r="G68">
        <f t="shared" si="2"/>
        <v>14.491376746189438</v>
      </c>
      <c r="H68">
        <f t="shared" si="3"/>
        <v>14</v>
      </c>
      <c r="K68" s="11">
        <f>E105*(1/3)</f>
        <v>1980666.6666666665</v>
      </c>
    </row>
    <row r="69" spans="1:11" x14ac:dyDescent="0.25">
      <c r="A69" s="22">
        <v>29</v>
      </c>
      <c r="B69" s="22" t="s">
        <v>106</v>
      </c>
      <c r="C69" s="23">
        <v>4837000</v>
      </c>
      <c r="D69" s="23"/>
      <c r="E69" s="24">
        <f t="shared" si="0"/>
        <v>10.649677985894137</v>
      </c>
      <c r="F69" s="25">
        <f t="shared" si="1"/>
        <v>10</v>
      </c>
      <c r="G69" s="22">
        <f t="shared" si="2"/>
        <v>10.488088481701515</v>
      </c>
      <c r="H69" s="22">
        <f t="shared" si="3"/>
        <v>11</v>
      </c>
      <c r="I69" s="22"/>
      <c r="J69" s="22"/>
      <c r="K69" s="26">
        <f>E105*(2/3)</f>
        <v>3961333.333333333</v>
      </c>
    </row>
    <row r="70" spans="1:11" x14ac:dyDescent="0.25">
      <c r="A70">
        <v>30</v>
      </c>
      <c r="B70" t="s">
        <v>107</v>
      </c>
      <c r="C70" s="1">
        <v>1334000</v>
      </c>
      <c r="D70" s="1"/>
      <c r="E70" s="12">
        <f t="shared" si="0"/>
        <v>2.9370829921816788</v>
      </c>
      <c r="F70" s="15">
        <f t="shared" si="1"/>
        <v>2</v>
      </c>
      <c r="G70">
        <f t="shared" si="2"/>
        <v>2.4494897427831779</v>
      </c>
      <c r="H70">
        <f t="shared" si="3"/>
        <v>3</v>
      </c>
    </row>
    <row r="71" spans="1:11" x14ac:dyDescent="0.25">
      <c r="A71" s="22">
        <v>31</v>
      </c>
      <c r="B71" s="22" t="s">
        <v>108</v>
      </c>
      <c r="C71" s="23">
        <v>4321000</v>
      </c>
      <c r="D71" s="23"/>
      <c r="E71" s="24">
        <f t="shared" si="0"/>
        <v>9.5135949094580461</v>
      </c>
      <c r="F71" s="25">
        <f t="shared" si="1"/>
        <v>9</v>
      </c>
      <c r="G71" s="22">
        <f t="shared" si="2"/>
        <v>9.4868329805051381</v>
      </c>
      <c r="H71" s="22">
        <f t="shared" si="3"/>
        <v>10</v>
      </c>
      <c r="I71" s="22"/>
      <c r="J71" s="22"/>
      <c r="K71" s="26">
        <f>E121*(1/3)</f>
        <v>1770666.6666666665</v>
      </c>
    </row>
    <row r="72" spans="1:11" x14ac:dyDescent="0.25">
      <c r="A72">
        <v>32</v>
      </c>
      <c r="B72" t="s">
        <v>109</v>
      </c>
      <c r="C72" s="1">
        <v>1072000</v>
      </c>
      <c r="D72" s="1"/>
      <c r="E72" s="12">
        <f t="shared" si="0"/>
        <v>2.3602346084098644</v>
      </c>
      <c r="F72" s="15">
        <f t="shared" si="1"/>
        <v>2</v>
      </c>
      <c r="G72">
        <f t="shared" si="2"/>
        <v>2.4494897427831779</v>
      </c>
      <c r="H72">
        <f t="shared" si="3"/>
        <v>2</v>
      </c>
    </row>
    <row r="73" spans="1:11" x14ac:dyDescent="0.25">
      <c r="A73" s="22">
        <v>33</v>
      </c>
      <c r="B73" s="22" t="s">
        <v>110</v>
      </c>
      <c r="C73" s="23">
        <v>5012000</v>
      </c>
      <c r="D73" s="23"/>
      <c r="E73" s="24">
        <f t="shared" si="0"/>
        <v>11.034977478871493</v>
      </c>
      <c r="F73" s="25">
        <f t="shared" si="1"/>
        <v>11</v>
      </c>
      <c r="G73" s="22">
        <f t="shared" si="2"/>
        <v>11.489125293076057</v>
      </c>
      <c r="H73" s="22">
        <f t="shared" si="3"/>
        <v>11</v>
      </c>
      <c r="I73" s="22"/>
      <c r="J73" s="22"/>
      <c r="K73" s="23">
        <f>E107</f>
        <v>4428000</v>
      </c>
    </row>
    <row r="74" spans="1:11" x14ac:dyDescent="0.25">
      <c r="A74">
        <v>34</v>
      </c>
      <c r="B74" t="s">
        <v>111</v>
      </c>
      <c r="C74" s="1">
        <v>1183000</v>
      </c>
      <c r="D74" s="1"/>
      <c r="E74" s="12">
        <f t="shared" si="0"/>
        <v>2.604624572526931</v>
      </c>
      <c r="F74" s="15">
        <f t="shared" si="1"/>
        <v>2</v>
      </c>
      <c r="G74">
        <f t="shared" si="2"/>
        <v>2.4494897427831779</v>
      </c>
      <c r="H74">
        <f t="shared" si="3"/>
        <v>3</v>
      </c>
    </row>
    <row r="75" spans="1:11" x14ac:dyDescent="0.25">
      <c r="A75" s="22">
        <v>35</v>
      </c>
      <c r="B75" s="22" t="s">
        <v>112</v>
      </c>
      <c r="C75" s="23">
        <v>1426000</v>
      </c>
      <c r="D75" s="23"/>
      <c r="E75" s="24">
        <f t="shared" si="0"/>
        <v>3.1396404399183462</v>
      </c>
      <c r="F75" s="25">
        <f t="shared" si="1"/>
        <v>3</v>
      </c>
      <c r="G75" s="22">
        <f t="shared" si="2"/>
        <v>3.4641016151377544</v>
      </c>
      <c r="H75" s="22">
        <f t="shared" si="3"/>
        <v>3</v>
      </c>
      <c r="I75" s="22"/>
      <c r="J75" s="22"/>
      <c r="K75" s="22"/>
    </row>
    <row r="76" spans="1:11" x14ac:dyDescent="0.25">
      <c r="A76">
        <v>36</v>
      </c>
      <c r="B76" t="s">
        <v>120</v>
      </c>
      <c r="C76" s="1">
        <v>1804000</v>
      </c>
      <c r="D76" s="1"/>
      <c r="E76" s="12">
        <f t="shared" si="0"/>
        <v>3.9718873447494363</v>
      </c>
      <c r="F76" s="15">
        <f t="shared" si="1"/>
        <v>3</v>
      </c>
      <c r="G76">
        <f t="shared" si="2"/>
        <v>3.4641016151377544</v>
      </c>
      <c r="H76">
        <f t="shared" si="3"/>
        <v>4</v>
      </c>
    </row>
    <row r="77" spans="1:11" x14ac:dyDescent="0.25">
      <c r="A77" s="22">
        <v>37</v>
      </c>
      <c r="B77" s="22" t="s">
        <v>121</v>
      </c>
      <c r="C77" s="23">
        <v>4401000</v>
      </c>
      <c r="D77" s="23"/>
      <c r="E77" s="24">
        <f t="shared" si="0"/>
        <v>9.6897318205334084</v>
      </c>
      <c r="F77" s="25">
        <f t="shared" si="1"/>
        <v>9</v>
      </c>
      <c r="G77" s="22">
        <f t="shared" si="2"/>
        <v>9.4868329805051381</v>
      </c>
      <c r="H77" s="22">
        <f t="shared" si="3"/>
        <v>10</v>
      </c>
      <c r="I77" s="22"/>
      <c r="J77" s="22"/>
      <c r="K77" s="23">
        <f>E119</f>
        <v>3473000</v>
      </c>
    </row>
    <row r="78" spans="1:11" x14ac:dyDescent="0.25">
      <c r="A78">
        <v>38</v>
      </c>
      <c r="B78" t="s">
        <v>113</v>
      </c>
      <c r="C78" s="1">
        <v>1068000</v>
      </c>
      <c r="D78" s="1"/>
      <c r="E78" s="12">
        <f t="shared" si="0"/>
        <v>2.3514277628560967</v>
      </c>
      <c r="F78" s="15">
        <f t="shared" si="1"/>
        <v>2</v>
      </c>
      <c r="G78">
        <f t="shared" si="2"/>
        <v>2.4494897427831779</v>
      </c>
      <c r="H78">
        <f t="shared" si="3"/>
        <v>2</v>
      </c>
    </row>
    <row r="79" spans="1:11" x14ac:dyDescent="0.25">
      <c r="A79" s="22">
        <v>39</v>
      </c>
      <c r="B79" s="22" t="s">
        <v>114</v>
      </c>
      <c r="C79" s="23">
        <f>K79</f>
        <v>4036888.8888888885</v>
      </c>
      <c r="D79" s="23"/>
      <c r="E79" s="24">
        <f t="shared" si="0"/>
        <v>8.8880642405417909</v>
      </c>
      <c r="F79" s="25">
        <f t="shared" si="1"/>
        <v>8</v>
      </c>
      <c r="G79" s="22">
        <f t="shared" si="2"/>
        <v>8.4852813742385695</v>
      </c>
      <c r="H79" s="22">
        <f t="shared" si="3"/>
        <v>9</v>
      </c>
      <c r="I79" s="22"/>
      <c r="J79" s="22"/>
      <c r="K79" s="26">
        <f>E103*(4/9)</f>
        <v>4036888.8888888885</v>
      </c>
    </row>
    <row r="80" spans="1:11" x14ac:dyDescent="0.25">
      <c r="A80">
        <v>40</v>
      </c>
      <c r="B80" t="s">
        <v>115</v>
      </c>
      <c r="C80" s="1">
        <v>1331000</v>
      </c>
      <c r="D80" s="1"/>
      <c r="E80" s="12">
        <f t="shared" si="0"/>
        <v>2.9304778580163524</v>
      </c>
      <c r="F80" s="15">
        <f t="shared" si="1"/>
        <v>2</v>
      </c>
      <c r="G80">
        <f t="shared" si="2"/>
        <v>2.4494897427831779</v>
      </c>
      <c r="H80">
        <f t="shared" si="3"/>
        <v>3</v>
      </c>
    </row>
    <row r="81" spans="1:11" x14ac:dyDescent="0.25">
      <c r="A81" s="22">
        <v>41</v>
      </c>
      <c r="B81" s="22" t="s">
        <v>116</v>
      </c>
      <c r="C81" s="23">
        <v>435000</v>
      </c>
      <c r="D81" s="23"/>
      <c r="E81" s="24">
        <f t="shared" si="0"/>
        <v>0.95774445397228647</v>
      </c>
      <c r="F81" s="25">
        <f t="shared" si="1"/>
        <v>0</v>
      </c>
      <c r="G81" s="22">
        <f t="shared" si="2"/>
        <v>0</v>
      </c>
      <c r="H81" s="22">
        <f t="shared" si="3"/>
        <v>1</v>
      </c>
      <c r="I81" s="22"/>
      <c r="J81" s="22"/>
      <c r="K81" s="22"/>
    </row>
    <row r="82" spans="1:11" x14ac:dyDescent="0.25">
      <c r="A82">
        <v>42</v>
      </c>
      <c r="B82" t="s">
        <v>117</v>
      </c>
      <c r="C82" s="1">
        <v>3121000</v>
      </c>
      <c r="D82" s="1"/>
      <c r="E82" s="12">
        <f t="shared" si="0"/>
        <v>6.8715412433276004</v>
      </c>
      <c r="F82" s="15">
        <f t="shared" si="1"/>
        <v>6</v>
      </c>
      <c r="G82">
        <f t="shared" si="2"/>
        <v>6.4807406984078604</v>
      </c>
      <c r="H82">
        <f t="shared" si="3"/>
        <v>7</v>
      </c>
    </row>
    <row r="83" spans="1:11" x14ac:dyDescent="0.25">
      <c r="A83" s="22">
        <v>43</v>
      </c>
      <c r="B83" s="22" t="s">
        <v>118</v>
      </c>
      <c r="C83" s="23">
        <v>412000</v>
      </c>
      <c r="D83" s="23"/>
      <c r="E83" s="24">
        <f t="shared" si="0"/>
        <v>0.90710509203811962</v>
      </c>
      <c r="F83" s="25">
        <f t="shared" si="1"/>
        <v>0</v>
      </c>
      <c r="G83" s="22">
        <f t="shared" si="2"/>
        <v>0</v>
      </c>
      <c r="H83" s="22">
        <f t="shared" si="3"/>
        <v>1</v>
      </c>
      <c r="I83" s="22"/>
      <c r="J83" s="22"/>
      <c r="K83" s="22"/>
    </row>
    <row r="84" spans="1:11" x14ac:dyDescent="0.25">
      <c r="A84" s="3">
        <v>44</v>
      </c>
      <c r="B84" s="3" t="s">
        <v>119</v>
      </c>
      <c r="C84" s="6">
        <v>167000</v>
      </c>
      <c r="D84" s="1"/>
      <c r="E84" s="12">
        <f t="shared" si="0"/>
        <v>0.36768580186982031</v>
      </c>
      <c r="F84" s="15">
        <f t="shared" si="1"/>
        <v>0</v>
      </c>
      <c r="G84">
        <f t="shared" si="2"/>
        <v>0</v>
      </c>
      <c r="H84">
        <f t="shared" si="3"/>
        <v>1</v>
      </c>
    </row>
    <row r="85" spans="1:11" ht="15.75" thickBot="1" x14ac:dyDescent="0.3">
      <c r="A85" s="4"/>
      <c r="B85" s="4" t="s">
        <v>22</v>
      </c>
      <c r="C85" s="7">
        <f>SUM(C41:C84)</f>
        <v>305553115.8888889</v>
      </c>
      <c r="D85" s="7"/>
      <c r="E85" s="7">
        <f>SUM(E41:E84)</f>
        <v>672.73977502651678</v>
      </c>
      <c r="F85" s="7"/>
      <c r="G85" s="7"/>
      <c r="H85" s="7">
        <f>SUM(H41:H84)</f>
        <v>674</v>
      </c>
    </row>
    <row r="86" spans="1:11" ht="15.75" thickTop="1" x14ac:dyDescent="0.25"/>
    <row r="87" spans="1:11" x14ac:dyDescent="0.25">
      <c r="A87" t="s">
        <v>64</v>
      </c>
      <c r="B87" s="12">
        <f>$C$85/B32</f>
        <v>71.182065389735627</v>
      </c>
      <c r="C87" s="12">
        <f>$C$85/C32</f>
        <v>66.177222805509757</v>
      </c>
    </row>
    <row r="95" spans="1:11" x14ac:dyDescent="0.25">
      <c r="A95" t="s">
        <v>144</v>
      </c>
      <c r="B95" t="s">
        <v>145</v>
      </c>
      <c r="C95" t="s">
        <v>132</v>
      </c>
      <c r="D95" t="s">
        <v>146</v>
      </c>
      <c r="E95" t="s">
        <v>147</v>
      </c>
    </row>
    <row r="96" spans="1:11" x14ac:dyDescent="0.25">
      <c r="A96" s="20">
        <v>1</v>
      </c>
      <c r="B96" s="20" t="s">
        <v>148</v>
      </c>
      <c r="C96" s="20" t="s">
        <v>88</v>
      </c>
      <c r="D96" s="21">
        <v>10090000</v>
      </c>
      <c r="E96" s="21">
        <v>23785000</v>
      </c>
    </row>
    <row r="97" spans="1:5" x14ac:dyDescent="0.25">
      <c r="A97" s="20">
        <v>2</v>
      </c>
      <c r="B97" s="20" t="s">
        <v>149</v>
      </c>
      <c r="C97" s="20" t="s">
        <v>101</v>
      </c>
      <c r="D97" s="21">
        <v>5221000</v>
      </c>
      <c r="E97" s="21">
        <v>15038000</v>
      </c>
    </row>
    <row r="98" spans="1:5" x14ac:dyDescent="0.25">
      <c r="A98" s="20">
        <v>3</v>
      </c>
      <c r="B98" s="20" t="s">
        <v>150</v>
      </c>
      <c r="C98" s="20" t="s">
        <v>94</v>
      </c>
      <c r="D98" s="21">
        <v>4047000</v>
      </c>
      <c r="E98" s="21">
        <v>10415000</v>
      </c>
    </row>
    <row r="99" spans="1:5" x14ac:dyDescent="0.25">
      <c r="A99" s="20">
        <v>4</v>
      </c>
      <c r="B99" s="20" t="s">
        <v>151</v>
      </c>
      <c r="C99" s="20" t="s">
        <v>79</v>
      </c>
      <c r="D99" s="21">
        <v>2513000</v>
      </c>
      <c r="E99" s="21">
        <v>7038000</v>
      </c>
    </row>
    <row r="100" spans="1:5" x14ac:dyDescent="0.25">
      <c r="A100" s="20">
        <v>5</v>
      </c>
      <c r="B100" s="20" t="s">
        <v>152</v>
      </c>
      <c r="C100" s="20" t="s">
        <v>83</v>
      </c>
      <c r="D100" s="21">
        <v>2210000</v>
      </c>
      <c r="E100" s="21">
        <v>6471000</v>
      </c>
    </row>
    <row r="101" spans="1:5" x14ac:dyDescent="0.25">
      <c r="A101" s="20">
        <v>6</v>
      </c>
      <c r="B101" s="20" t="s">
        <v>153</v>
      </c>
      <c r="C101" s="20" t="s">
        <v>87</v>
      </c>
      <c r="D101" s="21">
        <v>2031000</v>
      </c>
      <c r="E101" s="21">
        <v>7576000</v>
      </c>
    </row>
    <row r="102" spans="1:5" x14ac:dyDescent="0.25">
      <c r="A102" s="20">
        <v>7</v>
      </c>
      <c r="B102" s="20" t="s">
        <v>154</v>
      </c>
      <c r="C102" s="20" t="s">
        <v>93</v>
      </c>
      <c r="D102" s="21">
        <v>1719000</v>
      </c>
      <c r="E102" s="21">
        <v>6948000</v>
      </c>
    </row>
    <row r="103" spans="1:5" x14ac:dyDescent="0.25">
      <c r="A103" s="20">
        <v>8</v>
      </c>
      <c r="B103" s="20" t="s">
        <v>155</v>
      </c>
      <c r="C103" s="20" t="s">
        <v>156</v>
      </c>
      <c r="D103" s="21">
        <v>1643000</v>
      </c>
      <c r="E103" s="21">
        <v>9083000</v>
      </c>
    </row>
    <row r="104" spans="1:5" x14ac:dyDescent="0.25">
      <c r="A104" s="20">
        <v>9</v>
      </c>
      <c r="B104" s="20" t="s">
        <v>157</v>
      </c>
      <c r="C104" s="20" t="s">
        <v>99</v>
      </c>
      <c r="D104" s="21">
        <v>1480000</v>
      </c>
      <c r="E104" s="21">
        <v>6743000</v>
      </c>
    </row>
    <row r="105" spans="1:5" x14ac:dyDescent="0.25">
      <c r="A105" s="20">
        <v>10</v>
      </c>
      <c r="B105" s="20" t="s">
        <v>158</v>
      </c>
      <c r="C105" s="20" t="s">
        <v>106</v>
      </c>
      <c r="D105" s="21">
        <v>1422000</v>
      </c>
      <c r="E105" s="21">
        <v>5942000</v>
      </c>
    </row>
    <row r="106" spans="1:5" x14ac:dyDescent="0.25">
      <c r="A106" s="20">
        <v>11</v>
      </c>
      <c r="B106" s="20" t="s">
        <v>159</v>
      </c>
      <c r="C106" s="20" t="s">
        <v>88</v>
      </c>
      <c r="D106" s="21">
        <v>1383000</v>
      </c>
      <c r="E106" s="21">
        <v>4813000</v>
      </c>
    </row>
    <row r="107" spans="1:5" x14ac:dyDescent="0.25">
      <c r="A107" s="20">
        <v>12</v>
      </c>
      <c r="B107" s="20" t="s">
        <v>160</v>
      </c>
      <c r="C107" s="20" t="s">
        <v>38</v>
      </c>
      <c r="D107" s="21">
        <v>1369000</v>
      </c>
      <c r="E107" s="21">
        <v>4428000</v>
      </c>
    </row>
    <row r="108" spans="1:5" x14ac:dyDescent="0.25">
      <c r="A108" s="20">
        <v>13</v>
      </c>
      <c r="B108" s="20" t="s">
        <v>161</v>
      </c>
      <c r="C108" s="20" t="s">
        <v>94</v>
      </c>
      <c r="D108" s="21">
        <v>1248000</v>
      </c>
      <c r="E108" s="21">
        <v>3327000</v>
      </c>
    </row>
    <row r="109" spans="1:5" x14ac:dyDescent="0.25">
      <c r="A109" s="20">
        <v>14</v>
      </c>
      <c r="B109" s="20" t="s">
        <v>162</v>
      </c>
      <c r="C109" s="20" t="s">
        <v>92</v>
      </c>
      <c r="D109" s="21">
        <v>1222000</v>
      </c>
      <c r="E109" s="21">
        <v>3991000</v>
      </c>
    </row>
    <row r="110" spans="1:5" x14ac:dyDescent="0.25">
      <c r="A110" s="20">
        <v>15</v>
      </c>
      <c r="B110" s="20" t="s">
        <v>163</v>
      </c>
      <c r="C110" s="20" t="s">
        <v>97</v>
      </c>
      <c r="D110" s="21">
        <v>1210000</v>
      </c>
      <c r="E110" s="21">
        <v>15038000</v>
      </c>
    </row>
    <row r="111" spans="1:5" x14ac:dyDescent="0.25">
      <c r="A111" s="20">
        <v>16</v>
      </c>
      <c r="B111" s="20" t="s">
        <v>164</v>
      </c>
      <c r="C111" s="20" t="s">
        <v>102</v>
      </c>
      <c r="D111" s="21">
        <v>1180000</v>
      </c>
      <c r="E111" s="21">
        <v>1782000</v>
      </c>
    </row>
    <row r="112" spans="1:5" x14ac:dyDescent="0.25">
      <c r="A112" s="20">
        <v>17</v>
      </c>
      <c r="B112" s="20" t="s">
        <v>165</v>
      </c>
      <c r="C112" s="20" t="s">
        <v>79</v>
      </c>
      <c r="D112" s="21">
        <v>1159000</v>
      </c>
      <c r="E112" s="21">
        <v>3447000</v>
      </c>
    </row>
    <row r="113" spans="1:5" x14ac:dyDescent="0.25">
      <c r="A113" s="20">
        <v>18</v>
      </c>
      <c r="B113" s="20" t="s">
        <v>166</v>
      </c>
      <c r="C113" s="20" t="s">
        <v>81</v>
      </c>
      <c r="D113" s="21">
        <v>1091000</v>
      </c>
      <c r="E113" s="21">
        <v>4940000</v>
      </c>
    </row>
    <row r="114" spans="1:5" x14ac:dyDescent="0.25">
      <c r="A114" s="20">
        <v>19</v>
      </c>
      <c r="B114" s="20" t="s">
        <v>167</v>
      </c>
      <c r="C114" s="20" t="s">
        <v>80</v>
      </c>
      <c r="D114" s="21">
        <v>1001000</v>
      </c>
      <c r="E114" s="21">
        <v>23785000</v>
      </c>
    </row>
    <row r="115" spans="1:5" x14ac:dyDescent="0.25">
      <c r="A115" s="20">
        <v>20</v>
      </c>
      <c r="B115" s="20" t="s">
        <v>168</v>
      </c>
      <c r="C115" s="20" t="s">
        <v>85</v>
      </c>
      <c r="D115" s="21">
        <v>1021000</v>
      </c>
      <c r="E115" s="21">
        <v>6491000</v>
      </c>
    </row>
    <row r="116" spans="1:5" x14ac:dyDescent="0.25">
      <c r="A116" s="20">
        <v>21</v>
      </c>
      <c r="B116" s="20" t="s">
        <v>169</v>
      </c>
      <c r="C116" s="20" t="s">
        <v>95</v>
      </c>
      <c r="D116" s="21">
        <v>983000</v>
      </c>
      <c r="E116" s="21">
        <v>2297000</v>
      </c>
    </row>
    <row r="117" spans="1:5" x14ac:dyDescent="0.25">
      <c r="A117" s="20">
        <v>22</v>
      </c>
      <c r="B117" s="20" t="s">
        <v>170</v>
      </c>
      <c r="C117" s="20" t="s">
        <v>95</v>
      </c>
      <c r="D117" s="21">
        <v>951000</v>
      </c>
      <c r="E117" s="21">
        <v>2929000</v>
      </c>
    </row>
    <row r="118" spans="1:5" x14ac:dyDescent="0.25">
      <c r="A118" s="20">
        <v>23</v>
      </c>
      <c r="B118" s="20" t="s">
        <v>171</v>
      </c>
      <c r="C118" s="20" t="s">
        <v>100</v>
      </c>
      <c r="D118" s="21">
        <v>925000</v>
      </c>
      <c r="E118" s="21">
        <v>4247000</v>
      </c>
    </row>
    <row r="119" spans="1:5" x14ac:dyDescent="0.25">
      <c r="A119" s="20">
        <v>24</v>
      </c>
      <c r="B119" s="20" t="s">
        <v>172</v>
      </c>
      <c r="C119" s="20" t="s">
        <v>121</v>
      </c>
      <c r="D119" s="21">
        <v>877000</v>
      </c>
      <c r="E119" s="21">
        <v>3473000</v>
      </c>
    </row>
    <row r="120" spans="1:5" x14ac:dyDescent="0.25">
      <c r="A120" s="20">
        <v>25</v>
      </c>
      <c r="B120" s="20" t="s">
        <v>173</v>
      </c>
      <c r="C120" s="20" t="s">
        <v>96</v>
      </c>
      <c r="D120" s="21">
        <v>851000</v>
      </c>
      <c r="E120" s="21">
        <v>3929000</v>
      </c>
    </row>
    <row r="121" spans="1:5" x14ac:dyDescent="0.25">
      <c r="A121" s="20">
        <v>26</v>
      </c>
      <c r="B121" s="20" t="s">
        <v>174</v>
      </c>
      <c r="C121" s="20" t="s">
        <v>101</v>
      </c>
      <c r="D121" s="21">
        <v>788000</v>
      </c>
      <c r="E121" s="21">
        <v>5312000</v>
      </c>
    </row>
    <row r="122" spans="1:5" x14ac:dyDescent="0.25">
      <c r="A122" s="20">
        <v>27</v>
      </c>
      <c r="B122" s="20" t="s">
        <v>175</v>
      </c>
      <c r="C122" s="20" t="s">
        <v>84</v>
      </c>
      <c r="D122" s="21">
        <v>765000</v>
      </c>
      <c r="E122" s="21">
        <v>1252000</v>
      </c>
    </row>
    <row r="123" spans="1:5" x14ac:dyDescent="0.25">
      <c r="A123" s="20">
        <v>28</v>
      </c>
      <c r="B123" s="20" t="s">
        <v>176</v>
      </c>
      <c r="C123" s="20" t="s">
        <v>102</v>
      </c>
      <c r="D123" s="21">
        <v>741000</v>
      </c>
      <c r="E123" s="21">
        <v>2252000</v>
      </c>
    </row>
    <row r="124" spans="1:5" x14ac:dyDescent="0.25">
      <c r="A124" s="20">
        <v>29</v>
      </c>
      <c r="B124" s="20" t="s">
        <v>177</v>
      </c>
      <c r="C124" s="20" t="s">
        <v>94</v>
      </c>
      <c r="D124" s="21">
        <v>729000</v>
      </c>
      <c r="E124" s="21">
        <v>2175000</v>
      </c>
    </row>
    <row r="125" spans="1:5" x14ac:dyDescent="0.25">
      <c r="A125" s="20">
        <v>30</v>
      </c>
      <c r="B125" s="20" t="s">
        <v>178</v>
      </c>
      <c r="C125" s="20" t="s">
        <v>97</v>
      </c>
      <c r="D125" s="21">
        <v>715000</v>
      </c>
      <c r="E125" s="21">
        <v>1534000</v>
      </c>
    </row>
    <row r="126" spans="1:5" x14ac:dyDescent="0.25">
      <c r="A126" s="20">
        <v>31</v>
      </c>
      <c r="B126" s="20" t="s">
        <v>179</v>
      </c>
      <c r="C126" s="20" t="s">
        <v>89</v>
      </c>
      <c r="D126" s="21">
        <v>701000</v>
      </c>
      <c r="E126" s="21">
        <v>2461000</v>
      </c>
    </row>
    <row r="127" spans="1:5" x14ac:dyDescent="0.25">
      <c r="A127" s="20">
        <v>32</v>
      </c>
      <c r="B127" s="20" t="s">
        <v>180</v>
      </c>
      <c r="C127" s="20" t="s">
        <v>95</v>
      </c>
      <c r="D127" s="21">
        <v>656000</v>
      </c>
      <c r="E127" s="21">
        <v>1567000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63CD-E558-4E85-B35D-432437BFD9B4}">
  <dimension ref="A1:K41"/>
  <sheetViews>
    <sheetView topLeftCell="A8" workbookViewId="0">
      <selection activeCell="K20" sqref="K20"/>
    </sheetView>
  </sheetViews>
  <sheetFormatPr defaultRowHeight="15" x14ac:dyDescent="0.25"/>
  <cols>
    <col min="2" max="2" width="11" customWidth="1"/>
    <col min="3" max="3" width="11.85546875" customWidth="1"/>
    <col min="4" max="4" width="10.42578125" customWidth="1"/>
    <col min="5" max="5" width="10.5703125" bestFit="1" customWidth="1"/>
    <col min="8" max="8" width="8.85546875" customWidth="1"/>
    <col min="11" max="11" width="10.42578125" customWidth="1"/>
  </cols>
  <sheetData>
    <row r="1" spans="1:11" x14ac:dyDescent="0.25">
      <c r="A1" t="s">
        <v>133</v>
      </c>
    </row>
    <row r="2" spans="1:11" x14ac:dyDescent="0.25">
      <c r="A2" t="s">
        <v>134</v>
      </c>
      <c r="B2" s="1">
        <v>1054549</v>
      </c>
    </row>
    <row r="4" spans="1:11" x14ac:dyDescent="0.25">
      <c r="D4" t="s">
        <v>135</v>
      </c>
      <c r="E4" s="1">
        <v>9833520</v>
      </c>
    </row>
    <row r="5" spans="1:11" x14ac:dyDescent="0.25">
      <c r="D5" t="s">
        <v>136</v>
      </c>
      <c r="E5" s="11">
        <f>'united states'!C32</f>
        <v>4617194.6016363995</v>
      </c>
    </row>
    <row r="6" spans="1:11" x14ac:dyDescent="0.25">
      <c r="G6" t="s">
        <v>137</v>
      </c>
      <c r="H6" s="11">
        <f>380800-'united states'!G12</f>
        <v>77351.813000000024</v>
      </c>
    </row>
    <row r="7" spans="1:11" x14ac:dyDescent="0.25">
      <c r="G7" t="s">
        <v>139</v>
      </c>
      <c r="H7">
        <f>253335-10920-12780-5040</f>
        <v>224595</v>
      </c>
    </row>
    <row r="8" spans="1:11" x14ac:dyDescent="0.25">
      <c r="G8" t="s">
        <v>138</v>
      </c>
      <c r="H8" s="1">
        <v>254806</v>
      </c>
    </row>
    <row r="9" spans="1:11" x14ac:dyDescent="0.25">
      <c r="G9" t="s">
        <v>140</v>
      </c>
      <c r="H9" s="1">
        <f>184827-'united states'!G27</f>
        <v>165137</v>
      </c>
    </row>
    <row r="10" spans="1:11" x14ac:dyDescent="0.25">
      <c r="D10" t="s">
        <v>141</v>
      </c>
      <c r="E10" s="15">
        <f>SUM(H6:H9)</f>
        <v>721889.81300000008</v>
      </c>
    </row>
    <row r="11" spans="1:11" x14ac:dyDescent="0.25">
      <c r="D11" t="s">
        <v>143</v>
      </c>
      <c r="E11" s="15">
        <f>SUM('united states'!C30:C31)</f>
        <v>13129.141</v>
      </c>
    </row>
    <row r="12" spans="1:11" x14ac:dyDescent="0.25">
      <c r="A12" s="3" t="s">
        <v>142</v>
      </c>
      <c r="B12" s="19">
        <f>E4-SUM(E5:E11)</f>
        <v>4481306.4443636006</v>
      </c>
    </row>
    <row r="13" spans="1:11" ht="15.75" thickBot="1" x14ac:dyDescent="0.3">
      <c r="A13" s="17" t="s">
        <v>22</v>
      </c>
      <c r="B13" s="18">
        <f>SUM(B2:B12)</f>
        <v>5535855.4443636006</v>
      </c>
    </row>
    <row r="14" spans="1:11" ht="15.75" thickTop="1" x14ac:dyDescent="0.25"/>
    <row r="15" spans="1:11" x14ac:dyDescent="0.25">
      <c r="B15" t="s">
        <v>132</v>
      </c>
      <c r="C15" t="s">
        <v>63</v>
      </c>
      <c r="K15" t="s">
        <v>181</v>
      </c>
    </row>
    <row r="16" spans="1:11" x14ac:dyDescent="0.25">
      <c r="B16" t="s">
        <v>185</v>
      </c>
      <c r="C16" s="1">
        <f>K16+2000000</f>
        <v>12046000</v>
      </c>
      <c r="K16" s="1">
        <f>E32</f>
        <v>10046000</v>
      </c>
    </row>
    <row r="17" spans="1:11" x14ac:dyDescent="0.25">
      <c r="B17" t="s">
        <v>193</v>
      </c>
      <c r="C17" s="1">
        <f>K17+2000000</f>
        <v>6602000</v>
      </c>
      <c r="K17" s="1">
        <f>E36</f>
        <v>4602000</v>
      </c>
    </row>
    <row r="18" spans="1:11" x14ac:dyDescent="0.25">
      <c r="B18" t="s">
        <v>187</v>
      </c>
      <c r="C18" s="11">
        <f>K18*(1.5)</f>
        <v>11286000</v>
      </c>
      <c r="K18" s="1">
        <f>E33</f>
        <v>7524000</v>
      </c>
    </row>
    <row r="19" spans="1:11" x14ac:dyDescent="0.25">
      <c r="B19" t="s">
        <v>191</v>
      </c>
      <c r="C19" s="1">
        <f>K19+7000000</f>
        <v>11924000</v>
      </c>
      <c r="K19" s="1">
        <f>E35</f>
        <v>4924000</v>
      </c>
    </row>
    <row r="20" spans="1:11" x14ac:dyDescent="0.25">
      <c r="B20" t="s">
        <v>202</v>
      </c>
      <c r="C20" s="1">
        <v>1521000</v>
      </c>
      <c r="K20" s="1"/>
    </row>
    <row r="21" spans="1:11" x14ac:dyDescent="0.25">
      <c r="B21" t="s">
        <v>195</v>
      </c>
      <c r="C21" s="11">
        <f>K21*1.5</f>
        <v>14124000</v>
      </c>
      <c r="K21" s="1">
        <f>SUM(E37:E39)+E41</f>
        <v>9416000</v>
      </c>
    </row>
    <row r="22" spans="1:11" x14ac:dyDescent="0.25">
      <c r="B22" t="s">
        <v>189</v>
      </c>
      <c r="C22" s="11">
        <f>K22+1500000</f>
        <v>8893000</v>
      </c>
      <c r="K22" s="1">
        <f>E40+E34</f>
        <v>7393000</v>
      </c>
    </row>
    <row r="23" spans="1:11" x14ac:dyDescent="0.25">
      <c r="B23" t="s">
        <v>200</v>
      </c>
      <c r="C23" s="1">
        <v>2341000</v>
      </c>
    </row>
    <row r="24" spans="1:11" x14ac:dyDescent="0.25">
      <c r="B24" t="s">
        <v>201</v>
      </c>
      <c r="C24" s="1">
        <v>1567000</v>
      </c>
    </row>
    <row r="25" spans="1:11" x14ac:dyDescent="0.25">
      <c r="B25" t="s">
        <v>203</v>
      </c>
      <c r="C25" s="1">
        <v>234000</v>
      </c>
    </row>
    <row r="26" spans="1:11" x14ac:dyDescent="0.25">
      <c r="B26" t="s">
        <v>204</v>
      </c>
      <c r="C26" s="1">
        <v>1624000</v>
      </c>
    </row>
    <row r="27" spans="1:11" ht="15.75" thickBot="1" x14ac:dyDescent="0.3">
      <c r="A27" s="4"/>
      <c r="B27" s="4" t="s">
        <v>22</v>
      </c>
      <c r="C27" s="5">
        <f>SUM(C16:C26)</f>
        <v>72162000</v>
      </c>
      <c r="D27" s="4"/>
      <c r="E27" s="4"/>
      <c r="F27" s="4"/>
      <c r="G27" s="4"/>
      <c r="H27" s="4"/>
      <c r="I27" s="4"/>
      <c r="J27" s="4"/>
      <c r="K27" s="4"/>
    </row>
    <row r="28" spans="1:11" ht="15.75" thickTop="1" x14ac:dyDescent="0.25"/>
    <row r="29" spans="1:11" x14ac:dyDescent="0.25">
      <c r="A29" t="s">
        <v>64</v>
      </c>
      <c r="B29" s="8">
        <f>C27/B13</f>
        <v>13.035383731609652</v>
      </c>
    </row>
    <row r="31" spans="1:11" x14ac:dyDescent="0.25">
      <c r="A31" t="s">
        <v>144</v>
      </c>
      <c r="B31" t="s">
        <v>145</v>
      </c>
      <c r="C31" t="s">
        <v>182</v>
      </c>
      <c r="D31" t="s">
        <v>63</v>
      </c>
      <c r="E31" t="s">
        <v>183</v>
      </c>
    </row>
    <row r="32" spans="1:11" x14ac:dyDescent="0.25">
      <c r="A32">
        <v>1</v>
      </c>
      <c r="B32" t="s">
        <v>184</v>
      </c>
      <c r="C32" t="s">
        <v>185</v>
      </c>
      <c r="D32" s="1">
        <v>5221000</v>
      </c>
      <c r="E32" s="1">
        <v>10046000</v>
      </c>
    </row>
    <row r="33" spans="1:5" x14ac:dyDescent="0.25">
      <c r="A33">
        <v>2</v>
      </c>
      <c r="B33" t="s">
        <v>186</v>
      </c>
      <c r="C33" t="s">
        <v>187</v>
      </c>
      <c r="D33" s="1">
        <v>3270000</v>
      </c>
      <c r="E33" s="1">
        <v>7524000</v>
      </c>
    </row>
    <row r="34" spans="1:5" x14ac:dyDescent="0.25">
      <c r="A34">
        <v>3</v>
      </c>
      <c r="B34" t="s">
        <v>188</v>
      </c>
      <c r="C34" t="s">
        <v>189</v>
      </c>
      <c r="D34" s="1">
        <v>2769000</v>
      </c>
      <c r="E34" s="1">
        <v>5435000</v>
      </c>
    </row>
    <row r="35" spans="1:5" x14ac:dyDescent="0.25">
      <c r="A35">
        <v>4</v>
      </c>
      <c r="B35" t="s">
        <v>190</v>
      </c>
      <c r="C35" t="s">
        <v>191</v>
      </c>
      <c r="D35" s="1">
        <v>2534000</v>
      </c>
      <c r="E35" s="1">
        <v>4924000</v>
      </c>
    </row>
    <row r="36" spans="1:5" x14ac:dyDescent="0.25">
      <c r="A36">
        <v>5</v>
      </c>
      <c r="B36" t="s">
        <v>192</v>
      </c>
      <c r="C36" t="s">
        <v>193</v>
      </c>
      <c r="D36" s="1">
        <v>2150000</v>
      </c>
      <c r="E36" s="1">
        <v>4602000</v>
      </c>
    </row>
    <row r="37" spans="1:5" x14ac:dyDescent="0.25">
      <c r="A37">
        <v>6</v>
      </c>
      <c r="B37" t="s">
        <v>194</v>
      </c>
      <c r="C37" t="s">
        <v>195</v>
      </c>
      <c r="D37" s="1">
        <v>1623000</v>
      </c>
      <c r="E37" s="1">
        <v>2912000</v>
      </c>
    </row>
    <row r="38" spans="1:5" x14ac:dyDescent="0.25">
      <c r="A38">
        <v>7</v>
      </c>
      <c r="B38" t="s">
        <v>196</v>
      </c>
      <c r="C38" t="s">
        <v>195</v>
      </c>
      <c r="D38" s="1">
        <v>1408000</v>
      </c>
      <c r="E38" s="1">
        <v>2705000</v>
      </c>
    </row>
    <row r="39" spans="1:5" x14ac:dyDescent="0.25">
      <c r="A39">
        <v>8</v>
      </c>
      <c r="B39" t="s">
        <v>197</v>
      </c>
      <c r="C39" t="s">
        <v>195</v>
      </c>
      <c r="D39" s="1">
        <v>1251000</v>
      </c>
      <c r="E39" s="1">
        <v>2396000</v>
      </c>
    </row>
    <row r="40" spans="1:5" x14ac:dyDescent="0.25">
      <c r="A40">
        <v>9</v>
      </c>
      <c r="B40" t="s">
        <v>198</v>
      </c>
      <c r="C40" t="s">
        <v>189</v>
      </c>
      <c r="D40" s="1">
        <v>1115000</v>
      </c>
      <c r="E40" s="1">
        <v>1958000</v>
      </c>
    </row>
    <row r="41" spans="1:5" x14ac:dyDescent="0.25">
      <c r="A41">
        <v>10</v>
      </c>
      <c r="B41" t="s">
        <v>199</v>
      </c>
      <c r="C41" t="s">
        <v>195</v>
      </c>
      <c r="D41" s="1">
        <v>1059000</v>
      </c>
      <c r="E41" s="1">
        <v>1403000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france</vt:lpstr>
      <vt:lpstr>united states</vt:lpstr>
      <vt:lpstr>buenaventura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2023-11-08T02:12:51Z</dcterms:created>
  <dcterms:modified xsi:type="dcterms:W3CDTF">2024-01-21T04:31:28Z</dcterms:modified>
</cp:coreProperties>
</file>