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8_{EBAF676B-80DA-49BC-B07B-A9DDC181172F}" xr6:coauthVersionLast="47" xr6:coauthVersionMax="47" xr10:uidLastSave="{00000000-0000-0000-0000-000000000000}"/>
  <bookViews>
    <workbookView xWindow="-96" yWindow="-96" windowWidth="20928" windowHeight="12432" firstSheet="2" activeTab="7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mexico" sheetId="22" r:id="rId6"/>
    <sheet name="China" sheetId="21" r:id="rId7"/>
    <sheet name="new zealand" sheetId="23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3" l="1"/>
  <c r="B19" i="23" s="1"/>
  <c r="B14" i="23"/>
  <c r="B8" i="22"/>
  <c r="B7" i="22"/>
  <c r="B3" i="22"/>
  <c r="I140" i="2"/>
  <c r="K57" i="2"/>
  <c r="K70" i="2"/>
  <c r="K51" i="2"/>
  <c r="K77" i="2"/>
  <c r="K64" i="2"/>
  <c r="B19" i="21"/>
  <c r="B35" i="21"/>
  <c r="B27" i="21"/>
  <c r="E15" i="21"/>
  <c r="B16" i="21" s="1"/>
  <c r="B8" i="21"/>
  <c r="B4" i="21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1" i="2"/>
  <c r="I142" i="2"/>
  <c r="I143" i="2"/>
  <c r="I101" i="2"/>
  <c r="K59" i="2"/>
  <c r="C96" i="2"/>
  <c r="K71" i="2"/>
  <c r="K69" i="2"/>
  <c r="K48" i="2"/>
  <c r="K44" i="2"/>
  <c r="K67" i="2"/>
  <c r="K66" i="2"/>
  <c r="K50" i="2"/>
  <c r="K62" i="2"/>
  <c r="K60" i="2"/>
  <c r="K56" i="2"/>
  <c r="K55" i="2"/>
  <c r="K53" i="2"/>
  <c r="C93" i="2"/>
  <c r="C94" i="2"/>
  <c r="C91" i="2"/>
  <c r="B59" i="1"/>
  <c r="K18" i="4"/>
  <c r="E4" i="18"/>
  <c r="E3" i="18"/>
  <c r="B5" i="18" s="1"/>
  <c r="B6" i="18" s="1"/>
  <c r="B36" i="21" l="1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C97" i="2" l="1"/>
  <c r="L144" i="2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<sst xmlns="http://schemas.openxmlformats.org/spreadsheetml/2006/main" count="513" uniqueCount="368">
  <si>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</si>
  <si>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</si>
  <si>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</si>
  <si>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</si>
  <si>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</si>
  <si>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</si>
  <si>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</si>
  <si>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</si>
  <si>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</si>
  <si>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</si>
  <si>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</si>
  <si>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</si>
  <si>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</si>
  <si>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</si>
  <si>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</si>
  <si>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</si>
  <si>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</si>
  <si>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</si>
  <si>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</si>
  <si>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</si>
  <si>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</si>
  <si>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</si>
  <si>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</si>
  <si>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</si>
  <si>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</si>
  <si>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</si>
  <si>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</si>
  <si>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</si>
  <si>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</si>
  <si>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</si>
  <si>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</si>
  <si>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</si>
  <si>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</si>
  <si>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</si>
  <si>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</si>
  <si>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</si>
  <si>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</si>
  <si>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</si>
  <si>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</si>
  <si>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</si>
  <si>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</si>
  <si>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</si>
  <si>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</si>
  <si>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</si>
  <si>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</si>
  <si>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</si>
  <si>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</si>
  <si>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</si>
  <si>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</si>
  <si>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</si>
  <si>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</si>
  <si>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</si>
  <si>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</si>
  <si>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</si>
  <si>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</si>
  <si>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</si>
  <si>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</si>
  <si>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</si>
  <si>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</si>
  <si>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</si>
  <si>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</si>
  <si>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</si>
  <si>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</si>
  <si>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</si>
  <si>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</si>
  <si>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</si>
  <si>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</si>
  <si>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</si>
  <si>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</si>
  <si>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</si>
  <si>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</si>
  <si>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</si>
  <si>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</si>
  <si>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</si>
  <si>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</si>
  <si>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</si>
  <si>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</si>
  <si>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</si>
  <si>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</si>
  <si>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</si>
  <si>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</si>
  <si>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</si>
  <si>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</si>
  <si>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</si>
  <si>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</si>
  <si>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</si>
  <si>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</si>
  <si>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</si>
  <si>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</si>
  <si>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</si>
  <si>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</si>
  <si>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</si>
  <si>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</si>
  <si>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</si>
  <si>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</si>
  <si>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</si>
  <si>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</si>
  <si>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</si>
  <si>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</si>
  <si>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</si>
  <si>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</si>
  <si>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</si>
  <si>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</si>
  <si>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</si>
  <si>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</si>
  <si>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</si>
  <si>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</si>
  <si>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</si>
  <si>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</si>
  <si>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</si>
  <si>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</si>
  <si>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</si>
  <si>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</si>
  <si>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</si>
  <si>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</si>
  <si>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</si>
  <si>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</si>
  <si>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</si>
  <si>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</si>
  <si>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</si>
  <si>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</si>
  <si>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</si>
  <si>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</si>
  <si>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</si>
  <si>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</si>
  <si>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</si>
  <si>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</si>
  <si>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</si>
  <si>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</si>
  <si>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</si>
  <si>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</si>
  <si>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</si>
  <si>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</si>
  <si>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</si>
  <si>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</si>
  <si>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</si>
  <si>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</si>
  <si>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</si>
  <si>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</si>
  <si>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</si>
  <si>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</si>
  <si>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</si>
  <si>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</si>
  <si>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</si>
  <si>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</si>
  <si>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</si>
  <si>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</si>
  <si>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</si>
  <si>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</si>
  <si>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</si>
  <si>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</si>
  <si>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</si>
  <si>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</si>
  <si>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</si>
  <si>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</si>
  <si>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</si>
  <si>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</si>
  <si>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</si>
  <si>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</si>
  <si>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</si>
  <si>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</si>
  <si>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</si>
  <si>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</si>
  <si>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</si>
  <si>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</si>
  <si>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</si>
  <si>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</si>
  <si>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</si>
  <si>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</si>
  <si>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</si>
  <si>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</si>
  <si>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</si>
  <si>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</si>
  <si>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</si>
  <si>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</si>
  <si>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</si>
  <si>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</si>
  <si>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</si>
  <si>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</si>
  <si>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</si>
  <si>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</si>
  <si>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</si>
  <si>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</si>
  <si>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</si>
  <si>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</si>
  <si>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</si>
  <si>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</si>
  <si>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</si>
  <si>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</si>
  <si>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</si>
  <si>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</si>
  <si>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</si>
  <si>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</si>
  <si>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</si>
  <si>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</si>
  <si>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</si>
  <si>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</si>
  <si>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</si>
  <si>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</si>
  <si>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</si>
  <si>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</si>
  <si>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</si>
  <si>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</si>
  <si>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</si>
  <si>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</si>
  <si>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</si>
  <si>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</si>
  <si>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</si>
  <si>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</si>
  <si>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</si>
  <si>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</si>
  <si>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</si>
  <si>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</si>
  <si>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</si>
  <si>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</si>
  <si>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</si>
  <si>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</si>
  <si>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</si>
  <si>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</si>
  <si>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</si>
  <si>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</si>
  <si>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</si>
  <si>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</si>
  <si>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</si>
  <si>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</si>
  <si>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</si>
  <si>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</si>
  <si>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</si>
  <si>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</si>
  <si>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</si>
  <si>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</si>
  <si>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</si>
  <si>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</si>
  <si>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</si>
  <si>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</si>
  <si>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</si>
  <si>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</si>
  <si>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</si>
  <si>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</si>
  <si>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</si>
  <si>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</si>
  <si>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</si>
  <si>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</si>
  <si>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</si>
  <si>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</si>
  <si>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</si>
  <si>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</si>
  <si>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</si>
  <si>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</si>
  <si>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</si>
  <si>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</si>
  <si>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</si>
  <si>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</si>
  <si>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</si>
  <si>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</si>
  <si>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</si>
  <si>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</si>
  <si>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</si>
  <si>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</si>
  <si>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</si>
  <si>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</si>
  <si>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</si>
  <si>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</si>
  <si>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</si>
  <si>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</si>
  <si>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</si>
  <si>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</si>
  <si>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</si>
  <si>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</si>
  <si>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</si>
  <si>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</si>
  <si>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</si>
  <si>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</si>
  <si>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</si>
  <si>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</si>
  <si>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</si>
  <si>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</si>
  <si>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</si>
  <si>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</si>
  <si>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</si>
  <si>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</si>
  <si>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</si>
  <si>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</si>
  <si>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</si>
  <si>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</si>
  <si>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</si>
  <si>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</si>
  <si>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</si>
  <si>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</si>
  <si>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</si>
  <si>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</si>
  <si>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</si>
  <si>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</si>
  <si>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</si>
  <si>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</si>
  <si>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</si>
  <si>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</si>
  <si>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</si>
  <si>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</si>
  <si>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</si>
  <si>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</si>
  <si>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</si>
  <si>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</si>
  <si>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</si>
  <si>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</si>
  <si>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</si>
  <si>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</si>
  <si>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</si>
  <si>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</si>
  <si>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</si>
  <si>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</si>
  <si>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</si>
  <si>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</si>
  <si>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</si>
  <si>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</si>
  <si>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</si>
  <si>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</si>
  <si>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</si>
  <si>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</si>
  <si>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</si>
  <si>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</si>
  <si>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</si>
  <si>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</si>
  <si>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</si>
  <si>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</si>
  <si>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</si>
  <si>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</si>
  <si>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</si>
  <si>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</si>
  <si>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</si>
  <si>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</si>
  <si>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</si>
  <si>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</si>
  <si>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</si>
  <si>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</si>
  <si>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</si>
  <si>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</si>
  <si>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</si>
  <si>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</si>
  <si>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</si>
  <si>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</si>
  <si>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</si>
  <si>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</si>
  <si>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</si>
  <si>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</si>
  <si>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</si>
  <si>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</si>
  <si>
    <t>OTL Mexico</t>
  </si>
  <si>
    <t>(-)Northern Mexico</t>
  </si>
  <si>
    <t>Mexico</t>
  </si>
  <si>
    <t>Yucatan State</t>
  </si>
  <si>
    <t>Campeche</t>
  </si>
  <si>
    <t>Quintana Roo</t>
  </si>
  <si>
    <t>(-)Yucatan</t>
  </si>
  <si>
    <t xml:space="preserve">North Island </t>
  </si>
  <si>
    <t xml:space="preserve">Great Barrier Island </t>
  </si>
  <si>
    <t xml:space="preserve">Waiheke Island </t>
  </si>
  <si>
    <t xml:space="preserve">Makatana Island </t>
  </si>
  <si>
    <t xml:space="preserve">Little Barrier Island </t>
  </si>
  <si>
    <t xml:space="preserve">Rangitoto Island </t>
  </si>
  <si>
    <t xml:space="preserve">Kapiti Island </t>
  </si>
  <si>
    <t xml:space="preserve">Kawau Island </t>
  </si>
  <si>
    <t xml:space="preserve">Ponui Island </t>
  </si>
  <si>
    <t xml:space="preserve">Great Mercury Island </t>
  </si>
  <si>
    <t xml:space="preserve">Motutapu Island </t>
  </si>
  <si>
    <t xml:space="preserve">Mayor Island </t>
  </si>
  <si>
    <t xml:space="preserve">Motiti Island </t>
  </si>
  <si>
    <t>Small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</si>
</sst>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4" t="s">
        <v>19</v>
      </c>
      <c r="B1" s="34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 t="shared" ref="C42:C51" si="0"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 t="shared" si="0"/>
        <v>20880554.319000002</v>
      </c>
    </row>
    <row r="44" spans="1:7" x14ac:dyDescent="0.55000000000000004">
      <c r="A44" t="s">
        <v>70</v>
      </c>
      <c r="B44" s="13">
        <v>0.106</v>
      </c>
      <c r="C44" s="15">
        <f t="shared" si="0"/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 t="shared" si="0"/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si="0"/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 t="shared" si="0"/>
        <v>131324241</v>
      </c>
    </row>
    <row r="56" spans="1:3" x14ac:dyDescent="0.55000000000000004">
      <c r="A56" s="34" t="s">
        <v>70</v>
      </c>
      <c r="B56" s="34"/>
      <c r="C56" s="34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>B60*$C$63</f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>B61*$C$63</f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>B62*$C$63</f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topLeftCell="A84" zoomScale="93" workbookViewId="0">
      <selection activeCell="C52" sqref="C5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663.58850368785534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413896.60056657222</v>
      </c>
    </row>
    <row r="37" spans="1:11" x14ac:dyDescent="0.55000000000000004">
      <c r="A37" t="s">
        <v>117</v>
      </c>
      <c r="B37" s="15">
        <f>B36+C37</f>
        <v>415896.60056657222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3.6523501224359127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14134000</v>
      </c>
      <c r="D42" s="1"/>
      <c r="E42" s="12">
        <f t="shared" si="0"/>
        <v>33.984408578347065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34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9737000</v>
      </c>
      <c r="D43" s="21"/>
      <c r="E43" s="22">
        <f t="shared" si="0"/>
        <v>23.412069218010853</v>
      </c>
      <c r="F43" s="23">
        <f t="shared" si="1"/>
        <v>23</v>
      </c>
      <c r="G43" s="20">
        <f t="shared" si="3"/>
        <v>23.49468024894146</v>
      </c>
      <c r="H43" s="20">
        <f t="shared" si="2"/>
        <v>23</v>
      </c>
      <c r="I43" s="20"/>
      <c r="J43" s="20"/>
      <c r="K43" s="24">
        <f>E148*0.15+E151*0.175</f>
        <v>4199400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28.879774404593647</v>
      </c>
      <c r="F44" s="15">
        <f t="shared" si="1"/>
        <v>28</v>
      </c>
      <c r="G44">
        <f t="shared" si="3"/>
        <v>28.495613697550013</v>
      </c>
      <c r="H44">
        <f t="shared" si="2"/>
        <v>29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3346000</v>
      </c>
      <c r="D45" s="21"/>
      <c r="E45" s="22">
        <f t="shared" si="0"/>
        <v>8.0452689332920109</v>
      </c>
      <c r="F45" s="23">
        <f t="shared" si="1"/>
        <v>8</v>
      </c>
      <c r="G45" s="20">
        <f t="shared" si="3"/>
        <v>8.4852813742385695</v>
      </c>
      <c r="H45" s="20">
        <f t="shared" si="2"/>
        <v>8</v>
      </c>
      <c r="I45" s="20"/>
      <c r="J45" s="20"/>
      <c r="K45" s="24">
        <f>E148*0.1</f>
        <v>1978500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20.877785459585933</v>
      </c>
      <c r="F46" s="15">
        <f t="shared" si="1"/>
        <v>20</v>
      </c>
      <c r="G46">
        <f t="shared" si="3"/>
        <v>20.493901531919196</v>
      </c>
      <c r="H46">
        <f t="shared" si="2"/>
        <v>21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11.486028001893585</v>
      </c>
      <c r="F47" s="23">
        <f t="shared" si="1"/>
        <v>11</v>
      </c>
      <c r="G47" s="20">
        <f t="shared" si="3"/>
        <v>11.489125293076057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21.683274130432562</v>
      </c>
      <c r="F48" s="15">
        <f t="shared" si="1"/>
        <v>21</v>
      </c>
      <c r="G48">
        <f t="shared" si="3"/>
        <v>21.494185260204677</v>
      </c>
      <c r="H48">
        <f t="shared" si="2"/>
        <v>22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4.1933499759896193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18641000</v>
      </c>
      <c r="D50" s="1"/>
      <c r="E50" s="12">
        <f t="shared" si="0"/>
        <v>44.821236755976201</v>
      </c>
      <c r="F50" s="15">
        <f t="shared" si="1"/>
        <v>44</v>
      </c>
      <c r="G50">
        <f t="shared" si="3"/>
        <v>44.497190922573978</v>
      </c>
      <c r="H50">
        <f t="shared" si="2"/>
        <v>45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27739000</v>
      </c>
      <c r="D51" s="21"/>
      <c r="E51" s="22">
        <f t="shared" si="0"/>
        <v>66.696866389894524</v>
      </c>
      <c r="F51" s="23">
        <f t="shared" si="1"/>
        <v>66</v>
      </c>
      <c r="G51" s="20">
        <f t="shared" si="3"/>
        <v>66.498120274185197</v>
      </c>
      <c r="H51" s="20">
        <f t="shared" si="2"/>
        <v>67</v>
      </c>
      <c r="I51" s="20"/>
      <c r="J51" s="20"/>
      <c r="K51" s="24">
        <f>E148*0.75+E158+E190</f>
        <v>21289750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30.081996301379661</v>
      </c>
      <c r="F52" s="15">
        <f t="shared" si="1"/>
        <v>30</v>
      </c>
      <c r="G52">
        <f t="shared" si="3"/>
        <v>30.495901363953813</v>
      </c>
      <c r="H52">
        <f t="shared" si="2"/>
        <v>30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2.6400792853420882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1247000</v>
      </c>
      <c r="D54" s="1"/>
      <c r="E54" s="12">
        <f t="shared" si="0"/>
        <v>2.9983414105843207</v>
      </c>
      <c r="F54" s="15">
        <f t="shared" si="1"/>
        <v>2</v>
      </c>
      <c r="G54">
        <f t="shared" si="3"/>
        <v>2.4494897427831779</v>
      </c>
      <c r="H54">
        <f t="shared" si="2"/>
        <v>3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22.652264979242091</v>
      </c>
      <c r="F55" s="23">
        <f t="shared" si="1"/>
        <v>22</v>
      </c>
      <c r="G55" s="20">
        <f t="shared" si="3"/>
        <v>22.494443758403985</v>
      </c>
      <c r="H55" s="20">
        <f t="shared" si="2"/>
        <v>23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25.198570956634871</v>
      </c>
      <c r="F56" s="15">
        <f t="shared" si="1"/>
        <v>25</v>
      </c>
      <c r="G56">
        <f t="shared" si="3"/>
        <v>25.495097567963924</v>
      </c>
      <c r="H56">
        <f t="shared" si="2"/>
        <v>25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20456000</v>
      </c>
      <c r="D57" s="21"/>
      <c r="E57" s="22">
        <f t="shared" si="0"/>
        <v>49.185302241309437</v>
      </c>
      <c r="F57" s="23">
        <f t="shared" si="1"/>
        <v>49</v>
      </c>
      <c r="G57" s="20">
        <f t="shared" si="3"/>
        <v>49.497474683058329</v>
      </c>
      <c r="H57" s="20">
        <f t="shared" si="2"/>
        <v>49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21.885247409092614</v>
      </c>
      <c r="F58" s="15">
        <f t="shared" si="1"/>
        <v>21</v>
      </c>
      <c r="G58">
        <f t="shared" si="3"/>
        <v>21.494185260204677</v>
      </c>
      <c r="H58">
        <f t="shared" si="2"/>
        <v>22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12.988805372876104</v>
      </c>
      <c r="F59" s="23">
        <f t="shared" si="1"/>
        <v>12</v>
      </c>
      <c r="G59" s="20">
        <f t="shared" si="3"/>
        <v>12.489995996796797</v>
      </c>
      <c r="H59" s="20">
        <f t="shared" si="2"/>
        <v>13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16.357431127670516</v>
      </c>
      <c r="F60" s="15">
        <f t="shared" si="1"/>
        <v>16</v>
      </c>
      <c r="G60">
        <f t="shared" si="3"/>
        <v>16.492422502470642</v>
      </c>
      <c r="H60">
        <f t="shared" si="2"/>
        <v>16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3.6090701341516165</v>
      </c>
      <c r="F61" s="23">
        <f t="shared" si="1"/>
        <v>3</v>
      </c>
      <c r="G61" s="20">
        <f t="shared" si="3"/>
        <v>3.4641016151377544</v>
      </c>
      <c r="H61" s="20">
        <f t="shared" si="2"/>
        <v>4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27.922805774751978</v>
      </c>
      <c r="F62" s="15">
        <f t="shared" si="1"/>
        <v>27</v>
      </c>
      <c r="G62">
        <f t="shared" si="3"/>
        <v>27.495454169735041</v>
      </c>
      <c r="H62">
        <f t="shared" si="2"/>
        <v>28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7381000</v>
      </c>
      <c r="D63" s="21"/>
      <c r="E63" s="22">
        <f t="shared" si="0"/>
        <v>17.747199640355149</v>
      </c>
      <c r="F63" s="23">
        <f t="shared" si="1"/>
        <v>17</v>
      </c>
      <c r="G63" s="20">
        <f t="shared" si="3"/>
        <v>17.4928556845359</v>
      </c>
      <c r="H63" s="20">
        <f t="shared" si="2"/>
        <v>18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16703000</v>
      </c>
      <c r="D64" s="1"/>
      <c r="E64" s="12">
        <f t="shared" si="0"/>
        <v>40.161424684033612</v>
      </c>
      <c r="F64" s="15">
        <f t="shared" si="1"/>
        <v>40</v>
      </c>
      <c r="G64">
        <f t="shared" si="3"/>
        <v>40.496913462633174</v>
      </c>
      <c r="H64">
        <f t="shared" si="2"/>
        <v>40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16.576235512885571</v>
      </c>
      <c r="F65" s="23">
        <f t="shared" si="1"/>
        <v>16</v>
      </c>
      <c r="G65" s="20">
        <f t="shared" si="3"/>
        <v>16.492422502470642</v>
      </c>
      <c r="H65" s="20">
        <f t="shared" si="2"/>
        <v>17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7.275846919348961</v>
      </c>
      <c r="F66" s="15">
        <f t="shared" si="1"/>
        <v>7</v>
      </c>
      <c r="G66">
        <f t="shared" si="3"/>
        <v>7.4833147735478827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20.586847760563717</v>
      </c>
      <c r="F67" s="23">
        <f t="shared" si="1"/>
        <v>20</v>
      </c>
      <c r="G67" s="20">
        <f t="shared" si="3"/>
        <v>20.493901531919196</v>
      </c>
      <c r="H67" s="20">
        <f t="shared" si="2"/>
        <v>21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9.4807218780545117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12.351627767579515</v>
      </c>
      <c r="F69" s="23">
        <f t="shared" si="1"/>
        <v>12</v>
      </c>
      <c r="G69" s="20">
        <f t="shared" si="3"/>
        <v>12.489995996796797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1634000</v>
      </c>
      <c r="D70" s="1"/>
      <c r="E70" s="12">
        <f t="shared" si="0"/>
        <v>3.9288611586966962</v>
      </c>
      <c r="F70" s="15">
        <f t="shared" si="1"/>
        <v>3</v>
      </c>
      <c r="G70">
        <f t="shared" si="3"/>
        <v>3.4641016151377544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18.805154909526845</v>
      </c>
      <c r="F71" s="23">
        <f t="shared" si="1"/>
        <v>18</v>
      </c>
      <c r="G71" s="20">
        <f t="shared" si="3"/>
        <v>18.493242008906929</v>
      </c>
      <c r="H71" s="20">
        <f t="shared" si="2"/>
        <v>19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2.0966749879948097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11.81062791402581</v>
      </c>
      <c r="F73" s="23">
        <f t="shared" si="1"/>
        <v>11</v>
      </c>
      <c r="G73" s="20">
        <f t="shared" si="3"/>
        <v>11.489125293076057</v>
      </c>
      <c r="H73" s="20">
        <f t="shared" si="2"/>
        <v>12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4.5275676632961313</v>
      </c>
      <c r="F74" s="15">
        <f t="shared" si="1"/>
        <v>4</v>
      </c>
      <c r="G74">
        <f t="shared" si="3"/>
        <v>4.4721359549995796</v>
      </c>
      <c r="H74">
        <f t="shared" si="2"/>
        <v>5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8.2376244367777733</v>
      </c>
      <c r="F75" s="23">
        <f t="shared" si="1"/>
        <v>8</v>
      </c>
      <c r="G75" s="20">
        <f t="shared" si="3"/>
        <v>8.4852813742385695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19.966501261822135</v>
      </c>
      <c r="F76" s="15">
        <f t="shared" si="1"/>
        <v>19</v>
      </c>
      <c r="G76">
        <f t="shared" si="3"/>
        <v>19.493588689617926</v>
      </c>
      <c r="H76">
        <f t="shared" si="2"/>
        <v>20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7.4561802038668636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2.5679459715349275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8.4924954788964087</v>
      </c>
      <c r="F79" s="23">
        <f t="shared" si="1"/>
        <v>8</v>
      </c>
      <c r="G79" s="20">
        <f t="shared" si="3"/>
        <v>8.4852813742385695</v>
      </c>
      <c r="H79" s="20">
        <f t="shared" si="2"/>
        <v>9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2.4789815511727626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3.416714630665854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0.92571086052523133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0.46165320836582968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292211000</v>
      </c>
      <c r="D84" s="7"/>
      <c r="E84" s="7">
        <f>SUM(E41:E83)</f>
        <v>702.60492536347647</v>
      </c>
      <c r="F84" s="7"/>
      <c r="G84" s="7"/>
      <c r="H84" s="7">
        <f>SUM(H41:H83)</f>
        <v>705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68.073868103389913</v>
      </c>
      <c r="C86" s="12">
        <f>$C$84/C32</f>
        <v>63.287564248740189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44729000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52340000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50853000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47350000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41407000</v>
      </c>
    </row>
    <row r="97" spans="1:13" x14ac:dyDescent="0.55000000000000004">
      <c r="C97" s="1">
        <f>SUM(C91:C96)</f>
        <v>292211000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12070436</v>
      </c>
      <c r="J102" s="11">
        <f t="shared" si="4"/>
        <v>1187256</v>
      </c>
      <c r="K102" s="11">
        <f t="shared" si="4"/>
        <v>791504</v>
      </c>
      <c r="L102" s="11">
        <f t="shared" si="4"/>
        <v>14134</v>
      </c>
      <c r="M102" s="11">
        <f t="shared" si="4"/>
        <v>70670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8490664</v>
      </c>
      <c r="J103" s="11">
        <f t="shared" si="4"/>
        <v>613431</v>
      </c>
      <c r="K103" s="11">
        <f t="shared" si="4"/>
        <v>593957</v>
      </c>
      <c r="L103" s="11">
        <f t="shared" si="4"/>
        <v>9737</v>
      </c>
      <c r="M103" s="11">
        <f t="shared" si="4"/>
        <v>29211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2921058</v>
      </c>
      <c r="J105" s="11">
        <f t="shared" si="4"/>
        <v>130494</v>
      </c>
      <c r="K105" s="11">
        <f t="shared" si="4"/>
        <v>277718</v>
      </c>
      <c r="L105" s="11">
        <f t="shared" si="4"/>
        <v>3346</v>
      </c>
      <c r="M105" s="11">
        <f t="shared" si="4"/>
        <v>13384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9395064</v>
      </c>
      <c r="J110" s="11">
        <f t="shared" si="4"/>
        <v>8127476</v>
      </c>
      <c r="K110" s="11">
        <f t="shared" si="4"/>
        <v>876127</v>
      </c>
      <c r="L110" s="11">
        <f t="shared" si="4"/>
        <v>74564</v>
      </c>
      <c r="M110" s="11">
        <f t="shared" si="4"/>
        <v>167769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21691898</v>
      </c>
      <c r="J111" s="11">
        <f t="shared" si="4"/>
        <v>3300941</v>
      </c>
      <c r="K111" s="11">
        <f t="shared" si="4"/>
        <v>2191381</v>
      </c>
      <c r="L111" s="11">
        <f t="shared" si="4"/>
        <v>83217</v>
      </c>
      <c r="M111" s="11">
        <f t="shared" si="4"/>
        <v>471563.00000000006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1200861</v>
      </c>
      <c r="J114" s="11">
        <f t="shared" si="4"/>
        <v>8729</v>
      </c>
      <c r="K114" s="11">
        <f t="shared" si="4"/>
        <v>29928</v>
      </c>
      <c r="L114" s="11">
        <f t="shared" si="4"/>
        <v>2494</v>
      </c>
      <c r="M114" s="11">
        <f t="shared" si="4"/>
        <v>4988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16589816.000000002</v>
      </c>
      <c r="J117" s="11">
        <f t="shared" ref="J117:J143" si="7">C117*$C57</f>
        <v>1472832</v>
      </c>
      <c r="K117" s="11">
        <f t="shared" ref="K117:K143" si="8">D117*$C57</f>
        <v>2025144</v>
      </c>
      <c r="L117" s="11">
        <f t="shared" ref="L117:L142" si="9">E117*$C57</f>
        <v>40912</v>
      </c>
      <c r="M117" s="11">
        <f t="shared" ref="M117:M143" si="10">F117*$C57</f>
        <v>327296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7909638</v>
      </c>
      <c r="J118" s="11">
        <f t="shared" si="7"/>
        <v>555222</v>
      </c>
      <c r="K118" s="11">
        <f t="shared" si="8"/>
        <v>491508</v>
      </c>
      <c r="L118" s="11">
        <f t="shared" si="9"/>
        <v>27306</v>
      </c>
      <c r="M118" s="11">
        <f t="shared" si="10"/>
        <v>118326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5809762</v>
      </c>
      <c r="J120" s="11">
        <f t="shared" si="7"/>
        <v>585058</v>
      </c>
      <c r="K120" s="11">
        <f t="shared" si="8"/>
        <v>306135</v>
      </c>
      <c r="L120" s="11">
        <f t="shared" si="9"/>
        <v>6803</v>
      </c>
      <c r="M120" s="11">
        <f t="shared" si="10"/>
        <v>95242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6266469</v>
      </c>
      <c r="J123" s="11">
        <f t="shared" si="7"/>
        <v>310002</v>
      </c>
      <c r="K123" s="11">
        <f t="shared" si="8"/>
        <v>583099</v>
      </c>
      <c r="L123" s="11">
        <f t="shared" si="9"/>
        <v>66429</v>
      </c>
      <c r="M123" s="11">
        <f t="shared" si="10"/>
        <v>155001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10405969</v>
      </c>
      <c r="J124" s="11">
        <f t="shared" si="7"/>
        <v>4409592</v>
      </c>
      <c r="K124" s="11">
        <f t="shared" si="8"/>
        <v>1386349</v>
      </c>
      <c r="L124" s="11">
        <f t="shared" si="9"/>
        <v>66812</v>
      </c>
      <c r="M124" s="11">
        <f t="shared" si="10"/>
        <v>434278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1426482</v>
      </c>
      <c r="J130" s="11">
        <f t="shared" si="7"/>
        <v>122550</v>
      </c>
      <c r="K130" s="11">
        <f t="shared" si="8"/>
        <v>32680</v>
      </c>
      <c r="L130" s="11">
        <f t="shared" si="9"/>
        <v>21242</v>
      </c>
      <c r="M130" s="11">
        <f t="shared" si="10"/>
        <v>31046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>B140*$C80</f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 t="shared" ref="B144:G144" si="11">I144/$N144</f>
        <v>0.68634251104708854</v>
      </c>
      <c r="C144" s="30">
        <f t="shared" si="11"/>
        <v>0.21861443877703959</v>
      </c>
      <c r="D144" s="30">
        <f t="shared" si="11"/>
        <v>7.2931716999118823E-2</v>
      </c>
      <c r="E144" s="30">
        <f t="shared" si="11"/>
        <v>7.2521096698946871E-3</v>
      </c>
      <c r="F144" s="30">
        <f t="shared" si="11"/>
        <v>1.485922350685835E-2</v>
      </c>
      <c r="G144" s="30">
        <f t="shared" si="11"/>
        <v>1</v>
      </c>
      <c r="I144" s="28">
        <f>SUM(I101:I143)</f>
        <v>200548861</v>
      </c>
      <c r="J144" s="28">
        <f>SUM(J101:J143)</f>
        <v>63879005</v>
      </c>
      <c r="K144" s="28">
        <f>SUM(K101:K143)</f>
        <v>21310603</v>
      </c>
      <c r="L144" s="28">
        <f>SUM(L101:L143)</f>
        <v>2119062</v>
      </c>
      <c r="M144" s="28">
        <f>SUM(M101:M143)</f>
        <v>4341856</v>
      </c>
      <c r="N144" s="28">
        <f>SUM(I144:M144)</f>
        <v>292199387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19785000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H7" sqref="H7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C1E8-034C-4708-916A-8C982E1C82B4}">
  <dimension ref="A1:D9"/>
  <sheetViews>
    <sheetView workbookViewId="0">
      <selection activeCell="D12" sqref="D12"/>
    </sheetView>
  </sheetViews>
  <sheetFormatPr defaultRowHeight="14.4" x14ac:dyDescent="0.55000000000000004"/>
  <cols>
    <col min="2" max="2" width="9.20703125" bestFit="1" customWidth="1"/>
  </cols>
  <sheetData>
    <row r="1" spans="1:4" x14ac:dyDescent="0.55000000000000004">
      <c r="A1" t="s">
        <v>349</v>
      </c>
    </row>
    <row r="2" spans="1:4" x14ac:dyDescent="0.55000000000000004">
      <c r="A2" t="s">
        <v>347</v>
      </c>
      <c r="B2" s="1">
        <v>1972550</v>
      </c>
    </row>
    <row r="3" spans="1:4" x14ac:dyDescent="0.55000000000000004">
      <c r="A3" t="s">
        <v>348</v>
      </c>
      <c r="B3" s="1">
        <f>-buenaventura!B2</f>
        <v>-1054549</v>
      </c>
    </row>
    <row r="4" spans="1:4" x14ac:dyDescent="0.55000000000000004">
      <c r="C4" t="s">
        <v>350</v>
      </c>
      <c r="D4" s="1">
        <v>39524</v>
      </c>
    </row>
    <row r="5" spans="1:4" x14ac:dyDescent="0.55000000000000004">
      <c r="C5" t="s">
        <v>351</v>
      </c>
      <c r="D5" s="1">
        <v>57507</v>
      </c>
    </row>
    <row r="6" spans="1:4" x14ac:dyDescent="0.55000000000000004">
      <c r="C6" s="3" t="s">
        <v>352</v>
      </c>
      <c r="D6" s="31">
        <v>44705.2</v>
      </c>
    </row>
    <row r="7" spans="1:4" x14ac:dyDescent="0.55000000000000004">
      <c r="A7" s="3" t="s">
        <v>353</v>
      </c>
      <c r="B7" s="6">
        <f>-SUM(D4:D6)</f>
        <v>-141736.20000000001</v>
      </c>
    </row>
    <row r="8" spans="1:4" ht="14.7" thickBot="1" x14ac:dyDescent="0.6">
      <c r="A8" s="4" t="s">
        <v>22</v>
      </c>
      <c r="B8" s="5">
        <f>SUM(B2:B7)</f>
        <v>776264.8</v>
      </c>
    </row>
    <row r="9" spans="1:4" ht="14.7" thickTop="1" x14ac:dyDescent="0.55000000000000004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K31" sqref="K31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312</v>
      </c>
      <c r="E1" s="1">
        <v>9596961</v>
      </c>
    </row>
    <row r="2" spans="1:8" x14ac:dyDescent="0.55000000000000004">
      <c r="D2" t="s">
        <v>313</v>
      </c>
      <c r="E2" s="2">
        <v>2754.97</v>
      </c>
    </row>
    <row r="3" spans="1:8" x14ac:dyDescent="0.55000000000000004">
      <c r="D3" s="3" t="s">
        <v>314</v>
      </c>
      <c r="E3" s="31">
        <v>115.3</v>
      </c>
    </row>
    <row r="4" spans="1:8" x14ac:dyDescent="0.55000000000000004">
      <c r="A4" t="s">
        <v>315</v>
      </c>
      <c r="B4" s="1">
        <f>SUM(E1:E3)</f>
        <v>9599831.2700000014</v>
      </c>
    </row>
    <row r="5" spans="1:8" x14ac:dyDescent="0.55000000000000004">
      <c r="D5" t="s">
        <v>316</v>
      </c>
      <c r="E5" s="1">
        <v>89041.2</v>
      </c>
    </row>
    <row r="6" spans="1:8" x14ac:dyDescent="0.55000000000000004">
      <c r="D6" t="s">
        <v>317</v>
      </c>
      <c r="E6" s="1">
        <v>155801.29999999999</v>
      </c>
    </row>
    <row r="7" spans="1:8" x14ac:dyDescent="0.55000000000000004">
      <c r="D7" s="3" t="s">
        <v>318</v>
      </c>
      <c r="E7" s="6">
        <v>11731.5</v>
      </c>
    </row>
    <row r="8" spans="1:8" x14ac:dyDescent="0.55000000000000004">
      <c r="A8" t="s">
        <v>319</v>
      </c>
      <c r="B8" s="1">
        <f>SUM(E5:E7)</f>
        <v>256574</v>
      </c>
    </row>
    <row r="9" spans="1:8" x14ac:dyDescent="0.55000000000000004">
      <c r="D9" t="s">
        <v>320</v>
      </c>
      <c r="E9" s="1">
        <v>36271</v>
      </c>
    </row>
    <row r="10" spans="1:8" x14ac:dyDescent="0.55000000000000004">
      <c r="D10" t="s">
        <v>321</v>
      </c>
      <c r="E10" s="1">
        <v>164673</v>
      </c>
    </row>
    <row r="11" spans="1:8" x14ac:dyDescent="0.55000000000000004">
      <c r="D11" t="s">
        <v>322</v>
      </c>
      <c r="E11" s="1">
        <v>361908</v>
      </c>
    </row>
    <row r="12" spans="1:8" x14ac:dyDescent="0.55000000000000004">
      <c r="G12" t="s">
        <v>323</v>
      </c>
      <c r="H12" s="1">
        <v>787633</v>
      </c>
    </row>
    <row r="13" spans="1:8" x14ac:dyDescent="0.55000000000000004">
      <c r="G13" t="s">
        <v>324</v>
      </c>
      <c r="H13" s="1">
        <v>-158517.79999999999</v>
      </c>
    </row>
    <row r="14" spans="1:8" x14ac:dyDescent="0.55000000000000004">
      <c r="G14" s="3" t="s">
        <v>325</v>
      </c>
      <c r="H14" s="6">
        <v>-167200</v>
      </c>
    </row>
    <row r="15" spans="1:8" x14ac:dyDescent="0.55000000000000004">
      <c r="D15" s="3" t="s">
        <v>326</v>
      </c>
      <c r="E15" s="6">
        <f>SUM(H12:H14)</f>
        <v>461915.19999999995</v>
      </c>
    </row>
    <row r="16" spans="1:8" x14ac:dyDescent="0.55000000000000004">
      <c r="A16" t="s">
        <v>327</v>
      </c>
      <c r="B16" s="1">
        <f>SUM(E9:E15)</f>
        <v>1024767.2</v>
      </c>
    </row>
    <row r="17" spans="1:5" x14ac:dyDescent="0.55000000000000004">
      <c r="B17" s="1"/>
      <c r="D17" t="s">
        <v>344</v>
      </c>
      <c r="E17" s="1">
        <v>431892</v>
      </c>
    </row>
    <row r="18" spans="1:5" x14ac:dyDescent="0.55000000000000004">
      <c r="B18" s="1"/>
      <c r="D18" s="3" t="s">
        <v>345</v>
      </c>
      <c r="E18" s="6">
        <v>351334</v>
      </c>
    </row>
    <row r="19" spans="1:5" x14ac:dyDescent="0.55000000000000004">
      <c r="A19" t="s">
        <v>346</v>
      </c>
      <c r="B19" s="1">
        <f>SUM(E17:E18)</f>
        <v>783226</v>
      </c>
    </row>
    <row r="20" spans="1:5" x14ac:dyDescent="0.55000000000000004">
      <c r="A20" t="s">
        <v>328</v>
      </c>
      <c r="B20" s="1">
        <v>1564116</v>
      </c>
    </row>
    <row r="21" spans="1:5" x14ac:dyDescent="0.55000000000000004">
      <c r="A21" t="s">
        <v>329</v>
      </c>
      <c r="B21" s="1">
        <v>168604</v>
      </c>
    </row>
    <row r="22" spans="1:5" x14ac:dyDescent="0.55000000000000004">
      <c r="D22" t="s">
        <v>330</v>
      </c>
      <c r="E22" s="1">
        <v>-1664897</v>
      </c>
    </row>
    <row r="23" spans="1:5" x14ac:dyDescent="0.55000000000000004">
      <c r="D23" t="s">
        <v>331</v>
      </c>
      <c r="E23" s="1">
        <v>137222</v>
      </c>
    </row>
    <row r="24" spans="1:5" x14ac:dyDescent="0.55000000000000004">
      <c r="D24" t="s">
        <v>332</v>
      </c>
      <c r="E24" s="1">
        <v>73485</v>
      </c>
    </row>
    <row r="25" spans="1:5" x14ac:dyDescent="0.55000000000000004">
      <c r="D25" t="s">
        <v>333</v>
      </c>
      <c r="E25" s="1">
        <v>14577</v>
      </c>
    </row>
    <row r="26" spans="1:5" x14ac:dyDescent="0.55000000000000004">
      <c r="D26" s="3" t="s">
        <v>334</v>
      </c>
      <c r="E26" s="6">
        <v>742</v>
      </c>
    </row>
    <row r="27" spans="1:5" x14ac:dyDescent="0.55000000000000004">
      <c r="A27" t="s">
        <v>335</v>
      </c>
      <c r="B27" s="1">
        <f>SUM(E22:E26)</f>
        <v>-1438871</v>
      </c>
    </row>
    <row r="28" spans="1:5" x14ac:dyDescent="0.55000000000000004">
      <c r="D28" t="s">
        <v>336</v>
      </c>
      <c r="E28" s="1">
        <v>-474300</v>
      </c>
    </row>
    <row r="29" spans="1:5" x14ac:dyDescent="0.55000000000000004">
      <c r="D29" t="s">
        <v>337</v>
      </c>
      <c r="E29" s="1">
        <v>-147681.37</v>
      </c>
    </row>
    <row r="30" spans="1:5" x14ac:dyDescent="0.55000000000000004">
      <c r="D30" t="s">
        <v>338</v>
      </c>
      <c r="E30" s="1">
        <v>-60261</v>
      </c>
    </row>
    <row r="31" spans="1:5" x14ac:dyDescent="0.55000000000000004">
      <c r="D31" t="s">
        <v>339</v>
      </c>
      <c r="E31" s="2">
        <v>-7423.42</v>
      </c>
    </row>
    <row r="32" spans="1:5" x14ac:dyDescent="0.55000000000000004">
      <c r="D32" t="s">
        <v>340</v>
      </c>
      <c r="E32" s="1">
        <v>-204887</v>
      </c>
    </row>
    <row r="33" spans="1:5" x14ac:dyDescent="0.55000000000000004">
      <c r="D33" t="s">
        <v>341</v>
      </c>
      <c r="E33" s="1">
        <v>-74246</v>
      </c>
    </row>
    <row r="34" spans="1:5" x14ac:dyDescent="0.55000000000000004">
      <c r="D34" s="3" t="s">
        <v>342</v>
      </c>
      <c r="E34" s="6">
        <v>-49384</v>
      </c>
    </row>
    <row r="35" spans="1:5" x14ac:dyDescent="0.55000000000000004">
      <c r="A35" s="3" t="s">
        <v>343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FEA7-DBE6-4CF3-9F6A-52AE97FDD8BB}">
  <dimension ref="A1:E19"/>
  <sheetViews>
    <sheetView tabSelected="1" workbookViewId="0">
      <selection activeCell="G16" sqref="G16"/>
    </sheetView>
  </sheetViews>
  <sheetFormatPr defaultRowHeight="14.4" x14ac:dyDescent="0.55000000000000004"/>
  <sheetData>
    <row r="1" spans="1:5" x14ac:dyDescent="0.55000000000000004">
      <c r="A1" s="32" t="s">
        <v>354</v>
      </c>
      <c r="B1" s="1">
        <v>113729</v>
      </c>
    </row>
    <row r="2" spans="1:5" x14ac:dyDescent="0.55000000000000004">
      <c r="D2" s="32" t="s">
        <v>355</v>
      </c>
      <c r="E2">
        <v>285</v>
      </c>
    </row>
    <row r="3" spans="1:5" x14ac:dyDescent="0.55000000000000004">
      <c r="D3" s="32" t="s">
        <v>356</v>
      </c>
      <c r="E3">
        <v>92</v>
      </c>
    </row>
    <row r="4" spans="1:5" x14ac:dyDescent="0.55000000000000004">
      <c r="D4" s="32" t="s">
        <v>357</v>
      </c>
      <c r="E4">
        <v>60</v>
      </c>
    </row>
    <row r="5" spans="1:5" x14ac:dyDescent="0.55000000000000004">
      <c r="D5" s="32" t="s">
        <v>358</v>
      </c>
      <c r="E5">
        <v>28</v>
      </c>
    </row>
    <row r="6" spans="1:5" x14ac:dyDescent="0.55000000000000004">
      <c r="D6" s="32" t="s">
        <v>359</v>
      </c>
      <c r="E6">
        <v>23.1</v>
      </c>
    </row>
    <row r="7" spans="1:5" x14ac:dyDescent="0.55000000000000004">
      <c r="D7" s="32" t="s">
        <v>360</v>
      </c>
      <c r="E7">
        <v>19.7</v>
      </c>
    </row>
    <row r="8" spans="1:5" x14ac:dyDescent="0.55000000000000004">
      <c r="D8" s="32" t="s">
        <v>361</v>
      </c>
      <c r="E8">
        <v>19</v>
      </c>
    </row>
    <row r="9" spans="1:5" x14ac:dyDescent="0.55000000000000004">
      <c r="D9" s="32" t="s">
        <v>362</v>
      </c>
      <c r="E9">
        <v>17.7</v>
      </c>
    </row>
    <row r="10" spans="1:5" x14ac:dyDescent="0.55000000000000004">
      <c r="D10" s="32" t="s">
        <v>363</v>
      </c>
      <c r="E10">
        <v>17.2</v>
      </c>
    </row>
    <row r="11" spans="1:5" x14ac:dyDescent="0.55000000000000004">
      <c r="D11" s="32" t="s">
        <v>364</v>
      </c>
      <c r="E11">
        <v>15.1</v>
      </c>
    </row>
    <row r="12" spans="1:5" x14ac:dyDescent="0.55000000000000004">
      <c r="D12" s="32" t="s">
        <v>365</v>
      </c>
      <c r="E12">
        <v>13</v>
      </c>
    </row>
    <row r="13" spans="1:5" x14ac:dyDescent="0.55000000000000004">
      <c r="D13" s="33" t="s">
        <v>366</v>
      </c>
      <c r="E13" s="3">
        <v>10</v>
      </c>
    </row>
    <row r="14" spans="1:5" x14ac:dyDescent="0.55000000000000004">
      <c r="A14" t="s">
        <v>367</v>
      </c>
      <c r="B14">
        <f>SUM(E2:E13)</f>
        <v>599.80000000000007</v>
      </c>
      <c r="D14" s="32"/>
    </row>
    <row r="15" spans="1:5" ht="14.7" thickBot="1" x14ac:dyDescent="0.6">
      <c r="A15" s="4" t="s">
        <v>22</v>
      </c>
      <c r="B15" s="5">
        <f>SUM(B1:B14)</f>
        <v>114328.8</v>
      </c>
    </row>
    <row r="16" spans="1:5" ht="14.7" thickTop="1" x14ac:dyDescent="0.55000000000000004"/>
    <row r="17" spans="1:2" x14ac:dyDescent="0.55000000000000004">
      <c r="A17" t="s">
        <v>63</v>
      </c>
      <c r="B17" s="1">
        <v>1520000</v>
      </c>
    </row>
    <row r="19" spans="1:2" x14ac:dyDescent="0.55000000000000004">
      <c r="A19" t="s">
        <v>64</v>
      </c>
      <c r="B19" s="8">
        <f>B17/B15</f>
        <v>13.294987789603319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france</vt:lpstr>
      <vt:lpstr>germany</vt:lpstr>
      <vt:lpstr>batavian republic</vt:lpstr>
      <vt:lpstr>united states</vt:lpstr>
      <vt:lpstr>buenaventura</vt:lpstr>
      <vt:lpstr>mexico</vt:lpstr>
      <vt:lpstr>China</vt:lpstr>
      <vt:lpstr>new zealand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2024-11-15T14:35:27Z</dcterms:modified>
</cp:coreProperties>
</file>