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5.1 - Binary Cuts\Full discrete - binary cuts\relaxed design + binary cuts + all tech + up alg\"/>
    </mc:Choice>
  </mc:AlternateContent>
  <xr:revisionPtr revIDLastSave="0" documentId="13_ncr:1_{A492D733-1249-45B5-B001-D7567D41B543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Guidance" sheetId="4" r:id="rId1"/>
    <sheet name="Res_Scalars" sheetId="1" r:id="rId2"/>
    <sheet name="Irradiance" sheetId="6" r:id="rId3"/>
    <sheet name="Roof_areas_res" sheetId="2" r:id="rId4"/>
    <sheet name="batteries" sheetId="9" r:id="rId5"/>
    <sheet name="Air_temp" sheetId="10" r:id="rId6"/>
    <sheet name="ASHPs" sheetId="11" r:id="rId7"/>
    <sheet name="all_batteries" sheetId="7" r:id="rId8"/>
    <sheet name="Tanks" sheetId="13" r:id="rId9"/>
    <sheet name="Boilers" sheetId="17" r:id="rId10"/>
    <sheet name="HP_Tank_options" sheetId="14" r:id="rId11"/>
    <sheet name="Tank_cost_HP" sheetId="16" r:id="rId12"/>
    <sheet name="Some calculation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9" l="1"/>
  <c r="H4" i="9"/>
  <c r="G4" i="9"/>
  <c r="O5" i="11"/>
  <c r="L5" i="11"/>
  <c r="M5" i="11" s="1"/>
  <c r="M4" i="11"/>
  <c r="M3" i="11"/>
  <c r="M2" i="11"/>
  <c r="F5" i="17" l="1"/>
  <c r="F4" i="17"/>
  <c r="F3" i="17"/>
  <c r="F2" i="17"/>
  <c r="K5" i="13" l="1"/>
  <c r="K4" i="13"/>
  <c r="K3" i="13"/>
  <c r="K2" i="13"/>
  <c r="J3" i="13"/>
  <c r="J4" i="13"/>
  <c r="J5" i="13"/>
  <c r="J2" i="13"/>
  <c r="H2" i="15"/>
  <c r="J2" i="15" s="1"/>
  <c r="J3" i="15"/>
  <c r="H3" i="15"/>
  <c r="C5" i="13"/>
  <c r="C4" i="13"/>
  <c r="C3" i="13"/>
  <c r="C2" i="13"/>
  <c r="J3" i="9"/>
  <c r="I3" i="9"/>
  <c r="H3" i="9"/>
  <c r="G3" i="9"/>
  <c r="J2" i="9"/>
  <c r="I2" i="9"/>
  <c r="H2" i="9"/>
  <c r="G2" i="9"/>
  <c r="G2" i="7"/>
  <c r="G3" i="7"/>
  <c r="G4" i="7"/>
  <c r="G5" i="7"/>
  <c r="J3" i="7"/>
  <c r="J4" i="7"/>
  <c r="J5" i="7"/>
  <c r="H5" i="7"/>
  <c r="I5" i="7"/>
  <c r="H4" i="7"/>
  <c r="I4" i="7"/>
  <c r="H3" i="7"/>
  <c r="I3" i="7"/>
  <c r="I2" i="7"/>
  <c r="H2" i="7"/>
  <c r="J4" i="15" l="1"/>
</calcChain>
</file>

<file path=xl/sharedStrings.xml><?xml version="1.0" encoding="utf-8"?>
<sst xmlns="http://schemas.openxmlformats.org/spreadsheetml/2006/main" count="241" uniqueCount="123">
  <si>
    <t>r</t>
  </si>
  <si>
    <t>n</t>
  </si>
  <si>
    <t>carbon_grid</t>
  </si>
  <si>
    <t>cc_PV</t>
  </si>
  <si>
    <t>n_PV</t>
  </si>
  <si>
    <t>oc_fixed_PV</t>
  </si>
  <si>
    <t>oc_var_PV</t>
  </si>
  <si>
    <t>cc_b</t>
  </si>
  <si>
    <t>n_b</t>
  </si>
  <si>
    <t>panel_area</t>
  </si>
  <si>
    <t>panel_capacity</t>
  </si>
  <si>
    <t>max_capacity_PV</t>
  </si>
  <si>
    <t>Parameter</t>
  </si>
  <si>
    <t>Value</t>
  </si>
  <si>
    <t>Units</t>
  </si>
  <si>
    <t>£/kWh</t>
  </si>
  <si>
    <t>kg/kWh</t>
  </si>
  <si>
    <t>£/panel</t>
  </si>
  <si>
    <t>£/kW-yr</t>
  </si>
  <si>
    <t>£/kW</t>
  </si>
  <si>
    <t>m2</t>
  </si>
  <si>
    <t>kW</t>
  </si>
  <si>
    <t>house</t>
  </si>
  <si>
    <t>area</t>
  </si>
  <si>
    <t>units</t>
  </si>
  <si>
    <t>price_grid_res</t>
  </si>
  <si>
    <t>price_gas_res</t>
  </si>
  <si>
    <t>Parameters.xlsx: Guidance</t>
  </si>
  <si>
    <r>
      <t xml:space="preserve">This spreadsheet contains the necessary inputs for the class </t>
    </r>
    <r>
      <rPr>
        <i/>
        <sz val="11"/>
        <color theme="9" tint="-0.499984740745262"/>
        <rFont val="Calibri"/>
        <family val="2"/>
        <scheme val="minor"/>
      </rPr>
      <t>Seasonal_DES</t>
    </r>
    <r>
      <rPr>
        <sz val="11"/>
        <color theme="9" tint="-0.499984740745262"/>
        <rFont val="Calibri"/>
        <family val="2"/>
        <scheme val="minor"/>
      </rPr>
      <t xml:space="preserve"> and function</t>
    </r>
    <r>
      <rPr>
        <i/>
        <sz val="11"/>
        <color theme="9" tint="-0.499984740745262"/>
        <rFont val="Calibri"/>
        <family val="2"/>
        <scheme val="minor"/>
      </rPr>
      <t xml:space="preserve"> DES_MILP.</t>
    </r>
  </si>
  <si>
    <t>Note that the position of the cells parameters should be kept the same where possible.</t>
  </si>
  <si>
    <t>If you change the position or add any new parameters, please make sure the change the cell reference in the model as well.</t>
  </si>
  <si>
    <t>Irrad</t>
  </si>
  <si>
    <t>m1</t>
  </si>
  <si>
    <t>m3</t>
  </si>
  <si>
    <t>m4</t>
  </si>
  <si>
    <t>round_trip_efficiency</t>
  </si>
  <si>
    <t>Max_DoD</t>
  </si>
  <si>
    <t>Max_SoC</t>
  </si>
  <si>
    <t>type</t>
  </si>
  <si>
    <t>Charge_efficiency</t>
  </si>
  <si>
    <t>Discharge_efficiency</t>
  </si>
  <si>
    <t>c_carbon</t>
  </si>
  <si>
    <t>£/kg</t>
  </si>
  <si>
    <t>Inverter efficiency</t>
  </si>
  <si>
    <t>Export_tariff</t>
  </si>
  <si>
    <t>Gen_tariff</t>
  </si>
  <si>
    <t>inverter PF</t>
  </si>
  <si>
    <t xml:space="preserve">Fixed cost </t>
  </si>
  <si>
    <t>£/yr</t>
  </si>
  <si>
    <t>Cost per unit (£)</t>
  </si>
  <si>
    <t>Capacity (kWh)</t>
  </si>
  <si>
    <t>OM_cost (£/y)</t>
  </si>
  <si>
    <t xml:space="preserve">Max_power (kW) </t>
  </si>
  <si>
    <t>TP2</t>
  </si>
  <si>
    <t>Installation (£)</t>
  </si>
  <si>
    <t>RESU6.5</t>
  </si>
  <si>
    <t>RESU3.3</t>
  </si>
  <si>
    <t>DEB</t>
  </si>
  <si>
    <t>Temp</t>
  </si>
  <si>
    <t>Label</t>
  </si>
  <si>
    <t>Model</t>
  </si>
  <si>
    <r>
      <t>Min temp 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</si>
  <si>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Med1</t>
  </si>
  <si>
    <t>Med2</t>
  </si>
  <si>
    <t>PUZ-WM60VAA(-BS)</t>
  </si>
  <si>
    <t>PUZ-HWM140VHA(-BS)</t>
  </si>
  <si>
    <t>Unit Cost(£)</t>
  </si>
  <si>
    <t xml:space="preserve">Installation Cost (£) </t>
  </si>
  <si>
    <t>Small2</t>
  </si>
  <si>
    <t>PUZ-WM50VHA(-BS)</t>
  </si>
  <si>
    <t>Cascade</t>
  </si>
  <si>
    <t>2*PUZ-HWM140VHA(-BS)</t>
  </si>
  <si>
    <t>S</t>
  </si>
  <si>
    <t>M</t>
  </si>
  <si>
    <t>L</t>
  </si>
  <si>
    <t>EHPT17X-UKHDW</t>
  </si>
  <si>
    <t>EHPT21X-UKHDW</t>
  </si>
  <si>
    <t>EHPT30X-UKHDW</t>
  </si>
  <si>
    <t xml:space="preserve">Charge_efficiency </t>
  </si>
  <si>
    <t>T_min (oC)</t>
  </si>
  <si>
    <t>Min_flow (L/min)</t>
  </si>
  <si>
    <t>Max_flow (L/min)</t>
  </si>
  <si>
    <t>Room_temp</t>
  </si>
  <si>
    <t>Celcius</t>
  </si>
  <si>
    <t>elec_night</t>
  </si>
  <si>
    <t>elec_day</t>
  </si>
  <si>
    <t>Width (m)</t>
  </si>
  <si>
    <t>Height (m)</t>
  </si>
  <si>
    <t>V</t>
  </si>
  <si>
    <t>EHPT15X-UKHDW</t>
  </si>
  <si>
    <t>Volume (m3)</t>
  </si>
  <si>
    <t>Stainless steel</t>
  </si>
  <si>
    <t>Thickness</t>
  </si>
  <si>
    <t>R</t>
  </si>
  <si>
    <t>Insulation</t>
  </si>
  <si>
    <t xml:space="preserve">Thermal Conductivity (W/m K) </t>
  </si>
  <si>
    <t>U</t>
  </si>
  <si>
    <t>Heat loss</t>
  </si>
  <si>
    <t>W</t>
  </si>
  <si>
    <t>U value (kW/m2 K) (if known)</t>
  </si>
  <si>
    <t>Heat Loss (kW)</t>
  </si>
  <si>
    <t>NA</t>
  </si>
  <si>
    <t>General Unit Cost (£)</t>
  </si>
  <si>
    <t>Max Heat (kW)</t>
  </si>
  <si>
    <t>Efficiency</t>
  </si>
  <si>
    <t xml:space="preserve">Cost per unit (£) </t>
  </si>
  <si>
    <t>Installation cost (£)</t>
  </si>
  <si>
    <t>B1</t>
  </si>
  <si>
    <t>Ideal Logic Combi 24</t>
  </si>
  <si>
    <t>B2</t>
  </si>
  <si>
    <t>Potterton Combi Assure 25</t>
  </si>
  <si>
    <t>B3</t>
  </si>
  <si>
    <t>Viessmann Combi Vitodens 050-W</t>
  </si>
  <si>
    <t>B4</t>
  </si>
  <si>
    <t>Viessmann Combi Vitodens 200-W</t>
  </si>
  <si>
    <t>L_cop</t>
  </si>
  <si>
    <t>x0_cop</t>
  </si>
  <si>
    <t>k_cop</t>
  </si>
  <si>
    <t>b_cop</t>
  </si>
  <si>
    <t>a_cap</t>
  </si>
  <si>
    <t>b_cap</t>
  </si>
  <si>
    <t>c_cap</t>
  </si>
  <si>
    <t>d_cap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</si>
</sst>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7" fillId="0" borderId="0" xfId="0" applyFont="1"/>
    <xf numFmtId="0" fontId="0" fillId="0" borderId="0" xfId="0" applyFill="1"/>
    <xf numFmtId="165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5B8DB-D6D1-4CF8-B699-700166FFCA24}">
  <dimension ref="A1:L21"/>
  <sheetViews>
    <sheetView workbookViewId="0">
      <selection activeCell="H13" sqref="H13"/>
    </sheetView>
  </sheetViews>
  <sheetFormatPr defaultRowHeight="14.5" x14ac:dyDescent="0.35"/>
  <sheetData>
    <row r="1" spans="1:12" s="6" customFormat="1" ht="21" x14ac:dyDescent="0.5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5">
      <c r="A3" s="7" t="s">
        <v>28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35">
      <c r="A4" s="7" t="s">
        <v>29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35">
      <c r="A5" s="7" t="s">
        <v>30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83E59-B619-497C-9F37-35E487237066}">
  <dimension ref="A1:F5"/>
  <sheetViews>
    <sheetView workbookViewId="0">
      <selection activeCell="B7" sqref="B7"/>
    </sheetView>
  </sheetViews>
  <sheetFormatPr defaultRowHeight="14.5" x14ac:dyDescent="0.35"/>
  <cols>
    <col min="2" max="2" width="34.36328125" bestFit="1" customWidth="1"/>
    <col min="3" max="3" width="13.36328125" bestFit="1" customWidth="1"/>
    <col min="4" max="4" width="8.6328125" bestFit="1" customWidth="1"/>
    <col min="5" max="5" width="14.7265625" bestFit="1" customWidth="1"/>
    <col min="6" max="6" width="16.7265625" bestFit="1" customWidth="1"/>
  </cols>
  <sheetData>
    <row r="1" spans="1:6" x14ac:dyDescent="0.35">
      <c r="A1" t="s">
        <v>59</v>
      </c>
      <c r="B1" t="s">
        <v>60</v>
      </c>
      <c r="C1" t="s">
        <v>103</v>
      </c>
      <c r="D1" t="s">
        <v>104</v>
      </c>
      <c r="E1" t="s">
        <v>105</v>
      </c>
      <c r="F1" t="s">
        <v>106</v>
      </c>
    </row>
    <row r="2" spans="1:6" x14ac:dyDescent="0.35">
      <c r="A2" t="s">
        <v>107</v>
      </c>
      <c r="B2" t="s">
        <v>108</v>
      </c>
      <c r="C2">
        <v>24</v>
      </c>
      <c r="D2">
        <v>0.94</v>
      </c>
      <c r="E2">
        <v>792</v>
      </c>
      <c r="F2">
        <f>2000*C2/$C$5</f>
        <v>1500</v>
      </c>
    </row>
    <row r="3" spans="1:6" x14ac:dyDescent="0.35">
      <c r="A3" t="s">
        <v>109</v>
      </c>
      <c r="B3" t="s">
        <v>110</v>
      </c>
      <c r="C3">
        <v>25</v>
      </c>
      <c r="D3">
        <v>0.93</v>
      </c>
      <c r="E3">
        <v>797</v>
      </c>
      <c r="F3">
        <f t="shared" ref="F3:F5" si="0">2000*C3/$C$5</f>
        <v>1562.5</v>
      </c>
    </row>
    <row r="4" spans="1:6" x14ac:dyDescent="0.35">
      <c r="A4" t="s">
        <v>111</v>
      </c>
      <c r="B4" t="s">
        <v>112</v>
      </c>
      <c r="C4">
        <v>29</v>
      </c>
      <c r="D4">
        <v>0.97599999999999998</v>
      </c>
      <c r="E4">
        <v>742</v>
      </c>
      <c r="F4">
        <f t="shared" si="0"/>
        <v>1812.5</v>
      </c>
    </row>
    <row r="5" spans="1:6" x14ac:dyDescent="0.35">
      <c r="A5" t="s">
        <v>113</v>
      </c>
      <c r="B5" t="s">
        <v>114</v>
      </c>
      <c r="C5">
        <v>32</v>
      </c>
      <c r="D5">
        <v>0.98</v>
      </c>
      <c r="E5">
        <v>1702</v>
      </c>
      <c r="F5">
        <f t="shared" si="0"/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62EF-CDDC-4AB5-9AAF-869151C37BC4}">
  <dimension ref="A1:E5"/>
  <sheetViews>
    <sheetView workbookViewId="0">
      <selection activeCell="D9" sqref="D9"/>
    </sheetView>
  </sheetViews>
  <sheetFormatPr defaultRowHeight="14.5" x14ac:dyDescent="0.35"/>
  <cols>
    <col min="1" max="1" width="7.6328125" bestFit="1" customWidth="1"/>
    <col min="2" max="5" width="15.453125" bestFit="1" customWidth="1"/>
  </cols>
  <sheetData>
    <row r="1" spans="1:5" x14ac:dyDescent="0.35">
      <c r="A1" s="16" t="s">
        <v>59</v>
      </c>
      <c r="B1" s="16" t="s">
        <v>88</v>
      </c>
      <c r="C1" s="16" t="s">
        <v>72</v>
      </c>
      <c r="D1" s="16" t="s">
        <v>73</v>
      </c>
      <c r="E1" s="16" t="s">
        <v>74</v>
      </c>
    </row>
    <row r="2" spans="1:5" x14ac:dyDescent="0.35">
      <c r="A2" t="s">
        <v>68</v>
      </c>
      <c r="B2" s="16">
        <v>1</v>
      </c>
      <c r="C2" s="16">
        <v>1</v>
      </c>
      <c r="D2" s="16">
        <v>1</v>
      </c>
      <c r="E2" s="16">
        <v>0</v>
      </c>
    </row>
    <row r="3" spans="1:5" x14ac:dyDescent="0.35">
      <c r="A3" t="s">
        <v>62</v>
      </c>
      <c r="B3" s="16">
        <v>1</v>
      </c>
      <c r="C3" s="16">
        <v>1</v>
      </c>
      <c r="D3" s="16">
        <v>1</v>
      </c>
      <c r="E3" s="16">
        <v>0</v>
      </c>
    </row>
    <row r="4" spans="1:5" x14ac:dyDescent="0.35">
      <c r="A4" t="s">
        <v>63</v>
      </c>
      <c r="B4" s="16">
        <v>0</v>
      </c>
      <c r="C4" s="16">
        <v>0</v>
      </c>
      <c r="D4" s="16">
        <v>1</v>
      </c>
      <c r="E4" s="16">
        <v>1</v>
      </c>
    </row>
    <row r="5" spans="1:5" x14ac:dyDescent="0.35">
      <c r="A5" t="s">
        <v>70</v>
      </c>
      <c r="B5" s="16">
        <v>0</v>
      </c>
      <c r="C5" s="16">
        <v>0</v>
      </c>
      <c r="D5" s="16">
        <v>1</v>
      </c>
      <c r="E5" s="1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97BF-1057-401E-893A-A05584D3DEE3}">
  <dimension ref="A1:E5"/>
  <sheetViews>
    <sheetView workbookViewId="0">
      <selection activeCell="D4" sqref="D4"/>
    </sheetView>
  </sheetViews>
  <sheetFormatPr defaultRowHeight="14.5" x14ac:dyDescent="0.35"/>
  <cols>
    <col min="1" max="1" width="22.1796875" bestFit="1" customWidth="1"/>
    <col min="2" max="5" width="15.453125" style="16" bestFit="1" customWidth="1"/>
  </cols>
  <sheetData>
    <row r="1" spans="1:5" x14ac:dyDescent="0.35">
      <c r="A1" s="19" t="s">
        <v>59</v>
      </c>
      <c r="B1" s="16" t="s">
        <v>88</v>
      </c>
      <c r="C1" s="16" t="s">
        <v>72</v>
      </c>
      <c r="D1" s="16" t="s">
        <v>73</v>
      </c>
      <c r="E1" s="16" t="s">
        <v>74</v>
      </c>
    </row>
    <row r="2" spans="1:5" x14ac:dyDescent="0.35">
      <c r="A2" t="s">
        <v>68</v>
      </c>
      <c r="B2" s="16">
        <v>3924</v>
      </c>
      <c r="C2" s="16">
        <v>3979</v>
      </c>
      <c r="D2" s="16">
        <v>4033</v>
      </c>
      <c r="E2" s="16" t="s">
        <v>101</v>
      </c>
    </row>
    <row r="3" spans="1:5" x14ac:dyDescent="0.35">
      <c r="A3" t="s">
        <v>62</v>
      </c>
      <c r="B3" s="16">
        <v>4402</v>
      </c>
      <c r="C3" s="16">
        <v>4457</v>
      </c>
      <c r="D3" s="16">
        <v>4511</v>
      </c>
      <c r="E3" s="16" t="s">
        <v>101</v>
      </c>
    </row>
    <row r="4" spans="1:5" x14ac:dyDescent="0.35">
      <c r="A4" t="s">
        <v>63</v>
      </c>
      <c r="B4" s="16" t="s">
        <v>101</v>
      </c>
      <c r="C4" s="16" t="s">
        <v>101</v>
      </c>
      <c r="D4" s="16">
        <v>6319</v>
      </c>
      <c r="E4" s="18">
        <v>6595</v>
      </c>
    </row>
    <row r="5" spans="1:5" x14ac:dyDescent="0.35">
      <c r="A5" t="s">
        <v>70</v>
      </c>
      <c r="B5" s="16" t="s">
        <v>101</v>
      </c>
      <c r="C5" s="16" t="s">
        <v>101</v>
      </c>
      <c r="D5" s="16">
        <v>6319</v>
      </c>
      <c r="E5" s="18">
        <v>6595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F86E-54C4-44FC-9BF2-392F67FD74B0}">
  <dimension ref="A1:J6"/>
  <sheetViews>
    <sheetView workbookViewId="0">
      <selection activeCell="J9" sqref="J9"/>
    </sheetView>
  </sheetViews>
  <sheetFormatPr defaultRowHeight="14.5" x14ac:dyDescent="0.35"/>
  <cols>
    <col min="1" max="1" width="7.6328125" bestFit="1" customWidth="1"/>
    <col min="2" max="5" width="15.453125" bestFit="1" customWidth="1"/>
    <col min="7" max="7" width="12.36328125" bestFit="1" customWidth="1"/>
    <col min="8" max="8" width="8.81640625" bestFit="1" customWidth="1"/>
    <col min="9" max="9" width="26.7265625" bestFit="1" customWidth="1"/>
  </cols>
  <sheetData>
    <row r="1" spans="1:10" x14ac:dyDescent="0.35">
      <c r="A1" s="16" t="s">
        <v>59</v>
      </c>
      <c r="B1" s="16" t="s">
        <v>88</v>
      </c>
      <c r="C1" s="16" t="s">
        <v>72</v>
      </c>
      <c r="D1" s="16" t="s">
        <v>73</v>
      </c>
      <c r="E1" s="16" t="s">
        <v>74</v>
      </c>
      <c r="H1" t="s">
        <v>92</v>
      </c>
      <c r="I1" t="s">
        <v>95</v>
      </c>
      <c r="J1" t="s">
        <v>93</v>
      </c>
    </row>
    <row r="2" spans="1:10" x14ac:dyDescent="0.35">
      <c r="A2" t="s">
        <v>68</v>
      </c>
      <c r="B2" s="16">
        <v>1</v>
      </c>
      <c r="C2" s="16">
        <v>1</v>
      </c>
      <c r="D2" s="16">
        <v>1</v>
      </c>
      <c r="E2" s="16">
        <v>0</v>
      </c>
      <c r="G2" t="s">
        <v>91</v>
      </c>
      <c r="H2">
        <f>2.6/1000</f>
        <v>2.5999999999999999E-3</v>
      </c>
      <c r="I2">
        <v>29</v>
      </c>
      <c r="J2">
        <f>H2/I2</f>
        <v>8.9655172413793103E-5</v>
      </c>
    </row>
    <row r="3" spans="1:10" x14ac:dyDescent="0.35">
      <c r="A3" t="s">
        <v>62</v>
      </c>
      <c r="B3" s="16">
        <v>1</v>
      </c>
      <c r="C3" s="16">
        <v>1</v>
      </c>
      <c r="D3" s="16">
        <v>1</v>
      </c>
      <c r="E3" s="16">
        <v>0</v>
      </c>
      <c r="G3" t="s">
        <v>94</v>
      </c>
      <c r="H3">
        <f>60/1000</f>
        <v>0.06</v>
      </c>
      <c r="I3">
        <v>2.3E-2</v>
      </c>
      <c r="J3">
        <f>H3/I3</f>
        <v>2.6086956521739131</v>
      </c>
    </row>
    <row r="4" spans="1:10" x14ac:dyDescent="0.35">
      <c r="A4" t="s">
        <v>63</v>
      </c>
      <c r="B4" s="16">
        <v>0</v>
      </c>
      <c r="C4" s="16">
        <v>0</v>
      </c>
      <c r="D4" s="16">
        <v>1</v>
      </c>
      <c r="E4" s="16">
        <v>1</v>
      </c>
      <c r="I4" t="s">
        <v>96</v>
      </c>
      <c r="J4">
        <f>1/(J3+J2)</f>
        <v>0.38332015945658882</v>
      </c>
    </row>
    <row r="5" spans="1:10" x14ac:dyDescent="0.35">
      <c r="A5" t="s">
        <v>70</v>
      </c>
      <c r="B5" s="16">
        <v>0</v>
      </c>
      <c r="C5" s="16">
        <v>0</v>
      </c>
      <c r="D5" s="16">
        <v>1</v>
      </c>
      <c r="E5" s="16">
        <v>1</v>
      </c>
    </row>
    <row r="6" spans="1:10" x14ac:dyDescent="0.35">
      <c r="G6" t="s">
        <v>97</v>
      </c>
      <c r="H6">
        <v>48</v>
      </c>
      <c r="I6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workbookViewId="0">
      <selection activeCell="E7" sqref="E7"/>
    </sheetView>
  </sheetViews>
  <sheetFormatPr defaultRowHeight="14.5" x14ac:dyDescent="0.35"/>
  <cols>
    <col min="1" max="1" width="20.08984375" style="1" bestFit="1" customWidth="1"/>
    <col min="2" max="16384" width="8.7265625" style="1"/>
  </cols>
  <sheetData>
    <row r="1" spans="1:3" s="2" customFormat="1" x14ac:dyDescent="0.35">
      <c r="A1" s="2" t="s">
        <v>12</v>
      </c>
      <c r="B1" s="2" t="s">
        <v>13</v>
      </c>
      <c r="C1" s="2" t="s">
        <v>14</v>
      </c>
    </row>
    <row r="2" spans="1:3" x14ac:dyDescent="0.35">
      <c r="A2" s="1" t="s">
        <v>0</v>
      </c>
      <c r="B2" s="1">
        <v>7.4999999999999997E-2</v>
      </c>
    </row>
    <row r="3" spans="1:3" x14ac:dyDescent="0.35">
      <c r="A3" s="1" t="s">
        <v>1</v>
      </c>
      <c r="B3" s="2">
        <v>20</v>
      </c>
    </row>
    <row r="4" spans="1:3" x14ac:dyDescent="0.35">
      <c r="A4" s="1" t="s">
        <v>25</v>
      </c>
      <c r="B4" s="1">
        <v>0.1389</v>
      </c>
      <c r="C4" s="1" t="s">
        <v>15</v>
      </c>
    </row>
    <row r="5" spans="1:3" x14ac:dyDescent="0.35">
      <c r="A5" s="1" t="s">
        <v>26</v>
      </c>
      <c r="B5" s="21">
        <v>2.5139999999999999E-2</v>
      </c>
      <c r="C5" s="1" t="s">
        <v>15</v>
      </c>
    </row>
    <row r="6" spans="1:3" x14ac:dyDescent="0.35">
      <c r="A6" s="2" t="s">
        <v>2</v>
      </c>
      <c r="B6" s="2">
        <v>0.25</v>
      </c>
      <c r="C6" s="1" t="s">
        <v>16</v>
      </c>
    </row>
    <row r="7" spans="1:3" x14ac:dyDescent="0.35">
      <c r="A7" s="1" t="s">
        <v>3</v>
      </c>
      <c r="B7" s="2">
        <v>450</v>
      </c>
      <c r="C7" s="1" t="s">
        <v>17</v>
      </c>
    </row>
    <row r="8" spans="1:3" x14ac:dyDescent="0.35">
      <c r="A8" s="1" t="s">
        <v>4</v>
      </c>
      <c r="B8" s="2">
        <v>0.18</v>
      </c>
    </row>
    <row r="9" spans="1:3" x14ac:dyDescent="0.35">
      <c r="A9" s="1" t="s">
        <v>5</v>
      </c>
      <c r="B9" s="1">
        <v>12.5</v>
      </c>
      <c r="C9" s="1" t="s">
        <v>18</v>
      </c>
    </row>
    <row r="10" spans="1:3" x14ac:dyDescent="0.35">
      <c r="A10" s="1" t="s">
        <v>6</v>
      </c>
      <c r="B10" s="1">
        <v>0</v>
      </c>
      <c r="C10" s="1" t="s">
        <v>15</v>
      </c>
    </row>
    <row r="11" spans="1:3" x14ac:dyDescent="0.35">
      <c r="A11" s="1" t="s">
        <v>44</v>
      </c>
      <c r="B11" s="2">
        <v>5.0299999999999997E-2</v>
      </c>
      <c r="C11" s="1" t="s">
        <v>15</v>
      </c>
    </row>
    <row r="12" spans="1:3" x14ac:dyDescent="0.35">
      <c r="A12" s="1" t="s">
        <v>7</v>
      </c>
      <c r="B12" s="1">
        <v>120</v>
      </c>
      <c r="C12" s="1" t="s">
        <v>19</v>
      </c>
    </row>
    <row r="13" spans="1:3" x14ac:dyDescent="0.35">
      <c r="A13" s="1" t="s">
        <v>8</v>
      </c>
      <c r="B13" s="1">
        <v>0.94</v>
      </c>
    </row>
    <row r="14" spans="1:3" x14ac:dyDescent="0.35">
      <c r="A14" s="1" t="s">
        <v>9</v>
      </c>
      <c r="B14" s="1">
        <v>1.75</v>
      </c>
      <c r="C14" s="1" t="s">
        <v>20</v>
      </c>
    </row>
    <row r="15" spans="1:3" x14ac:dyDescent="0.35">
      <c r="A15" s="1" t="s">
        <v>10</v>
      </c>
      <c r="B15" s="1">
        <v>0.25</v>
      </c>
      <c r="C15" s="1" t="s">
        <v>21</v>
      </c>
    </row>
    <row r="16" spans="1:3" x14ac:dyDescent="0.35">
      <c r="A16" s="1" t="s">
        <v>11</v>
      </c>
      <c r="B16" s="1">
        <v>5000</v>
      </c>
      <c r="C16" s="1" t="s">
        <v>21</v>
      </c>
    </row>
    <row r="17" spans="1:3" x14ac:dyDescent="0.35">
      <c r="A17" s="2" t="s">
        <v>41</v>
      </c>
      <c r="B17" s="2">
        <v>0</v>
      </c>
      <c r="C17" s="1" t="s">
        <v>42</v>
      </c>
    </row>
    <row r="18" spans="1:3" x14ac:dyDescent="0.35">
      <c r="A18" s="2" t="s">
        <v>45</v>
      </c>
      <c r="B18" s="2">
        <v>0.1</v>
      </c>
      <c r="C18" s="1" t="s">
        <v>15</v>
      </c>
    </row>
    <row r="19" spans="1:3" x14ac:dyDescent="0.35">
      <c r="A19" s="1" t="s">
        <v>46</v>
      </c>
      <c r="B19" s="1">
        <v>1</v>
      </c>
    </row>
    <row r="20" spans="1:3" x14ac:dyDescent="0.35">
      <c r="A20" s="1" t="s">
        <v>43</v>
      </c>
      <c r="B20" s="1">
        <v>0.9</v>
      </c>
    </row>
    <row r="21" spans="1:3" x14ac:dyDescent="0.35">
      <c r="A21" s="1" t="s">
        <v>84</v>
      </c>
      <c r="B21" s="1">
        <v>0.08</v>
      </c>
      <c r="C21" s="1" t="s">
        <v>15</v>
      </c>
    </row>
    <row r="22" spans="1:3" x14ac:dyDescent="0.35">
      <c r="A22" s="1" t="s">
        <v>85</v>
      </c>
      <c r="B22" s="1">
        <v>0.18</v>
      </c>
      <c r="C22" s="1" t="s">
        <v>15</v>
      </c>
    </row>
    <row r="23" spans="1:3" x14ac:dyDescent="0.35">
      <c r="A23" s="1" t="s">
        <v>47</v>
      </c>
      <c r="B23" s="1">
        <v>78.63</v>
      </c>
      <c r="C23" s="1" t="s">
        <v>48</v>
      </c>
    </row>
    <row r="24" spans="1:3" x14ac:dyDescent="0.35">
      <c r="A24" s="1" t="s">
        <v>82</v>
      </c>
      <c r="B24" s="1">
        <v>20</v>
      </c>
      <c r="C24" s="1" t="s">
        <v>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F842A-3C08-4612-9021-71C195F6D461}">
  <dimension ref="A1:Y5"/>
  <sheetViews>
    <sheetView workbookViewId="0">
      <selection activeCell="X13" sqref="X13"/>
    </sheetView>
  </sheetViews>
  <sheetFormatPr defaultRowHeight="14.5" x14ac:dyDescent="0.35"/>
  <cols>
    <col min="13" max="13" width="9.81640625" customWidth="1"/>
  </cols>
  <sheetData>
    <row r="1" spans="1:25" x14ac:dyDescent="0.35">
      <c r="A1" t="s">
        <v>31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32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3.2662835249042147E-3</v>
      </c>
      <c r="K2" s="12">
        <v>3.1599616858237554E-2</v>
      </c>
      <c r="L2" s="12">
        <v>8.4805236270753481E-2</v>
      </c>
      <c r="M2" s="12">
        <v>0.13025542784163471</v>
      </c>
      <c r="N2" s="12">
        <v>0.16466475095785438</v>
      </c>
      <c r="O2" s="12">
        <v>0.16358876117496807</v>
      </c>
      <c r="P2" s="12">
        <v>0.1449712643678161</v>
      </c>
      <c r="Q2" s="12">
        <v>0.10448914431673048</v>
      </c>
      <c r="R2" s="12">
        <v>5.5488505747126445E-2</v>
      </c>
      <c r="S2" s="12">
        <v>1.6580459770114943E-2</v>
      </c>
      <c r="T2" s="12">
        <v>1.4814814814814814E-3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</row>
    <row r="3" spans="1:25" x14ac:dyDescent="0.35">
      <c r="A3" t="s">
        <v>20</v>
      </c>
      <c r="B3" s="12">
        <v>0</v>
      </c>
      <c r="C3" s="12">
        <v>0</v>
      </c>
      <c r="D3" s="12">
        <v>0</v>
      </c>
      <c r="E3" s="12">
        <v>0</v>
      </c>
      <c r="F3" s="12">
        <v>6.0386473429951689E-6</v>
      </c>
      <c r="G3" s="12">
        <v>2.5694444444444441E-3</v>
      </c>
      <c r="H3" s="12">
        <v>2.3864734299516906E-2</v>
      </c>
      <c r="I3" s="12">
        <v>8.3891908212560387E-2</v>
      </c>
      <c r="J3" s="12">
        <v>0.17195350241545898</v>
      </c>
      <c r="K3" s="12">
        <v>0.26284118357487918</v>
      </c>
      <c r="L3" s="12">
        <v>0.35449275362318844</v>
      </c>
      <c r="M3" s="12">
        <v>0.41276268115942033</v>
      </c>
      <c r="N3" s="12">
        <v>0.44173007246376811</v>
      </c>
      <c r="O3" s="12">
        <v>0.45028079710144925</v>
      </c>
      <c r="P3" s="12">
        <v>0.41931159420289849</v>
      </c>
      <c r="Q3" s="12">
        <v>0.37850543478260884</v>
      </c>
      <c r="R3" s="12">
        <v>0.29222524154589369</v>
      </c>
      <c r="S3" s="12">
        <v>0.21164251207729465</v>
      </c>
      <c r="T3" s="12">
        <v>0.11132850241545893</v>
      </c>
      <c r="U3" s="12">
        <v>3.7481884057971017E-2</v>
      </c>
      <c r="V3" s="12">
        <v>4.9365942028985503E-3</v>
      </c>
      <c r="W3" s="12">
        <v>2.113526570048309E-5</v>
      </c>
      <c r="X3" s="12">
        <v>0</v>
      </c>
      <c r="Y3" s="12">
        <v>0</v>
      </c>
    </row>
    <row r="4" spans="1:25" x14ac:dyDescent="0.35">
      <c r="A4" t="s">
        <v>33</v>
      </c>
      <c r="B4" s="12">
        <v>0</v>
      </c>
      <c r="C4" s="12">
        <v>0</v>
      </c>
      <c r="D4" s="12">
        <v>0</v>
      </c>
      <c r="E4" s="12">
        <v>0</v>
      </c>
      <c r="F4" s="12">
        <v>9.1575091575091575E-6</v>
      </c>
      <c r="G4" s="12">
        <v>1.0006105006105007E-2</v>
      </c>
      <c r="H4" s="12">
        <v>5.4838217338217358E-2</v>
      </c>
      <c r="I4" s="12">
        <v>0.15958791208791212</v>
      </c>
      <c r="J4" s="12">
        <v>0.28781440781440781</v>
      </c>
      <c r="K4" s="12">
        <v>0.40093101343101339</v>
      </c>
      <c r="L4" s="12">
        <v>0.51883394383394377</v>
      </c>
      <c r="M4" s="12">
        <v>0.56513431013430993</v>
      </c>
      <c r="N4" s="12">
        <v>0.61727106227106232</v>
      </c>
      <c r="O4" s="12">
        <v>0.62580891330891297</v>
      </c>
      <c r="P4" s="12">
        <v>0.57481074481074479</v>
      </c>
      <c r="Q4" s="12">
        <v>0.51351343101343105</v>
      </c>
      <c r="R4" s="12">
        <v>0.44822344322344321</v>
      </c>
      <c r="S4" s="12">
        <v>0.33957264957264965</v>
      </c>
      <c r="T4" s="12">
        <v>0.22045482295482297</v>
      </c>
      <c r="U4" s="12">
        <v>0.1077014652014652</v>
      </c>
      <c r="V4" s="12">
        <v>2.1855921855921851E-2</v>
      </c>
      <c r="W4" s="12">
        <v>6.4102564102564081E-4</v>
      </c>
      <c r="X4" s="12">
        <v>0</v>
      </c>
      <c r="Y4" s="12">
        <v>0</v>
      </c>
    </row>
    <row r="5" spans="1:25" x14ac:dyDescent="0.35">
      <c r="A5" t="s">
        <v>34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6.2734082397003748E-4</v>
      </c>
      <c r="I5" s="12">
        <v>1.5383895131086137E-2</v>
      </c>
      <c r="J5" s="12">
        <v>6.1694756554307138E-2</v>
      </c>
      <c r="K5" s="12">
        <v>0.14143258426966288</v>
      </c>
      <c r="L5" s="12">
        <v>0.21977840199750312</v>
      </c>
      <c r="M5" s="12">
        <v>0.27413545568039954</v>
      </c>
      <c r="N5" s="12">
        <v>0.31273720349563061</v>
      </c>
      <c r="O5" s="12">
        <v>0.30215667915106115</v>
      </c>
      <c r="P5" s="12">
        <v>0.27397940074906363</v>
      </c>
      <c r="Q5" s="12">
        <v>0.21598314606741564</v>
      </c>
      <c r="R5" s="12">
        <v>0.14035580524344574</v>
      </c>
      <c r="S5" s="12">
        <v>7.1089263420724108E-2</v>
      </c>
      <c r="T5" s="12">
        <v>1.9485018726591759E-2</v>
      </c>
      <c r="U5" s="12">
        <v>1.669787765293383E-3</v>
      </c>
      <c r="V5" s="12">
        <v>0</v>
      </c>
      <c r="W5" s="12">
        <v>0</v>
      </c>
      <c r="X5" s="12">
        <v>0</v>
      </c>
      <c r="Y5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072E-4422-4DFA-95AB-8B9BFA783E1F}">
  <dimension ref="A1:C56"/>
  <sheetViews>
    <sheetView workbookViewId="0">
      <selection activeCell="E13" sqref="E13"/>
    </sheetView>
  </sheetViews>
  <sheetFormatPr defaultRowHeight="14.5" x14ac:dyDescent="0.35"/>
  <sheetData>
    <row r="1" spans="1:3" s="2" customFormat="1" x14ac:dyDescent="0.35">
      <c r="A1" s="2" t="s">
        <v>22</v>
      </c>
      <c r="B1" s="2" t="s">
        <v>23</v>
      </c>
      <c r="C1" s="2" t="s">
        <v>24</v>
      </c>
    </row>
    <row r="2" spans="1:3" x14ac:dyDescent="0.35">
      <c r="A2" s="13">
        <v>34</v>
      </c>
      <c r="B2">
        <v>35</v>
      </c>
      <c r="C2" t="s">
        <v>20</v>
      </c>
    </row>
    <row r="3" spans="1:3" x14ac:dyDescent="0.35">
      <c r="A3" s="13">
        <v>47</v>
      </c>
      <c r="B3">
        <v>35</v>
      </c>
      <c r="C3" t="s">
        <v>20</v>
      </c>
    </row>
    <row r="4" spans="1:3" x14ac:dyDescent="0.35">
      <c r="A4" s="13">
        <v>70</v>
      </c>
      <c r="B4">
        <v>35</v>
      </c>
      <c r="C4" t="s">
        <v>20</v>
      </c>
    </row>
    <row r="5" spans="1:3" x14ac:dyDescent="0.35">
      <c r="A5">
        <v>73</v>
      </c>
      <c r="B5">
        <v>35</v>
      </c>
      <c r="C5" t="s">
        <v>20</v>
      </c>
    </row>
    <row r="6" spans="1:3" x14ac:dyDescent="0.35">
      <c r="A6" s="13">
        <v>74</v>
      </c>
      <c r="B6">
        <v>35</v>
      </c>
      <c r="C6" t="s">
        <v>20</v>
      </c>
    </row>
    <row r="7" spans="1:3" x14ac:dyDescent="0.35">
      <c r="A7" s="13">
        <v>83</v>
      </c>
      <c r="B7">
        <v>35</v>
      </c>
      <c r="C7" t="s">
        <v>20</v>
      </c>
    </row>
    <row r="8" spans="1:3" x14ac:dyDescent="0.35">
      <c r="A8" s="13">
        <v>178</v>
      </c>
      <c r="B8">
        <v>35</v>
      </c>
      <c r="C8" t="s">
        <v>20</v>
      </c>
    </row>
    <row r="9" spans="1:3" x14ac:dyDescent="0.35">
      <c r="A9" s="13">
        <v>208</v>
      </c>
      <c r="B9">
        <v>35</v>
      </c>
      <c r="C9" t="s">
        <v>20</v>
      </c>
    </row>
    <row r="10" spans="1:3" x14ac:dyDescent="0.35">
      <c r="A10" s="13">
        <v>225</v>
      </c>
      <c r="B10">
        <v>35</v>
      </c>
      <c r="C10" t="s">
        <v>20</v>
      </c>
    </row>
    <row r="11" spans="1:3" x14ac:dyDescent="0.35">
      <c r="A11">
        <v>248</v>
      </c>
      <c r="B11">
        <v>35</v>
      </c>
      <c r="C11" t="s">
        <v>20</v>
      </c>
    </row>
    <row r="12" spans="1:3" x14ac:dyDescent="0.35">
      <c r="A12" s="13">
        <v>249</v>
      </c>
      <c r="B12">
        <v>35</v>
      </c>
      <c r="C12" t="s">
        <v>20</v>
      </c>
    </row>
    <row r="13" spans="1:3" x14ac:dyDescent="0.35">
      <c r="A13" s="13">
        <v>264</v>
      </c>
      <c r="B13">
        <v>35</v>
      </c>
      <c r="C13" t="s">
        <v>20</v>
      </c>
    </row>
    <row r="14" spans="1:3" x14ac:dyDescent="0.35">
      <c r="A14">
        <v>276</v>
      </c>
      <c r="B14">
        <v>35</v>
      </c>
      <c r="C14" t="s">
        <v>20</v>
      </c>
    </row>
    <row r="15" spans="1:3" x14ac:dyDescent="0.35">
      <c r="A15">
        <v>289</v>
      </c>
      <c r="B15">
        <v>35</v>
      </c>
      <c r="C15" t="s">
        <v>20</v>
      </c>
    </row>
    <row r="16" spans="1:3" x14ac:dyDescent="0.35">
      <c r="A16">
        <v>314</v>
      </c>
      <c r="B16">
        <v>35</v>
      </c>
      <c r="C16" t="s">
        <v>20</v>
      </c>
    </row>
    <row r="17" spans="1:3" x14ac:dyDescent="0.35">
      <c r="A17">
        <v>320</v>
      </c>
      <c r="B17">
        <v>35</v>
      </c>
      <c r="C17" t="s">
        <v>20</v>
      </c>
    </row>
    <row r="18" spans="1:3" x14ac:dyDescent="0.35">
      <c r="A18">
        <v>327</v>
      </c>
      <c r="B18">
        <v>35</v>
      </c>
      <c r="C18" t="s">
        <v>20</v>
      </c>
    </row>
    <row r="19" spans="1:3" x14ac:dyDescent="0.35">
      <c r="A19">
        <v>337</v>
      </c>
      <c r="B19">
        <v>35</v>
      </c>
      <c r="C19" t="s">
        <v>20</v>
      </c>
    </row>
    <row r="20" spans="1:3" x14ac:dyDescent="0.35">
      <c r="A20">
        <v>342</v>
      </c>
      <c r="B20">
        <v>35</v>
      </c>
      <c r="C20" t="s">
        <v>20</v>
      </c>
    </row>
    <row r="21" spans="1:3" x14ac:dyDescent="0.35">
      <c r="A21">
        <v>349</v>
      </c>
      <c r="B21">
        <v>35</v>
      </c>
      <c r="C21" t="s">
        <v>20</v>
      </c>
    </row>
    <row r="22" spans="1:3" x14ac:dyDescent="0.35">
      <c r="A22">
        <v>387</v>
      </c>
      <c r="B22">
        <v>35</v>
      </c>
      <c r="C22" t="s">
        <v>20</v>
      </c>
    </row>
    <row r="23" spans="1:3" x14ac:dyDescent="0.35">
      <c r="A23">
        <v>388</v>
      </c>
      <c r="B23">
        <v>35</v>
      </c>
      <c r="C23" t="s">
        <v>20</v>
      </c>
    </row>
    <row r="24" spans="1:3" x14ac:dyDescent="0.35">
      <c r="A24">
        <v>406</v>
      </c>
      <c r="B24">
        <v>35</v>
      </c>
      <c r="C24" t="s">
        <v>20</v>
      </c>
    </row>
    <row r="25" spans="1:3" x14ac:dyDescent="0.35">
      <c r="A25">
        <v>458</v>
      </c>
      <c r="B25">
        <v>35</v>
      </c>
      <c r="C25" t="s">
        <v>20</v>
      </c>
    </row>
    <row r="26" spans="1:3" x14ac:dyDescent="0.35">
      <c r="A26">
        <v>502</v>
      </c>
      <c r="B26">
        <v>35</v>
      </c>
      <c r="C26" t="s">
        <v>20</v>
      </c>
    </row>
    <row r="27" spans="1:3" x14ac:dyDescent="0.35">
      <c r="A27">
        <v>522</v>
      </c>
      <c r="B27">
        <v>35</v>
      </c>
      <c r="C27" t="s">
        <v>20</v>
      </c>
    </row>
    <row r="28" spans="1:3" x14ac:dyDescent="0.35">
      <c r="A28">
        <v>539</v>
      </c>
      <c r="B28">
        <v>35</v>
      </c>
      <c r="C28" t="s">
        <v>20</v>
      </c>
    </row>
    <row r="29" spans="1:3" x14ac:dyDescent="0.35">
      <c r="A29">
        <v>556</v>
      </c>
      <c r="B29">
        <v>35</v>
      </c>
      <c r="C29" t="s">
        <v>20</v>
      </c>
    </row>
    <row r="30" spans="1:3" x14ac:dyDescent="0.35">
      <c r="A30">
        <v>562</v>
      </c>
      <c r="B30">
        <v>35</v>
      </c>
      <c r="C30" t="s">
        <v>20</v>
      </c>
    </row>
    <row r="31" spans="1:3" x14ac:dyDescent="0.35">
      <c r="A31">
        <v>563</v>
      </c>
      <c r="B31">
        <v>35</v>
      </c>
      <c r="C31" t="s">
        <v>20</v>
      </c>
    </row>
    <row r="32" spans="1:3" x14ac:dyDescent="0.35">
      <c r="A32">
        <v>611</v>
      </c>
      <c r="B32">
        <v>35</v>
      </c>
      <c r="C32" t="s">
        <v>20</v>
      </c>
    </row>
    <row r="33" spans="1:3" x14ac:dyDescent="0.35">
      <c r="A33">
        <v>614</v>
      </c>
      <c r="B33">
        <v>35</v>
      </c>
      <c r="C33" t="s">
        <v>20</v>
      </c>
    </row>
    <row r="34" spans="1:3" x14ac:dyDescent="0.35">
      <c r="A34">
        <v>619</v>
      </c>
      <c r="B34">
        <v>35</v>
      </c>
      <c r="C34" t="s">
        <v>20</v>
      </c>
    </row>
    <row r="35" spans="1:3" x14ac:dyDescent="0.35">
      <c r="A35">
        <v>629</v>
      </c>
      <c r="B35">
        <v>35</v>
      </c>
      <c r="C35" t="s">
        <v>20</v>
      </c>
    </row>
    <row r="36" spans="1:3" x14ac:dyDescent="0.35">
      <c r="A36">
        <v>639</v>
      </c>
      <c r="B36">
        <v>35</v>
      </c>
      <c r="C36" t="s">
        <v>20</v>
      </c>
    </row>
    <row r="37" spans="1:3" x14ac:dyDescent="0.35">
      <c r="A37">
        <v>676</v>
      </c>
      <c r="B37">
        <v>35</v>
      </c>
      <c r="C37" t="s">
        <v>20</v>
      </c>
    </row>
    <row r="38" spans="1:3" x14ac:dyDescent="0.35">
      <c r="A38">
        <v>682</v>
      </c>
      <c r="B38">
        <v>35</v>
      </c>
      <c r="C38" t="s">
        <v>20</v>
      </c>
    </row>
    <row r="39" spans="1:3" x14ac:dyDescent="0.35">
      <c r="A39">
        <v>688</v>
      </c>
      <c r="B39">
        <v>35</v>
      </c>
      <c r="C39" t="s">
        <v>20</v>
      </c>
    </row>
    <row r="40" spans="1:3" x14ac:dyDescent="0.35">
      <c r="A40">
        <v>701</v>
      </c>
      <c r="B40">
        <v>35</v>
      </c>
      <c r="C40" t="s">
        <v>20</v>
      </c>
    </row>
    <row r="41" spans="1:3" x14ac:dyDescent="0.35">
      <c r="A41">
        <v>702</v>
      </c>
      <c r="B41">
        <v>35</v>
      </c>
      <c r="C41" t="s">
        <v>20</v>
      </c>
    </row>
    <row r="42" spans="1:3" x14ac:dyDescent="0.35">
      <c r="A42">
        <v>755</v>
      </c>
      <c r="B42">
        <v>35</v>
      </c>
      <c r="C42" t="s">
        <v>20</v>
      </c>
    </row>
    <row r="43" spans="1:3" x14ac:dyDescent="0.35">
      <c r="A43">
        <v>778</v>
      </c>
      <c r="B43">
        <v>35</v>
      </c>
      <c r="C43" t="s">
        <v>20</v>
      </c>
    </row>
    <row r="44" spans="1:3" x14ac:dyDescent="0.35">
      <c r="A44">
        <v>780</v>
      </c>
      <c r="B44">
        <v>35</v>
      </c>
      <c r="C44" t="s">
        <v>20</v>
      </c>
    </row>
    <row r="45" spans="1:3" x14ac:dyDescent="0.35">
      <c r="A45">
        <v>785</v>
      </c>
      <c r="B45">
        <v>35</v>
      </c>
      <c r="C45" t="s">
        <v>20</v>
      </c>
    </row>
    <row r="46" spans="1:3" x14ac:dyDescent="0.35">
      <c r="A46">
        <v>813</v>
      </c>
      <c r="B46">
        <v>35</v>
      </c>
      <c r="C46" t="s">
        <v>20</v>
      </c>
    </row>
    <row r="47" spans="1:3" x14ac:dyDescent="0.35">
      <c r="A47">
        <v>817</v>
      </c>
      <c r="B47">
        <v>35</v>
      </c>
      <c r="C47" t="s">
        <v>20</v>
      </c>
    </row>
    <row r="48" spans="1:3" x14ac:dyDescent="0.35">
      <c r="A48">
        <v>835</v>
      </c>
      <c r="B48">
        <v>35</v>
      </c>
      <c r="C48" t="s">
        <v>20</v>
      </c>
    </row>
    <row r="49" spans="1:3" x14ac:dyDescent="0.35">
      <c r="A49">
        <v>860</v>
      </c>
      <c r="B49">
        <v>35</v>
      </c>
      <c r="C49" t="s">
        <v>20</v>
      </c>
    </row>
    <row r="50" spans="1:3" x14ac:dyDescent="0.35">
      <c r="A50">
        <v>861</v>
      </c>
      <c r="B50">
        <v>35</v>
      </c>
      <c r="C50" t="s">
        <v>20</v>
      </c>
    </row>
    <row r="51" spans="1:3" x14ac:dyDescent="0.35">
      <c r="A51">
        <v>886</v>
      </c>
      <c r="B51">
        <v>35</v>
      </c>
      <c r="C51" t="s">
        <v>20</v>
      </c>
    </row>
    <row r="52" spans="1:3" x14ac:dyDescent="0.35">
      <c r="A52">
        <v>896</v>
      </c>
      <c r="B52">
        <v>35</v>
      </c>
      <c r="C52" t="s">
        <v>20</v>
      </c>
    </row>
    <row r="53" spans="1:3" x14ac:dyDescent="0.35">
      <c r="A53">
        <v>898</v>
      </c>
      <c r="B53">
        <v>35</v>
      </c>
      <c r="C53" t="s">
        <v>20</v>
      </c>
    </row>
    <row r="54" spans="1:3" x14ac:dyDescent="0.35">
      <c r="A54">
        <v>899</v>
      </c>
      <c r="B54">
        <v>35</v>
      </c>
      <c r="C54" t="s">
        <v>20</v>
      </c>
    </row>
    <row r="55" spans="1:3" x14ac:dyDescent="0.35">
      <c r="A55">
        <v>900</v>
      </c>
      <c r="B55">
        <v>35</v>
      </c>
      <c r="C55" t="s">
        <v>20</v>
      </c>
    </row>
    <row r="56" spans="1:3" x14ac:dyDescent="0.35">
      <c r="A56">
        <v>906</v>
      </c>
      <c r="B56">
        <v>35</v>
      </c>
      <c r="C56" t="s">
        <v>20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BC86-B5F2-43D5-85E0-2A8A3FEAB9C5}">
  <dimension ref="A1:K4"/>
  <sheetViews>
    <sheetView tabSelected="1" workbookViewId="0">
      <selection activeCell="I7" sqref="I7"/>
    </sheetView>
  </sheetViews>
  <sheetFormatPr defaultRowHeight="14.5" x14ac:dyDescent="0.35"/>
  <cols>
    <col min="1" max="1" width="7.6328125" bestFit="1" customWidth="1"/>
    <col min="2" max="2" width="18.90625" bestFit="1" customWidth="1"/>
    <col min="3" max="3" width="13.6328125" bestFit="1" customWidth="1"/>
    <col min="4" max="4" width="9.08984375" bestFit="1" customWidth="1"/>
    <col min="5" max="5" width="8.54296875" bestFit="1" customWidth="1"/>
    <col min="6" max="6" width="14.453125" bestFit="1" customWidth="1"/>
    <col min="7" max="7" width="12.90625" bestFit="1" customWidth="1"/>
    <col min="8" max="8" width="15.54296875" bestFit="1" customWidth="1"/>
    <col min="9" max="9" width="17.90625" bestFit="1" customWidth="1"/>
    <col min="10" max="10" width="13.08984375" bestFit="1" customWidth="1"/>
    <col min="11" max="11" width="15.90625" bestFit="1" customWidth="1"/>
  </cols>
  <sheetData>
    <row r="1" spans="1:11" s="8" customFormat="1" x14ac:dyDescent="0.35">
      <c r="A1" s="8" t="s">
        <v>38</v>
      </c>
      <c r="B1" s="9" t="s">
        <v>35</v>
      </c>
      <c r="C1" s="9" t="s">
        <v>50</v>
      </c>
      <c r="D1" s="9" t="s">
        <v>36</v>
      </c>
      <c r="E1" s="9" t="s">
        <v>37</v>
      </c>
      <c r="F1" s="9" t="s">
        <v>49</v>
      </c>
      <c r="G1" s="9" t="s">
        <v>51</v>
      </c>
      <c r="H1" s="8" t="s">
        <v>39</v>
      </c>
      <c r="I1" s="8" t="s">
        <v>40</v>
      </c>
      <c r="J1" s="8" t="s">
        <v>54</v>
      </c>
      <c r="K1" s="8" t="s">
        <v>52</v>
      </c>
    </row>
    <row r="2" spans="1:11" x14ac:dyDescent="0.35">
      <c r="A2" s="10" t="s">
        <v>55</v>
      </c>
      <c r="B2">
        <v>0.95</v>
      </c>
      <c r="C2" s="14">
        <v>6.5</v>
      </c>
      <c r="D2" s="14">
        <v>0.9</v>
      </c>
      <c r="E2" s="14">
        <v>1</v>
      </c>
      <c r="F2">
        <v>3200</v>
      </c>
      <c r="G2">
        <f>F2/20</f>
        <v>160</v>
      </c>
      <c r="H2" s="11">
        <f>SQRT(B2)</f>
        <v>0.97467943448089633</v>
      </c>
      <c r="I2" s="11">
        <f>SQRT(B2)</f>
        <v>0.97467943448089633</v>
      </c>
      <c r="J2">
        <f t="shared" ref="J2:J3" si="0">F2*0.15</f>
        <v>480</v>
      </c>
      <c r="K2">
        <v>4.2</v>
      </c>
    </row>
    <row r="3" spans="1:11" x14ac:dyDescent="0.35">
      <c r="A3" t="s">
        <v>56</v>
      </c>
      <c r="B3">
        <v>0.95</v>
      </c>
      <c r="C3" s="14">
        <v>3.3</v>
      </c>
      <c r="D3" s="14">
        <v>0.87</v>
      </c>
      <c r="E3" s="14">
        <v>1</v>
      </c>
      <c r="F3">
        <v>2200</v>
      </c>
      <c r="G3">
        <f>F3/20</f>
        <v>110</v>
      </c>
      <c r="H3" s="11">
        <f>SQRT(B3)</f>
        <v>0.97467943448089633</v>
      </c>
      <c r="I3" s="11">
        <f>SQRT(B3)</f>
        <v>0.97467943448089633</v>
      </c>
      <c r="J3">
        <f t="shared" si="0"/>
        <v>330</v>
      </c>
      <c r="K3">
        <v>3</v>
      </c>
    </row>
    <row r="4" spans="1:11" x14ac:dyDescent="0.35">
      <c r="A4" s="10" t="s">
        <v>53</v>
      </c>
      <c r="B4">
        <v>0.9</v>
      </c>
      <c r="C4" s="14">
        <v>14</v>
      </c>
      <c r="D4" s="14">
        <v>0.95</v>
      </c>
      <c r="E4" s="14">
        <v>1</v>
      </c>
      <c r="F4">
        <v>6000</v>
      </c>
      <c r="G4">
        <f>F4/20</f>
        <v>300</v>
      </c>
      <c r="H4" s="11">
        <f>SQRT(B4)</f>
        <v>0.94868329805051377</v>
      </c>
      <c r="I4" s="11">
        <f>SQRT(B4)</f>
        <v>0.94868329805051377</v>
      </c>
      <c r="J4">
        <v>2000</v>
      </c>
      <c r="K4">
        <v>5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76446-41F9-46E5-AFDC-4B9BB61B52E3}">
  <dimension ref="A1:Y5"/>
  <sheetViews>
    <sheetView workbookViewId="0">
      <selection activeCell="L10" sqref="L10"/>
    </sheetView>
  </sheetViews>
  <sheetFormatPr defaultRowHeight="14.5" x14ac:dyDescent="0.35"/>
  <cols>
    <col min="1" max="1" width="8.7265625" style="16"/>
  </cols>
  <sheetData>
    <row r="1" spans="1:25" s="16" customFormat="1" x14ac:dyDescent="0.35">
      <c r="A1" s="16" t="s">
        <v>58</v>
      </c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  <c r="L1" s="16">
        <v>11</v>
      </c>
      <c r="M1" s="16">
        <v>12</v>
      </c>
      <c r="N1" s="16">
        <v>13</v>
      </c>
      <c r="O1" s="16">
        <v>14</v>
      </c>
      <c r="P1" s="16">
        <v>15</v>
      </c>
      <c r="Q1" s="16">
        <v>16</v>
      </c>
      <c r="R1" s="16">
        <v>17</v>
      </c>
      <c r="S1" s="16">
        <v>18</v>
      </c>
      <c r="T1" s="16">
        <v>19</v>
      </c>
      <c r="U1" s="16">
        <v>20</v>
      </c>
      <c r="V1" s="16">
        <v>21</v>
      </c>
      <c r="W1" s="16">
        <v>22</v>
      </c>
      <c r="X1" s="16">
        <v>23</v>
      </c>
      <c r="Y1" s="16">
        <v>24</v>
      </c>
    </row>
    <row r="2" spans="1:25" x14ac:dyDescent="0.35">
      <c r="A2" s="16" t="s">
        <v>32</v>
      </c>
      <c r="B2" s="15">
        <v>4.4688888888888902</v>
      </c>
      <c r="C2" s="15">
        <v>4.4066666666666672</v>
      </c>
      <c r="D2" s="15">
        <v>4.2311111111111108</v>
      </c>
      <c r="E2" s="15">
        <v>4.1233333333333331</v>
      </c>
      <c r="F2" s="15">
        <v>3.9311111111111132</v>
      </c>
      <c r="G2" s="15">
        <v>3.8966666666666665</v>
      </c>
      <c r="H2" s="15">
        <v>3.8966666666666674</v>
      </c>
      <c r="I2" s="15">
        <v>3.8555555555555556</v>
      </c>
      <c r="J2" s="15">
        <v>4.0222222222222213</v>
      </c>
      <c r="K2" s="15">
        <v>4.6322222222222225</v>
      </c>
      <c r="L2" s="15">
        <v>5.5722222222222229</v>
      </c>
      <c r="M2" s="15">
        <v>6.3797752808988797</v>
      </c>
      <c r="N2" s="15">
        <v>6.92808988764045</v>
      </c>
      <c r="O2" s="15">
        <v>7.3606741573033698</v>
      </c>
      <c r="P2" s="15">
        <v>7.4056179775280899</v>
      </c>
      <c r="Q2" s="15">
        <v>7.2247191011235934</v>
      </c>
      <c r="R2" s="15">
        <v>6.7876404494382037</v>
      </c>
      <c r="S2" s="15">
        <v>6.0674157303370784</v>
      </c>
      <c r="T2" s="15">
        <v>5.4910112359550594</v>
      </c>
      <c r="U2" s="15">
        <v>5.120000000000001</v>
      </c>
      <c r="V2" s="15">
        <v>4.9911111111111115</v>
      </c>
      <c r="W2" s="15">
        <v>4.8155555555555534</v>
      </c>
      <c r="X2" s="15">
        <v>4.67</v>
      </c>
      <c r="Y2" s="15">
        <v>4.594444444444445</v>
      </c>
    </row>
    <row r="3" spans="1:25" x14ac:dyDescent="0.35">
      <c r="A3" s="16" t="s">
        <v>20</v>
      </c>
      <c r="B3" s="15">
        <v>7.3271739130434801</v>
      </c>
      <c r="C3" s="15">
        <v>7.0326086956521747</v>
      </c>
      <c r="D3" s="15">
        <v>6.8097826086956532</v>
      </c>
      <c r="E3" s="15">
        <v>6.6804347826086943</v>
      </c>
      <c r="F3" s="15">
        <v>6.4815217391304341</v>
      </c>
      <c r="G3" s="15">
        <v>6.3858695652173898</v>
      </c>
      <c r="H3" s="15">
        <v>6.8989130434782613</v>
      </c>
      <c r="I3" s="15">
        <v>8.0532608695652179</v>
      </c>
      <c r="J3" s="15">
        <v>9.3054347826086943</v>
      </c>
      <c r="K3" s="15">
        <v>10.585869565217394</v>
      </c>
      <c r="L3" s="15">
        <v>11.563043478260871</v>
      </c>
      <c r="M3" s="15">
        <v>12.31195652173913</v>
      </c>
      <c r="N3" s="15">
        <v>12.898913043478261</v>
      </c>
      <c r="O3" s="15">
        <v>13.243478260869566</v>
      </c>
      <c r="P3" s="15">
        <v>13.382608695652177</v>
      </c>
      <c r="Q3" s="15">
        <v>13.474999999999993</v>
      </c>
      <c r="R3" s="15">
        <v>13.23804347826087</v>
      </c>
      <c r="S3" s="15">
        <v>12.793478260869568</v>
      </c>
      <c r="T3" s="15">
        <v>11.976086956521739</v>
      </c>
      <c r="U3" s="15">
        <v>10.830434782608698</v>
      </c>
      <c r="V3" s="15">
        <v>9.7902173913043438</v>
      </c>
      <c r="W3" s="15">
        <v>9.0239130434782595</v>
      </c>
      <c r="X3" s="15">
        <v>8.3869565217391298</v>
      </c>
      <c r="Y3" s="15">
        <v>7.96086956521739</v>
      </c>
    </row>
    <row r="4" spans="1:25" x14ac:dyDescent="0.35">
      <c r="A4" s="16" t="s">
        <v>33</v>
      </c>
      <c r="B4" s="15">
        <v>14.267032967033</v>
      </c>
      <c r="C4" s="15">
        <v>13.718681318681314</v>
      </c>
      <c r="D4" s="15">
        <v>13.280219780219785</v>
      </c>
      <c r="E4" s="15">
        <v>13.020879120879123</v>
      </c>
      <c r="F4" s="15">
        <v>12.835164835164836</v>
      </c>
      <c r="G4" s="15">
        <v>12.946153846153848</v>
      </c>
      <c r="H4" s="15">
        <v>14.348351648351647</v>
      </c>
      <c r="I4" s="15">
        <v>16.205494505494503</v>
      </c>
      <c r="J4" s="15">
        <v>17.803296703296706</v>
      </c>
      <c r="K4" s="15">
        <v>19.284615384615382</v>
      </c>
      <c r="L4" s="15">
        <v>20.380000000000003</v>
      </c>
      <c r="M4" s="15">
        <v>21.212222222222223</v>
      </c>
      <c r="N4" s="15">
        <v>21.966666666666676</v>
      </c>
      <c r="O4" s="15">
        <v>22.5488888888889</v>
      </c>
      <c r="P4" s="15">
        <v>22.862637362637361</v>
      </c>
      <c r="Q4" s="15">
        <v>22.856043956043958</v>
      </c>
      <c r="R4" s="15">
        <v>22.735164835164838</v>
      </c>
      <c r="S4" s="15">
        <v>22.191208791208794</v>
      </c>
      <c r="T4" s="15">
        <v>21.228571428571435</v>
      </c>
      <c r="U4" s="15">
        <v>19.907692307692308</v>
      </c>
      <c r="V4" s="15">
        <v>18.164835164835168</v>
      </c>
      <c r="W4" s="15">
        <v>16.693406593406593</v>
      </c>
      <c r="X4" s="15">
        <v>15.68901098901099</v>
      </c>
      <c r="Y4" s="15">
        <v>15.012222222222237</v>
      </c>
    </row>
    <row r="5" spans="1:25" x14ac:dyDescent="0.35">
      <c r="A5" s="16" t="s">
        <v>34</v>
      </c>
      <c r="B5" s="15">
        <v>8.9384615384615369</v>
      </c>
      <c r="C5" s="15">
        <v>8.6076923076923091</v>
      </c>
      <c r="D5" s="15">
        <v>8.3384615384615373</v>
      </c>
      <c r="E5" s="15">
        <v>8.1824175824175853</v>
      </c>
      <c r="F5" s="15">
        <v>7.939560439560438</v>
      </c>
      <c r="G5" s="15">
        <v>7.8021978021978038</v>
      </c>
      <c r="H5" s="15">
        <v>7.7923076923076948</v>
      </c>
      <c r="I5" s="15">
        <v>8.2186813186813179</v>
      </c>
      <c r="J5" s="15">
        <v>9.4648351648351685</v>
      </c>
      <c r="K5" s="15">
        <v>11.028571428571432</v>
      </c>
      <c r="L5" s="15">
        <v>12.50659340659341</v>
      </c>
      <c r="M5" s="15">
        <v>13.556043956043956</v>
      </c>
      <c r="N5" s="15">
        <v>14.179120879120877</v>
      </c>
      <c r="O5" s="15">
        <v>14.551648351648355</v>
      </c>
      <c r="P5" s="15">
        <v>14.706593406593404</v>
      </c>
      <c r="Q5" s="15">
        <v>14.429670329670326</v>
      </c>
      <c r="R5" s="15">
        <v>14.009890109890112</v>
      </c>
      <c r="S5" s="15">
        <v>13.072527472527474</v>
      </c>
      <c r="T5" s="15">
        <v>11.802197802197805</v>
      </c>
      <c r="U5" s="15">
        <v>10.849450549450546</v>
      </c>
      <c r="V5" s="15">
        <v>10.213186813186818</v>
      </c>
      <c r="W5" s="15">
        <v>9.7571428571428562</v>
      </c>
      <c r="X5" s="15">
        <v>9.4340659340659361</v>
      </c>
      <c r="Y5" s="15">
        <v>9.2222222222222214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6A062-83B6-4C73-ABB7-1B3247651072}">
  <dimension ref="A1:O5"/>
  <sheetViews>
    <sheetView workbookViewId="0">
      <selection activeCell="E5" sqref="E5"/>
    </sheetView>
  </sheetViews>
  <sheetFormatPr defaultRowHeight="14.5" x14ac:dyDescent="0.35"/>
  <cols>
    <col min="1" max="1" width="12.36328125" customWidth="1"/>
    <col min="2" max="2" width="22.1796875" bestFit="1" customWidth="1"/>
    <col min="11" max="11" width="12.90625" bestFit="1" customWidth="1"/>
    <col min="12" max="12" width="10.6328125" bestFit="1" customWidth="1"/>
    <col min="13" max="13" width="17.54296875" bestFit="1" customWidth="1"/>
    <col min="14" max="14" width="15.36328125" bestFit="1" customWidth="1"/>
    <col min="15" max="15" width="15.7265625" bestFit="1" customWidth="1"/>
  </cols>
  <sheetData>
    <row r="1" spans="1:15" s="16" customFormat="1" ht="16.5" x14ac:dyDescent="0.35">
      <c r="A1" s="16" t="s">
        <v>59</v>
      </c>
      <c r="B1" s="16" t="s">
        <v>60</v>
      </c>
      <c r="C1" s="20" t="s">
        <v>115</v>
      </c>
      <c r="D1" s="20" t="s">
        <v>116</v>
      </c>
      <c r="E1" s="20" t="s">
        <v>117</v>
      </c>
      <c r="F1" s="20" t="s">
        <v>118</v>
      </c>
      <c r="G1" s="20" t="s">
        <v>119</v>
      </c>
      <c r="H1" s="20" t="s">
        <v>120</v>
      </c>
      <c r="I1" s="20" t="s">
        <v>121</v>
      </c>
      <c r="J1" s="20" t="s">
        <v>122</v>
      </c>
      <c r="K1" s="16" t="s">
        <v>61</v>
      </c>
      <c r="L1" s="16" t="s">
        <v>66</v>
      </c>
      <c r="M1" s="16" t="s">
        <v>67</v>
      </c>
      <c r="N1" s="16" t="s">
        <v>80</v>
      </c>
      <c r="O1" s="16" t="s">
        <v>81</v>
      </c>
    </row>
    <row r="2" spans="1:15" x14ac:dyDescent="0.35">
      <c r="A2" t="s">
        <v>68</v>
      </c>
      <c r="B2" t="s">
        <v>69</v>
      </c>
      <c r="C2">
        <v>1.437910960742125</v>
      </c>
      <c r="D2">
        <v>5.3575547881735996</v>
      </c>
      <c r="E2">
        <v>0.86453220264000186</v>
      </c>
      <c r="F2">
        <v>1.915483454471814</v>
      </c>
      <c r="G2">
        <v>4.0906688473834712E-4</v>
      </c>
      <c r="H2">
        <v>-1.2336558069541309E-2</v>
      </c>
      <c r="I2">
        <v>6.1758663851048147E-2</v>
      </c>
      <c r="J2">
        <v>5.4998384029907879</v>
      </c>
      <c r="K2">
        <v>-10</v>
      </c>
      <c r="L2" s="17">
        <v>2575</v>
      </c>
      <c r="M2">
        <f>L2*0.75</f>
        <v>1931.25</v>
      </c>
      <c r="N2">
        <v>6.5</v>
      </c>
      <c r="O2">
        <v>14.3</v>
      </c>
    </row>
    <row r="3" spans="1:15" x14ac:dyDescent="0.35">
      <c r="A3" t="s">
        <v>62</v>
      </c>
      <c r="B3" t="s">
        <v>64</v>
      </c>
      <c r="C3">
        <v>445.36817969584348</v>
      </c>
      <c r="D3">
        <v>-1025.264236450543</v>
      </c>
      <c r="E3">
        <v>4.6984268708950491E-4</v>
      </c>
      <c r="F3">
        <v>-272.92408452031071</v>
      </c>
      <c r="G3">
        <v>9.6556114302950911E-4</v>
      </c>
      <c r="H3">
        <v>-1.5601497634458599E-2</v>
      </c>
      <c r="I3">
        <v>2.1120575398070079E-2</v>
      </c>
      <c r="J3">
        <v>7.4896694026170039</v>
      </c>
      <c r="K3">
        <v>-10</v>
      </c>
      <c r="L3" s="17">
        <v>3053</v>
      </c>
      <c r="M3">
        <f t="shared" ref="M3:M5" si="0">L3*0.7</f>
        <v>2137.1</v>
      </c>
      <c r="N3">
        <v>8.6</v>
      </c>
      <c r="O3">
        <v>17.2</v>
      </c>
    </row>
    <row r="4" spans="1:15" x14ac:dyDescent="0.35">
      <c r="A4" t="s">
        <v>63</v>
      </c>
      <c r="B4" t="s">
        <v>65</v>
      </c>
      <c r="C4">
        <v>2141.8771177314438</v>
      </c>
      <c r="D4">
        <v>300.77277227423377</v>
      </c>
      <c r="E4">
        <v>2.195173212716291E-2</v>
      </c>
      <c r="F4">
        <v>-0.65860092694414607</v>
      </c>
      <c r="G4">
        <v>5.9770560793876446E-4</v>
      </c>
      <c r="H4">
        <v>-1.398590388294485E-3</v>
      </c>
      <c r="I4">
        <v>-1.4000714739245969E-2</v>
      </c>
      <c r="J4">
        <v>14.37339688339843</v>
      </c>
      <c r="K4">
        <v>-15</v>
      </c>
      <c r="L4" s="17">
        <v>4861</v>
      </c>
      <c r="M4">
        <f t="shared" si="0"/>
        <v>3402.7</v>
      </c>
      <c r="N4">
        <v>17.899999999999999</v>
      </c>
      <c r="O4">
        <v>40.1</v>
      </c>
    </row>
    <row r="5" spans="1:15" x14ac:dyDescent="0.35">
      <c r="A5" t="s">
        <v>70</v>
      </c>
      <c r="B5" t="s">
        <v>71</v>
      </c>
      <c r="C5">
        <v>2141.8771177314438</v>
      </c>
      <c r="D5">
        <v>300.77277227423377</v>
      </c>
      <c r="E5">
        <v>2.195173212716291E-2</v>
      </c>
      <c r="F5">
        <v>-0.65860092694414607</v>
      </c>
      <c r="G5">
        <v>1.195411215877934E-3</v>
      </c>
      <c r="H5">
        <v>-2.797180776589196E-3</v>
      </c>
      <c r="I5">
        <v>-2.8001429478491342E-2</v>
      </c>
      <c r="J5">
        <v>28.746793766796859</v>
      </c>
      <c r="K5">
        <v>-15</v>
      </c>
      <c r="L5" s="17">
        <f>L4*2</f>
        <v>9722</v>
      </c>
      <c r="M5">
        <f t="shared" si="0"/>
        <v>6805.4</v>
      </c>
      <c r="N5">
        <v>17.899999999999999</v>
      </c>
      <c r="O5">
        <f>O4*2</f>
        <v>80.2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8C52-0ED5-46AA-8A9E-37CDBA1D24EF}">
  <dimension ref="A1:K5"/>
  <sheetViews>
    <sheetView workbookViewId="0">
      <selection activeCell="A2" sqref="A2:XFD2"/>
    </sheetView>
  </sheetViews>
  <sheetFormatPr defaultRowHeight="14.5" x14ac:dyDescent="0.35"/>
  <cols>
    <col min="1" max="1" width="7.6328125" bestFit="1" customWidth="1"/>
    <col min="2" max="2" width="18.90625" customWidth="1"/>
    <col min="3" max="3" width="13.6328125" bestFit="1" customWidth="1"/>
    <col min="4" max="4" width="9.08984375" bestFit="1" customWidth="1"/>
    <col min="5" max="5" width="8.54296875" bestFit="1" customWidth="1"/>
    <col min="6" max="6" width="14.453125" bestFit="1" customWidth="1"/>
    <col min="7" max="7" width="12.90625" bestFit="1" customWidth="1"/>
    <col min="8" max="8" width="15.54296875" customWidth="1"/>
    <col min="9" max="9" width="17.90625" customWidth="1"/>
    <col min="10" max="10" width="13.08984375" bestFit="1" customWidth="1"/>
    <col min="11" max="11" width="15.90625" bestFit="1" customWidth="1"/>
  </cols>
  <sheetData>
    <row r="1" spans="1:11" s="8" customFormat="1" x14ac:dyDescent="0.35">
      <c r="A1" s="8" t="s">
        <v>38</v>
      </c>
      <c r="B1" s="9" t="s">
        <v>35</v>
      </c>
      <c r="C1" s="9" t="s">
        <v>50</v>
      </c>
      <c r="D1" s="9" t="s">
        <v>36</v>
      </c>
      <c r="E1" s="9" t="s">
        <v>37</v>
      </c>
      <c r="F1" s="9" t="s">
        <v>49</v>
      </c>
      <c r="G1" s="9" t="s">
        <v>51</v>
      </c>
      <c r="H1" s="8" t="s">
        <v>39</v>
      </c>
      <c r="I1" s="8" t="s">
        <v>40</v>
      </c>
      <c r="J1" s="8" t="s">
        <v>54</v>
      </c>
      <c r="K1" s="8" t="s">
        <v>52</v>
      </c>
    </row>
    <row r="2" spans="1:11" x14ac:dyDescent="0.35">
      <c r="A2" s="10" t="s">
        <v>53</v>
      </c>
      <c r="B2">
        <v>0.9</v>
      </c>
      <c r="C2" s="14">
        <v>14</v>
      </c>
      <c r="D2" s="14">
        <v>0.95</v>
      </c>
      <c r="E2" s="14">
        <v>1</v>
      </c>
      <c r="F2">
        <v>6000</v>
      </c>
      <c r="G2">
        <f>F2/20</f>
        <v>300</v>
      </c>
      <c r="H2" s="11">
        <f>SQRT(B2)</f>
        <v>0.94868329805051377</v>
      </c>
      <c r="I2" s="11">
        <f>SQRT(B2)</f>
        <v>0.94868329805051377</v>
      </c>
      <c r="J2">
        <v>2000</v>
      </c>
      <c r="K2">
        <v>5</v>
      </c>
    </row>
    <row r="3" spans="1:11" x14ac:dyDescent="0.35">
      <c r="A3" s="10" t="s">
        <v>55</v>
      </c>
      <c r="B3">
        <v>0.95</v>
      </c>
      <c r="C3" s="14">
        <v>6.5</v>
      </c>
      <c r="D3" s="14">
        <v>0.9</v>
      </c>
      <c r="E3" s="14">
        <v>1</v>
      </c>
      <c r="F3">
        <v>3200</v>
      </c>
      <c r="G3">
        <f>F3/20</f>
        <v>160</v>
      </c>
      <c r="H3" s="11">
        <f>SQRT(B3)</f>
        <v>0.97467943448089633</v>
      </c>
      <c r="I3" s="11">
        <f>SQRT(B3)</f>
        <v>0.97467943448089633</v>
      </c>
      <c r="J3">
        <f t="shared" ref="J3:J4" si="0">F3*0.15</f>
        <v>480</v>
      </c>
      <c r="K3">
        <v>4.2</v>
      </c>
    </row>
    <row r="4" spans="1:11" x14ac:dyDescent="0.35">
      <c r="A4" t="s">
        <v>56</v>
      </c>
      <c r="B4">
        <v>0.95</v>
      </c>
      <c r="C4" s="14">
        <v>3.3</v>
      </c>
      <c r="D4" s="14">
        <v>0.87</v>
      </c>
      <c r="E4" s="14">
        <v>1</v>
      </c>
      <c r="F4">
        <v>2200</v>
      </c>
      <c r="G4">
        <f>F4/20</f>
        <v>110</v>
      </c>
      <c r="H4" s="11">
        <f>SQRT(B4)</f>
        <v>0.97467943448089633</v>
      </c>
      <c r="I4" s="11">
        <f>SQRT(B4)</f>
        <v>0.97467943448089633</v>
      </c>
      <c r="J4">
        <f t="shared" si="0"/>
        <v>330</v>
      </c>
      <c r="K4">
        <v>3</v>
      </c>
    </row>
    <row r="5" spans="1:11" x14ac:dyDescent="0.35">
      <c r="A5" t="s">
        <v>57</v>
      </c>
      <c r="B5">
        <v>0.9</v>
      </c>
      <c r="C5" s="14">
        <v>3.3</v>
      </c>
      <c r="D5">
        <v>0.9</v>
      </c>
      <c r="E5">
        <v>1</v>
      </c>
      <c r="F5">
        <v>4500</v>
      </c>
      <c r="G5">
        <f>F5/20</f>
        <v>225</v>
      </c>
      <c r="H5" s="11">
        <f>SQRT(B5)</f>
        <v>0.94868329805051377</v>
      </c>
      <c r="I5" s="11">
        <f>SQRT(B5)</f>
        <v>0.94868329805051377</v>
      </c>
      <c r="J5">
        <f>F5*0.15</f>
        <v>675</v>
      </c>
      <c r="K5"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405C6-2DFA-4444-A38C-448E055CBB0A}">
  <dimension ref="A1:K5"/>
  <sheetViews>
    <sheetView workbookViewId="0">
      <selection activeCell="C8" sqref="C8"/>
    </sheetView>
  </sheetViews>
  <sheetFormatPr defaultRowHeight="14.5" x14ac:dyDescent="0.35"/>
  <cols>
    <col min="2" max="2" width="15.453125" bestFit="1" customWidth="1"/>
    <col min="3" max="3" width="11.54296875" bestFit="1" customWidth="1"/>
    <col min="4" max="4" width="18.26953125" bestFit="1" customWidth="1"/>
    <col min="5" max="5" width="16" bestFit="1" customWidth="1"/>
    <col min="6" max="6" width="17.90625" bestFit="1" customWidth="1"/>
    <col min="7" max="7" width="9.90625" bestFit="1" customWidth="1"/>
    <col min="8" max="8" width="9.26953125" bestFit="1" customWidth="1"/>
    <col min="9" max="9" width="9.54296875" bestFit="1" customWidth="1"/>
    <col min="10" max="10" width="25.6328125" bestFit="1" customWidth="1"/>
    <col min="11" max="11" width="13.26953125" bestFit="1" customWidth="1"/>
  </cols>
  <sheetData>
    <row r="1" spans="1:11" x14ac:dyDescent="0.35">
      <c r="A1" t="s">
        <v>59</v>
      </c>
      <c r="B1" t="s">
        <v>60</v>
      </c>
      <c r="C1" t="s">
        <v>90</v>
      </c>
      <c r="D1" t="s">
        <v>102</v>
      </c>
      <c r="E1" t="s">
        <v>78</v>
      </c>
      <c r="F1" t="s">
        <v>40</v>
      </c>
      <c r="G1" t="s">
        <v>79</v>
      </c>
      <c r="H1" t="s">
        <v>86</v>
      </c>
      <c r="I1" t="s">
        <v>87</v>
      </c>
      <c r="J1" t="s">
        <v>99</v>
      </c>
      <c r="K1" t="s">
        <v>100</v>
      </c>
    </row>
    <row r="2" spans="1:11" x14ac:dyDescent="0.35">
      <c r="A2" t="s">
        <v>88</v>
      </c>
      <c r="B2" t="s">
        <v>89</v>
      </c>
      <c r="C2">
        <f>150/1000</f>
        <v>0.15</v>
      </c>
      <c r="D2">
        <v>3924</v>
      </c>
      <c r="E2">
        <v>0.9</v>
      </c>
      <c r="F2">
        <v>0.9</v>
      </c>
      <c r="G2">
        <v>45</v>
      </c>
      <c r="H2">
        <v>0.57899999999999996</v>
      </c>
      <c r="I2">
        <v>1.1299999999999999</v>
      </c>
      <c r="J2">
        <f>0.38/1000</f>
        <v>3.8000000000000002E-4</v>
      </c>
      <c r="K2">
        <f>48/1000</f>
        <v>4.8000000000000001E-2</v>
      </c>
    </row>
    <row r="3" spans="1:11" x14ac:dyDescent="0.35">
      <c r="A3" t="s">
        <v>72</v>
      </c>
      <c r="B3" t="s">
        <v>75</v>
      </c>
      <c r="C3">
        <f>170/1000</f>
        <v>0.17</v>
      </c>
      <c r="D3" s="17">
        <v>3979</v>
      </c>
      <c r="E3">
        <v>0.9</v>
      </c>
      <c r="F3">
        <v>0.9</v>
      </c>
      <c r="G3">
        <v>45</v>
      </c>
      <c r="H3">
        <v>0.57899999999999996</v>
      </c>
      <c r="I3">
        <v>1.256</v>
      </c>
      <c r="J3">
        <f t="shared" ref="J3:J5" si="0">0.38/1000</f>
        <v>3.8000000000000002E-4</v>
      </c>
      <c r="K3">
        <f>51/1000</f>
        <v>5.0999999999999997E-2</v>
      </c>
    </row>
    <row r="4" spans="1:11" x14ac:dyDescent="0.35">
      <c r="A4" t="s">
        <v>73</v>
      </c>
      <c r="B4" t="s">
        <v>76</v>
      </c>
      <c r="C4">
        <f>210/1000</f>
        <v>0.21</v>
      </c>
      <c r="D4" s="17">
        <v>4033</v>
      </c>
      <c r="E4">
        <v>0.9</v>
      </c>
      <c r="F4">
        <v>0.9</v>
      </c>
      <c r="G4">
        <v>45</v>
      </c>
      <c r="H4">
        <v>0.57899999999999996</v>
      </c>
      <c r="I4">
        <v>1.508</v>
      </c>
      <c r="J4">
        <f t="shared" si="0"/>
        <v>3.8000000000000002E-4</v>
      </c>
      <c r="K4">
        <f>64/1000</f>
        <v>6.4000000000000001E-2</v>
      </c>
    </row>
    <row r="5" spans="1:11" x14ac:dyDescent="0.35">
      <c r="A5" t="s">
        <v>74</v>
      </c>
      <c r="B5" t="s">
        <v>77</v>
      </c>
      <c r="C5">
        <f>300/1000</f>
        <v>0.3</v>
      </c>
      <c r="D5" s="17">
        <v>5114</v>
      </c>
      <c r="E5">
        <v>0.9</v>
      </c>
      <c r="F5">
        <v>0.9</v>
      </c>
      <c r="G5">
        <v>45</v>
      </c>
      <c r="H5">
        <v>0.57899999999999996</v>
      </c>
      <c r="I5">
        <v>2.0739999999999998</v>
      </c>
      <c r="J5">
        <f t="shared" si="0"/>
        <v>3.8000000000000002E-4</v>
      </c>
      <c r="K5">
        <f>87/1000</f>
        <v>8.6999999999999994E-2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Guidance</vt:lpstr>
      <vt:lpstr>Res_Scalars</vt:lpstr>
      <vt:lpstr>Irradiance</vt:lpstr>
      <vt:lpstr>Roof_areas_res</vt:lpstr>
      <vt:lpstr>batteries</vt:lpstr>
      <vt:lpstr>Air_temp</vt:lpstr>
      <vt:lpstr>ASHPs</vt:lpstr>
      <vt:lpstr>all_batteries</vt:lpstr>
      <vt:lpstr>Tanks</vt:lpstr>
      <vt:lpstr>Boilers</vt:lpstr>
      <vt:lpstr>HP_Tank_options</vt:lpstr>
      <vt:lpstr>Tank_cost_HP</vt:lpstr>
      <vt:lpstr>Some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Ishanki De Mel</dc:creator>
  <cp:lastModifiedBy>Ishanki</cp:lastModifiedBy>
  <dcterms:created xsi:type="dcterms:W3CDTF">2015-06-05T18:19:34Z</dcterms:created>
  <dcterms:modified xsi:type="dcterms:W3CDTF">2022-08-17T11:01:54Z</dcterms:modified>
</cp:coreProperties>
</file>