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ỒN" sheetId="1" r:id="rId4"/>
    <sheet state="visible" name="R, E1" sheetId="2" r:id="rId5"/>
    <sheet state="visible" name="TAISEI GAS (02)" sheetId="3" r:id="rId6"/>
    <sheet state="visible" name="Ong Gio (06)" sheetId="4" r:id="rId7"/>
    <sheet state="visible" name="Kép, Taisei Sup, Bạc" sheetId="5" r:id="rId8"/>
    <sheet state="visible" name="TAISEI KÝ GỬI" sheetId="6" r:id="rId9"/>
    <sheet state="visible" name="Qhan+BC+BB(05)" sheetId="7" r:id="rId10"/>
    <sheet state="visible" name="ĐỒNG HAILIANG + D (01)" sheetId="8" r:id="rId11"/>
    <sheet state="visible" name="Ống Đồng Luồn Xốp" sheetId="9" r:id="rId12"/>
    <sheet state="visible" name="TAISEI ĐỒNG (01)" sheetId="10" r:id="rId13"/>
    <sheet state="visible" name="Co cút PKĐ(07)" sheetId="11" r:id="rId14"/>
    <sheet state="hidden" name="BỘ CHIA GAS" sheetId="12" r:id="rId15"/>
    <sheet state="visible" name="Hàng D - Dàn, Lốc, Vật tư" sheetId="13" r:id="rId16"/>
    <sheet state="visible" name="Hàng D - Bảo ôn, CN" sheetId="14" r:id="rId17"/>
    <sheet state="visible" name="1.ĐỒNG" sheetId="15" r:id="rId18"/>
    <sheet state="visible" name="1.OĐLX" sheetId="16" r:id="rId19"/>
    <sheet state="visible" name="2.XỐP ỐNG" sheetId="17" r:id="rId20"/>
    <sheet state="visible" name="2.XỐP TẤM" sheetId="18" r:id="rId21"/>
    <sheet state="visible" name="3.GAS" sheetId="19" r:id="rId22"/>
    <sheet state="visible" name="4.ỐNG GIÓ" sheetId="20" r:id="rId23"/>
    <sheet state="visible" name="4.BTT+BK" sheetId="21" r:id="rId24"/>
    <sheet state="visible" name="4.CÁCH NHIỆT KHÁC" sheetId="22" r:id="rId25"/>
    <sheet state="visible" name="5.VẬT TƯ" sheetId="23" r:id="rId26"/>
  </sheets>
  <definedNames>
    <definedName hidden="1" localSheetId="22" name="_xlnm._FilterDatabase">'5.VẬT TƯ'!$A$4:$K$778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M104">
      <text>
        <t xml:space="preserve">R32 nhỏ tính 20 Bình cho khung này
	-Ngoc Thuy Pham</t>
      </text>
    </comment>
  </commentList>
</comments>
</file>

<file path=xl/sharedStrings.xml><?xml version="1.0" encoding="utf-8"?>
<sst xmlns="http://schemas.openxmlformats.org/spreadsheetml/2006/main" count="23110" uniqueCount="10167">
  <si>
    <t>R /// PHÂN VÙNG</t>
  </si>
  <si>
    <t>E /// DANH SÁCH KHÁCH ĐẶC BIỆT HƯỞNG GIÁ ƯU ĐÃI TỪNG NGÀNH HÀNG</t>
  </si>
  <si>
    <t>Mã vùng</t>
  </si>
  <si>
    <t>Khu vực</t>
  </si>
  <si>
    <t>T2</t>
  </si>
  <si>
    <t>T3</t>
  </si>
  <si>
    <t>T4</t>
  </si>
  <si>
    <t>T5</t>
  </si>
  <si>
    <t>T6</t>
  </si>
  <si>
    <t>T7</t>
  </si>
  <si>
    <t>Gas</t>
  </si>
  <si>
    <t>Đồng</t>
  </si>
  <si>
    <t>Xốp</t>
  </si>
  <si>
    <t>R1</t>
  </si>
  <si>
    <t>HCM</t>
  </si>
  <si>
    <t>Mã khách</t>
  </si>
  <si>
    <t>Tên khách</t>
  </si>
  <si>
    <t>Vùng ( R)</t>
  </si>
  <si>
    <t>Vũng Tàu</t>
  </si>
  <si>
    <t>Vạn Phát</t>
  </si>
  <si>
    <t>R2</t>
  </si>
  <si>
    <t>An Giang</t>
  </si>
  <si>
    <t>Thiên hoàng chính</t>
  </si>
  <si>
    <t>Bạc Liêu</t>
  </si>
  <si>
    <t>Kim Thành Phát</t>
  </si>
  <si>
    <t>Bến Tre</t>
  </si>
  <si>
    <t>Cà Mau</t>
  </si>
  <si>
    <t>Cần Thơ</t>
  </si>
  <si>
    <t>Đồng Tháp</t>
  </si>
  <si>
    <t>Hậu Giang</t>
  </si>
  <si>
    <t>Kiên Giang</t>
  </si>
  <si>
    <t>Long An</t>
  </si>
  <si>
    <t>Sóc Trăng</t>
  </si>
  <si>
    <t>Tiền Giang</t>
  </si>
  <si>
    <t>Trà Vinh</t>
  </si>
  <si>
    <t>Vĩnh Long</t>
  </si>
  <si>
    <t>R3</t>
  </si>
  <si>
    <t>Bình Dương</t>
  </si>
  <si>
    <t>Bình Phước</t>
  </si>
  <si>
    <t>Đồng Nai</t>
  </si>
  <si>
    <t>Tây Ninh</t>
  </si>
  <si>
    <t>R4</t>
  </si>
  <si>
    <t>Bình Định</t>
  </si>
  <si>
    <t>Bình Thuận</t>
  </si>
  <si>
    <t>Khánh Hòa</t>
  </si>
  <si>
    <t>Ninh Thuận</t>
  </si>
  <si>
    <t>Phú Yên</t>
  </si>
  <si>
    <t>R5</t>
  </si>
  <si>
    <t>Đắk Lắk</t>
  </si>
  <si>
    <t>Đắk Nông</t>
  </si>
  <si>
    <t>Gia Lai</t>
  </si>
  <si>
    <t>Kon Tum</t>
  </si>
  <si>
    <t>Lâm Đồng</t>
  </si>
  <si>
    <t>PHÂN VÙNG GT</t>
  </si>
  <si>
    <t>MÃ VÙNG</t>
  </si>
  <si>
    <t>TỈNH THÀNH/QUẬN HUYỆN</t>
  </si>
  <si>
    <t>Telesale</t>
  </si>
  <si>
    <t>SR</t>
  </si>
  <si>
    <t>QL</t>
  </si>
  <si>
    <t>HCM ,Vũng Tàu</t>
  </si>
  <si>
    <t>Nguyễn Thị Lan</t>
  </si>
  <si>
    <t>An Giang ,Bạc Liêu ,Bến Tre ,Cà Mau ,Cần Thơ ,Đồng Tháp ,Hậu Giang ,Kiên Giang ,Long An ,Sóc Trăng ,Tiền Giang ,Trà Vinh ,Vĩnh Long</t>
  </si>
  <si>
    <t>Bình Dương ,Bình Phước ,Đồng Nai ,Tây Ninh</t>
  </si>
  <si>
    <t>Bình Định ,Bình Thuận ,Khánh Hòa ,Ninh Thuận ,Phú Yên</t>
  </si>
  <si>
    <t>Đắk Lắk ,Đắk Nông ,Gia Lai ,Kon Tum ,Lâm Đồng</t>
  </si>
  <si>
    <r>
      <rPr>
        <rFont val="Merriweather"/>
        <b/>
        <color rgb="FFFF0000"/>
        <sz val="18.0"/>
      </rPr>
      <t>GT HCM</t>
    </r>
    <r>
      <rPr>
        <rFont val="Merriweather"/>
        <b/>
        <color rgb="FFFF0000"/>
        <sz val="18.0"/>
      </rPr>
      <t xml:space="preserve"> // CHÍNH SÁCH </t>
    </r>
    <r>
      <rPr>
        <rFont val="Merriweather"/>
        <b/>
        <color rgb="FFFF0000"/>
        <sz val="18.0"/>
      </rPr>
      <t>GAS</t>
    </r>
  </si>
  <si>
    <t>LOẠI HÀNG / TÊN HÀNG</t>
  </si>
  <si>
    <t>Tồn</t>
  </si>
  <si>
    <t>Giá niêm yết</t>
  </si>
  <si>
    <t>Thành tiền</t>
  </si>
  <si>
    <t>Giá chưa VAT</t>
  </si>
  <si>
    <t>Giá K</t>
  </si>
  <si>
    <t>GAS LẠNH TAISEI - CAO CẤP LOẠI 1 - CHINA</t>
  </si>
  <si>
    <t>Bán lẻ</t>
  </si>
  <si>
    <t>Khung 1: 10 bình nhỏ hoặc 5 bình to/50tr ố đồng</t>
  </si>
  <si>
    <t>Khung 2: mua 25 bình nhỏ hoặc 10 bình to</t>
  </si>
  <si>
    <t>Khung 3: 50b nhỏ hoặc 30 bình to</t>
  </si>
  <si>
    <t>GA22TQ03</t>
  </si>
  <si>
    <t>Gas lạnh</t>
  </si>
  <si>
    <t>TAISEI</t>
  </si>
  <si>
    <t>R22</t>
  </si>
  <si>
    <t>3kg</t>
  </si>
  <si>
    <t>TQ</t>
  </si>
  <si>
    <t>GA22TAISEITQ</t>
  </si>
  <si>
    <t>13.6kg</t>
  </si>
  <si>
    <t>GA32TQ03</t>
  </si>
  <si>
    <t>R32</t>
  </si>
  <si>
    <t>GA32TQ07</t>
  </si>
  <si>
    <t>7kg</t>
  </si>
  <si>
    <t>GA32TQ9.5</t>
  </si>
  <si>
    <t>9.5kg</t>
  </si>
  <si>
    <t>GA32TQ10</t>
  </si>
  <si>
    <t>10kg</t>
  </si>
  <si>
    <t>GA134TASEITQ3</t>
  </si>
  <si>
    <t>R134</t>
  </si>
  <si>
    <t>GA134TASEITQ</t>
  </si>
  <si>
    <t>GA410TAI-TQ28</t>
  </si>
  <si>
    <t>R410</t>
  </si>
  <si>
    <t>2.8kg</t>
  </si>
  <si>
    <t>GA410TAI-TQ</t>
  </si>
  <si>
    <t>11.3kg</t>
  </si>
  <si>
    <t>GA404TQ27</t>
  </si>
  <si>
    <t>R404</t>
  </si>
  <si>
    <t>2.7kg</t>
  </si>
  <si>
    <t>GA404TQ10.9</t>
  </si>
  <si>
    <t>10.9kg</t>
  </si>
  <si>
    <t>GA407TQ28</t>
  </si>
  <si>
    <t>R407</t>
  </si>
  <si>
    <t>GA600TQ3</t>
  </si>
  <si>
    <t>R600</t>
  </si>
  <si>
    <t>GA600TQ65</t>
  </si>
  <si>
    <t>6.5kg</t>
  </si>
  <si>
    <t>GAS LẠNH TAISEI - CAO CẤP LOẠI 1 - INDIA</t>
  </si>
  <si>
    <t>GA22TAISEI</t>
  </si>
  <si>
    <t>ẤN</t>
  </si>
  <si>
    <t>20.12.2022</t>
  </si>
  <si>
    <t>GA410RE-India</t>
  </si>
  <si>
    <t>REFRON</t>
  </si>
  <si>
    <t>9.2.2023</t>
  </si>
  <si>
    <t>GA407RE-India</t>
  </si>
  <si>
    <t>GA404ABESTGA</t>
  </si>
  <si>
    <t>Gas lạnh 404A</t>
  </si>
  <si>
    <t>BESTGAS</t>
  </si>
  <si>
    <t>GA22L1</t>
  </si>
  <si>
    <t>GAS LẠNH CHEMOUS / DUPONT - MADE IN USA / EU</t>
  </si>
  <si>
    <t>5B</t>
  </si>
  <si>
    <t>10B</t>
  </si>
  <si>
    <t>GA134DUCHEM-USA</t>
  </si>
  <si>
    <t>Chemour</t>
  </si>
  <si>
    <t>Mỹ</t>
  </si>
  <si>
    <t>GA410DUCHEM-EU</t>
  </si>
  <si>
    <t>EU</t>
  </si>
  <si>
    <t>GAS LẠNH HÀNG XẢ</t>
  </si>
  <si>
    <t>D</t>
  </si>
  <si>
    <t>GA134TAISEI</t>
  </si>
  <si>
    <t>Nhật</t>
  </si>
  <si>
    <t>GA410FRAKM</t>
  </si>
  <si>
    <t>Arkema</t>
  </si>
  <si>
    <t>Tổng hàng D</t>
  </si>
  <si>
    <t>Ghi chú</t>
  </si>
  <si>
    <t>Có thể quy đổi 1 bình to = 3 bình nhỏ</t>
  </si>
  <si>
    <t>Giá này là cộng dồn TQ với TQ, ẤN với Ấn, Mỹ với Mỹ trong 1 đơn hàng</t>
  </si>
  <si>
    <t>Hàng Taisei khác đạt khung nào thì Gas lạnh này được tính giá theo khung đó ( áp dụng trên cùng 1 đơn hàng)</t>
  </si>
  <si>
    <t>Thay đổi giá báo trước 3 tiếng.</t>
  </si>
  <si>
    <t>Bình to ( &gt; = 7kg ) hoặc loại bình bé ( &lt; 7kg )</t>
  </si>
  <si>
    <t>GT HCM // CHÍNH SÁCH GAS</t>
  </si>
  <si>
    <t>Khung 1: 10 bình bé hoặc 5 bình to / 30TR/ SKU # = 3 dòng</t>
  </si>
  <si>
    <t>Khung 2: 20 bình nhỏ hoặc 10 bình to/ 50TR /SKU # = 5 dòng</t>
  </si>
  <si>
    <t>4.2.2023</t>
  </si>
  <si>
    <t>7.2.2023</t>
  </si>
  <si>
    <r>
      <rPr>
        <rFont val="Merriweather"/>
        <b/>
        <color rgb="FF4285F4"/>
        <sz val="10.0"/>
      </rPr>
      <t>GT HCM</t>
    </r>
    <r>
      <rPr>
        <rFont val="Merriweather"/>
        <b/>
        <color rgb="FFFF0000"/>
        <sz val="10.0"/>
      </rPr>
      <t xml:space="preserve"> // CHÍNH SÁCH </t>
    </r>
    <r>
      <rPr>
        <rFont val="Merriweather"/>
        <b/>
        <color rgb="FF4285F4"/>
        <sz val="10.0"/>
      </rPr>
      <t>GAS</t>
    </r>
    <r>
      <rPr>
        <rFont val="Merriweather"/>
        <b/>
        <color rgb="FFFF0000"/>
        <sz val="10.0"/>
      </rPr>
      <t xml:space="preserve"> ( CÓ VAT)</t>
    </r>
  </si>
  <si>
    <t>Tồn kho</t>
  </si>
  <si>
    <t>Bán lẻ có VAT</t>
  </si>
  <si>
    <t>10 bình bé hoặc 5 bình to</t>
  </si>
  <si>
    <t>20 bình nhỏ hoặc 10 bình to</t>
  </si>
  <si>
    <t>Tổng 25 bình nhỏ hoặc 18 bình to</t>
  </si>
  <si>
    <t>50 bình bé hoặc 30 bình to</t>
  </si>
  <si>
    <t>E1
50 to/100 nhỏ mỗi loại</t>
  </si>
  <si>
    <t>20TR SKU #</t>
  </si>
  <si>
    <t>50TR SKU #</t>
  </si>
  <si>
    <t>100TR SKU #</t>
  </si>
  <si>
    <t>Khung 1</t>
  </si>
  <si>
    <t>Khung 2</t>
  </si>
  <si>
    <t>Khung 3</t>
  </si>
  <si>
    <t>GA134SRF</t>
  </si>
  <si>
    <t>SRF</t>
  </si>
  <si>
    <t>GA410TAI-AD</t>
  </si>
  <si>
    <t>Lẻ</t>
  </si>
  <si>
    <t>20B</t>
  </si>
  <si>
    <t>100B</t>
  </si>
  <si>
    <t>GA410DUCHEM-USA</t>
  </si>
  <si>
    <t>GA404CHEM-EU</t>
  </si>
  <si>
    <t>10.98kg</t>
  </si>
  <si>
    <t>GA407CHEM-EU</t>
  </si>
  <si>
    <t>Giá có VAT</t>
  </si>
  <si>
    <t>GA22FLORON(TO)</t>
  </si>
  <si>
    <t>FLORON</t>
  </si>
  <si>
    <t>22.7kg</t>
  </si>
  <si>
    <t>GA407TAISEI</t>
  </si>
  <si>
    <r>
      <rPr>
        <rFont val="Merriweather"/>
        <b/>
        <color theme="4"/>
        <sz val="10.0"/>
      </rPr>
      <t>GT HCM</t>
    </r>
    <r>
      <rPr>
        <rFont val="Merriweather"/>
        <b/>
        <color rgb="FFFF0000"/>
        <sz val="10.0"/>
      </rPr>
      <t xml:space="preserve"> // CHÍNH SÁCH </t>
    </r>
    <r>
      <rPr>
        <rFont val="Merriweather"/>
        <b/>
        <color theme="4"/>
        <sz val="10.0"/>
      </rPr>
      <t>GAS</t>
    </r>
    <r>
      <rPr>
        <rFont val="Merriweather"/>
        <b/>
        <color rgb="FFFF0000"/>
        <sz val="10.0"/>
      </rPr>
      <t xml:space="preserve"> ( CÓ VAT)</t>
    </r>
  </si>
  <si>
    <t>Tổng 30 bình nhỏ hoặc 15 bình to</t>
  </si>
  <si>
    <t>ĐC 05.04</t>
  </si>
  <si>
    <t>ĐC 16.04</t>
  </si>
  <si>
    <t>ĐC 30.03</t>
  </si>
  <si>
    <t>GA404CHEM-USA</t>
  </si>
  <si>
    <t>GA407CHEM-USA</t>
  </si>
  <si>
    <t>GA410FL-India</t>
  </si>
  <si>
    <t>Floron</t>
  </si>
  <si>
    <t>Cuối tháng 10 tổng kết trên từng mã khách hàng ( áp dụng cho những mã được cấp Quota hàng Trung Quốc)</t>
  </si>
  <si>
    <t>Tổng 400b bé hoặc 100b to ( trừ hàng được tính giá Quota) được ck 1%</t>
  </si>
  <si>
    <t>Tổng 600b bé hoặc 200b to ( trừ hàng được tính giá Quota) được ck 3%</t>
  </si>
  <si>
    <t>1 loại đạt khug nào thì các loại khác được tính giá về khung đó</t>
  </si>
  <si>
    <t>GT HCM // CHÍNH SÁCH GAS 11.10.2021 (CÓ VAT)</t>
  </si>
  <si>
    <t>5B trộn hoặc to bé riêng</t>
  </si>
  <si>
    <t>Tổng 10B trộn to và nhỏ
 HOẶC 10 nhỏ HOẶC 6 to</t>
  </si>
  <si>
    <t>Tổng 30B trộn to và nhỏ
 HOẶC 30 nhỏ HOẶC 10 to</t>
  </si>
  <si>
    <t>GA134FL3</t>
  </si>
  <si>
    <t>Ấn</t>
  </si>
  <si>
    <t>GA404SRF</t>
  </si>
  <si>
    <t>GA407SRF</t>
  </si>
  <si>
    <t>ỐNG GIÓ / BTT / BK</t>
  </si>
  <si>
    <t>SẢN PHẨM</t>
  </si>
  <si>
    <t>ĐVT</t>
  </si>
  <si>
    <t>Tồn (Taisei)</t>
  </si>
  <si>
    <t>Tồn (ORD)</t>
  </si>
  <si>
    <t>Khung2</t>
  </si>
  <si>
    <t>10c/50tr ố Đồng</t>
  </si>
  <si>
    <t>20c/120tr ố Đồng</t>
  </si>
  <si>
    <t>30c/280tr ố Đồng</t>
  </si>
  <si>
    <t>Được cộng dồn các loại ống gió  trong 1 đơn hàng</t>
  </si>
  <si>
    <t>GIÁ V</t>
  </si>
  <si>
    <r>
      <rPr>
        <rFont val="Merriweather"/>
        <b/>
        <i/>
        <color theme="1"/>
        <sz val="10.0"/>
      </rPr>
      <t xml:space="preserve">ỐNG GIÓ  </t>
    </r>
    <r>
      <rPr>
        <rFont val="Merriweather"/>
        <b/>
        <i/>
        <color rgb="FFFF0000"/>
        <sz val="10.0"/>
      </rPr>
      <t>TAISEI CLASS 1/ORD</t>
    </r>
    <r>
      <rPr>
        <rFont val="Merriweather"/>
        <b/>
        <i/>
        <color theme="1"/>
        <sz val="10.0"/>
      </rPr>
      <t xml:space="preserve"> KHÔNG CÓ BẢO ÔN ( ỐNG GIÓ TRƠN)</t>
    </r>
  </si>
  <si>
    <t>OGTTS100</t>
  </si>
  <si>
    <t>OGT100</t>
  </si>
  <si>
    <t>Ống gió trơn D100</t>
  </si>
  <si>
    <t>C/8m</t>
  </si>
  <si>
    <t>ĐC 28.04</t>
  </si>
  <si>
    <t>OGTTS125</t>
  </si>
  <si>
    <t>OGT125</t>
  </si>
  <si>
    <t>Ống gió trơn D125</t>
  </si>
  <si>
    <t>OGTTS150</t>
  </si>
  <si>
    <t>OGT150</t>
  </si>
  <si>
    <t>Ống gió trơn D150</t>
  </si>
  <si>
    <t>OGTTS200</t>
  </si>
  <si>
    <t>OGT200</t>
  </si>
  <si>
    <t>Ống gió trơn D200</t>
  </si>
  <si>
    <t>OGTTS250</t>
  </si>
  <si>
    <t>OGT250</t>
  </si>
  <si>
    <t>Ống gió trơn D250</t>
  </si>
  <si>
    <t>OGTTS300</t>
  </si>
  <si>
    <t>OGT300</t>
  </si>
  <si>
    <t>Ống gió trơn D300</t>
  </si>
  <si>
    <t>OGTTS350</t>
  </si>
  <si>
    <t>OGT350</t>
  </si>
  <si>
    <t>Ống gió trơn D350</t>
  </si>
  <si>
    <t>OGTTS400</t>
  </si>
  <si>
    <t>OGT400</t>
  </si>
  <si>
    <t>Ống gió trơn D400</t>
  </si>
  <si>
    <r>
      <rPr>
        <rFont val="Merriweather"/>
        <b/>
        <i/>
        <color theme="1"/>
        <sz val="10.0"/>
      </rPr>
      <t xml:space="preserve">ỐNG GIÓ MỀM </t>
    </r>
    <r>
      <rPr>
        <rFont val="Merriweather"/>
        <b/>
        <i/>
        <color rgb="FFFF0000"/>
        <sz val="10.0"/>
      </rPr>
      <t>TAISEI CLASS 1</t>
    </r>
    <r>
      <rPr>
        <rFont val="Merriweather"/>
        <b/>
        <i/>
        <color theme="1"/>
        <sz val="10.0"/>
      </rPr>
      <t xml:space="preserve"> BÔNG POLYESTE </t>
    </r>
  </si>
  <si>
    <t>OGBPLTS100</t>
  </si>
  <si>
    <t>OGBPL100</t>
  </si>
  <si>
    <t>Ống gió bạc D100 Polyester (8m/cuộn)</t>
  </si>
  <si>
    <t>OGBPLTS150</t>
  </si>
  <si>
    <t>OGBPL150</t>
  </si>
  <si>
    <t>Ống gió bạc D150 Polyester (8m/cuộn)</t>
  </si>
  <si>
    <t>OGBPLTS200</t>
  </si>
  <si>
    <t>OGBPL200</t>
  </si>
  <si>
    <t>Ống gió bạc D200 Polyester (8m/cuộn)</t>
  </si>
  <si>
    <t>OGBPLTS250</t>
  </si>
  <si>
    <t>OGBPL250</t>
  </si>
  <si>
    <t>Ống gió bạc D250 Polyester (8m/cuộn)</t>
  </si>
  <si>
    <t>OGBPLTS300</t>
  </si>
  <si>
    <t>OGBPL300</t>
  </si>
  <si>
    <t>Ống gió bạc D300 Polyester (8m/cuộn)</t>
  </si>
  <si>
    <t>OGBPLTS350</t>
  </si>
  <si>
    <t>OGBPL350</t>
  </si>
  <si>
    <t>Ống gió bạc D350 Polyester (8m/cuộn)</t>
  </si>
  <si>
    <t>OGBPLTS400</t>
  </si>
  <si>
    <t>OGBPL400</t>
  </si>
  <si>
    <t>Ống gió bạc D400 Polyester (8m/cuộn)</t>
  </si>
  <si>
    <r>
      <rPr>
        <rFont val="Merriweather"/>
        <b/>
        <i/>
        <color theme="1"/>
        <sz val="10.0"/>
      </rPr>
      <t>ỐNG GIÓ MỀM</t>
    </r>
    <r>
      <rPr>
        <rFont val="Merriweather"/>
        <b/>
        <i/>
        <color rgb="FFFF0000"/>
        <sz val="10.0"/>
      </rPr>
      <t xml:space="preserve"> TAISEI CLASS 1/ORD</t>
    </r>
    <r>
      <rPr>
        <rFont val="Merriweather"/>
        <b/>
        <i/>
        <color theme="1"/>
        <sz val="10.0"/>
      </rPr>
      <t xml:space="preserve"> CÓ BẢO ÔN  BTT</t>
    </r>
  </si>
  <si>
    <t>OGBTS100</t>
  </si>
  <si>
    <t>OGB100</t>
  </si>
  <si>
    <t>Ống gió bạc D100</t>
  </si>
  <si>
    <t>OGBTS125</t>
  </si>
  <si>
    <t>OGB125</t>
  </si>
  <si>
    <t>Ống gió bạc D125</t>
  </si>
  <si>
    <t>OGBTS150</t>
  </si>
  <si>
    <t>OGB150</t>
  </si>
  <si>
    <t>Ống gió bạc D150</t>
  </si>
  <si>
    <t>OGBTS200</t>
  </si>
  <si>
    <t>OGB200</t>
  </si>
  <si>
    <t>Ống gió bạc D200</t>
  </si>
  <si>
    <t>OGBTS250</t>
  </si>
  <si>
    <t>OGB250</t>
  </si>
  <si>
    <t>Ống gió bạc D250</t>
  </si>
  <si>
    <t>OGBTS300</t>
  </si>
  <si>
    <t>OGB300</t>
  </si>
  <si>
    <t>Ống gió bạc D300</t>
  </si>
  <si>
    <t>OGBTS350</t>
  </si>
  <si>
    <t>OGB350</t>
  </si>
  <si>
    <t>Ống gió bạc D350</t>
  </si>
  <si>
    <t>OGBTS400</t>
  </si>
  <si>
    <t>OGB400</t>
  </si>
  <si>
    <t>Ống gió bạc D400</t>
  </si>
  <si>
    <t>OGBTS450</t>
  </si>
  <si>
    <t>OGB450</t>
  </si>
  <si>
    <t>Ống gió bạc D450</t>
  </si>
  <si>
    <r>
      <rPr>
        <rFont val="Merriweather"/>
        <b/>
        <i/>
        <color theme="1"/>
        <sz val="10.0"/>
      </rPr>
      <t>ỐNG GIÓ MỀM</t>
    </r>
    <r>
      <rPr>
        <rFont val="Merriweather"/>
        <b/>
        <i/>
        <color rgb="FFFF0000"/>
        <sz val="10.0"/>
      </rPr>
      <t xml:space="preserve"> TAISEI CLASS 1/ORD</t>
    </r>
    <r>
      <rPr>
        <rFont val="Merriweather"/>
        <b/>
        <i/>
        <color theme="1"/>
        <sz val="10.0"/>
      </rPr>
      <t xml:space="preserve"> CÓ BẢO ÔN TT32</t>
    </r>
  </si>
  <si>
    <t>OGBTS10032</t>
  </si>
  <si>
    <t>OGB10032</t>
  </si>
  <si>
    <t>OGBTS15032</t>
  </si>
  <si>
    <t>OGB15032</t>
  </si>
  <si>
    <t>OGBTS20032</t>
  </si>
  <si>
    <t>OGB20032</t>
  </si>
  <si>
    <t>OGBTS25032</t>
  </si>
  <si>
    <t>OGB25032</t>
  </si>
  <si>
    <t>OGBTS30032</t>
  </si>
  <si>
    <t>OGB30032</t>
  </si>
  <si>
    <t>OGBTS35032</t>
  </si>
  <si>
    <t>OGB35032</t>
  </si>
  <si>
    <t>OGBTS40032</t>
  </si>
  <si>
    <t>OGB40032</t>
  </si>
  <si>
    <t>OGBTS45032</t>
  </si>
  <si>
    <t>OGB45032</t>
  </si>
  <si>
    <t>Hàng Taisei khác đạt khung nào thì ống gió này được tính giá theo khung đó ( áp dụng trên cùng 1 đơn hàng)</t>
  </si>
  <si>
    <t>Đơn giá theo khung (theo cột khung) áp dụng cho 5 loại hàng cùng lúc  khi 1 loại hàng đạt khung cao nhất. Chỉ áp dụng trong 1 đơn hàng.</t>
  </si>
  <si>
    <t>Giao hàng trong nộp thành HN, HCM. Giao 1 lần 1 đơn.</t>
  </si>
  <si>
    <t>BTT LOẠI 2 LÀ HÀNG BAO TRẮNG - CÓ THỂ DÁN ORD NHƯNG CL THẤP THIẾU KG</t>
  </si>
  <si>
    <t>Trân trọng cảm ơn và rất mong nhận được sự hợp tác của quý khách.</t>
  </si>
  <si>
    <t>STT</t>
  </si>
  <si>
    <t>MÃ HÀNG</t>
  </si>
  <si>
    <t>TÊN SẢN PHẨM</t>
  </si>
  <si>
    <t>Giá bán lẻ</t>
  </si>
  <si>
    <t>Giá 5c</t>
  </si>
  <si>
    <t>Giá 10c</t>
  </si>
  <si>
    <r>
      <rPr>
        <rFont val="Merriweather"/>
        <b/>
        <i/>
        <color rgb="FF000000"/>
        <sz val="12.0"/>
      </rPr>
      <t xml:space="preserve">ỐNG GIÓ  </t>
    </r>
    <r>
      <rPr>
        <rFont val="Merriweather"/>
        <b/>
        <i/>
        <color rgb="FFFF0000"/>
        <sz val="12.0"/>
      </rPr>
      <t>TAISEI CLASS 1</t>
    </r>
    <r>
      <rPr>
        <rFont val="Merriweather"/>
        <b/>
        <i/>
        <color rgb="FF000000"/>
        <sz val="12.0"/>
      </rPr>
      <t xml:space="preserve"> KHÔNG CÓ BẢO ÔN ( ỐNG GIÓ TRƠN)</t>
    </r>
  </si>
  <si>
    <t>Ống gió trơn D100 Taisei</t>
  </si>
  <si>
    <t>Ống gió trơn D125 Taisei</t>
  </si>
  <si>
    <t>Ống gió trơn D150 Taisei</t>
  </si>
  <si>
    <t>Ống gió trơn D200 Taisei</t>
  </si>
  <si>
    <t>Ống gió trơn D250 Taisei</t>
  </si>
  <si>
    <t>Ống gió trơn D300 Taisei</t>
  </si>
  <si>
    <t>Ống gió trơn D350 Taisei</t>
  </si>
  <si>
    <t>Ống gió trơn D400 Taisei</t>
  </si>
  <si>
    <r>
      <rPr>
        <rFont val="Merriweather"/>
        <b/>
        <i/>
        <color rgb="FF000000"/>
        <sz val="12.0"/>
      </rPr>
      <t xml:space="preserve">ỐNG GIÓ MỀM </t>
    </r>
    <r>
      <rPr>
        <rFont val="Merriweather"/>
        <b/>
        <i/>
        <color rgb="FFFF0000"/>
        <sz val="12.0"/>
      </rPr>
      <t>TAISEI CLASS 1</t>
    </r>
    <r>
      <rPr>
        <rFont val="Merriweather"/>
        <b/>
        <i/>
        <color rgb="FF000000"/>
        <sz val="12.0"/>
      </rPr>
      <t xml:space="preserve"> BÔNG POLYESTE </t>
    </r>
  </si>
  <si>
    <r>
      <rPr>
        <rFont val="Merriweather"/>
        <b/>
        <i/>
        <color rgb="FF000000"/>
        <sz val="12.0"/>
      </rPr>
      <t>ỐNG GIÓ MỀM</t>
    </r>
    <r>
      <rPr>
        <rFont val="Merriweather"/>
        <b/>
        <i/>
        <color rgb="FFFF0000"/>
        <sz val="12.0"/>
      </rPr>
      <t xml:space="preserve"> TAISEI CLASS 1</t>
    </r>
    <r>
      <rPr>
        <rFont val="Merriweather"/>
        <b/>
        <i/>
        <color rgb="FF000000"/>
        <sz val="12.0"/>
      </rPr>
      <t xml:space="preserve"> CÓ BẢO ÔN</t>
    </r>
  </si>
  <si>
    <t>Ống gió bạc D100 Taisei</t>
  </si>
  <si>
    <t>Ống gió bạc D125 Taisei</t>
  </si>
  <si>
    <t>Ống gió bạc D150 Taisei</t>
  </si>
  <si>
    <t>Ống gió bạc D200 Taisei</t>
  </si>
  <si>
    <t>Ống gió bạc D250 Taisei</t>
  </si>
  <si>
    <t>Ống gió bạc D300 Taisei</t>
  </si>
  <si>
    <t>Ống gió bạc D350 Taisei</t>
  </si>
  <si>
    <t>Ống gió bạc D400 Taisei</t>
  </si>
  <si>
    <t>Ống gió bạc D450 Taisei</t>
  </si>
  <si>
    <r>
      <rPr>
        <rFont val="Merriweather"/>
        <b/>
        <i/>
        <color rgb="FF000000"/>
        <sz val="12.0"/>
      </rPr>
      <t xml:space="preserve">BÔNG THỦY TINH </t>
    </r>
    <r>
      <rPr>
        <rFont val="Merriweather"/>
        <b/>
        <i/>
        <color rgb="FFFF0000"/>
        <sz val="12.0"/>
      </rPr>
      <t>TAISEI CLASS1</t>
    </r>
  </si>
  <si>
    <t>Bông thủy tinh</t>
  </si>
  <si>
    <t>24x50 loại 2</t>
  </si>
  <si>
    <t>24m2/C</t>
  </si>
  <si>
    <t>32x25 loại 2</t>
  </si>
  <si>
    <t>32x50 loại 2</t>
  </si>
  <si>
    <t>18m2/C</t>
  </si>
  <si>
    <r>
      <rPr>
        <rFont val="Merriweather"/>
        <b/>
        <i/>
        <color rgb="FF000000"/>
        <sz val="12.0"/>
      </rPr>
      <t xml:space="preserve">BÔNG THỦY TINH </t>
    </r>
    <r>
      <rPr>
        <rFont val="Merriweather"/>
        <b/>
        <i/>
        <color rgb="FFFF0000"/>
        <sz val="12.0"/>
      </rPr>
      <t>TAISEI CLASS0</t>
    </r>
  </si>
  <si>
    <t>24x50 loại 1</t>
  </si>
  <si>
    <t>32x25 loại 1</t>
  </si>
  <si>
    <t>32x50 loại 1</t>
  </si>
  <si>
    <t>Đơn giá không bao gồm VAT. VAT + 5%</t>
  </si>
  <si>
    <t>Quý khách lấy số lượng nhiều hơn bản báo giá này, vui lòng liên hệ để có giá tốt nhất</t>
  </si>
  <si>
    <r>
      <rPr>
        <rFont val="Merriweather"/>
        <color rgb="FF333333"/>
        <sz val="12.0"/>
      </rPr>
      <t xml:space="preserve">ĐẶC BIỆT:1 loại hàng </t>
    </r>
    <r>
      <rPr>
        <rFont val="Merriweather"/>
        <b/>
        <color rgb="FFFF0000"/>
        <sz val="12.0"/>
      </rPr>
      <t xml:space="preserve">TAISEI </t>
    </r>
    <r>
      <rPr>
        <rFont val="Merriweather"/>
        <color rgb="FF333333"/>
        <sz val="12.0"/>
      </rPr>
      <t xml:space="preserve">đạt khung nào thì tất cả các mặt hàng </t>
    </r>
    <r>
      <rPr>
        <rFont val="Merriweather"/>
        <b/>
        <color rgb="FFFF0000"/>
        <sz val="12.0"/>
      </rPr>
      <t>TAISEI</t>
    </r>
    <r>
      <rPr>
        <rFont val="Merriweather"/>
        <color rgb="FF333333"/>
        <sz val="12.0"/>
      </rPr>
      <t xml:space="preserve"> khác được tính giá ở khung đó cho 1 đơn hàng</t>
    </r>
  </si>
  <si>
    <t>Ống gió trơn ORD+15%, bạc+10%</t>
  </si>
  <si>
    <t xml:space="preserve">Hà Nội, ngày 15 tháng 11 năm 2021          </t>
  </si>
  <si>
    <t>CHƯƠNG TRÌNH KHUYẾN MẠI</t>
  </si>
  <si>
    <r>
      <rPr>
        <rFont val="Merriweather"/>
        <b/>
        <i/>
        <color rgb="FF333333"/>
        <sz val="12.0"/>
        <u/>
      </rPr>
      <t>Kính gửi:</t>
    </r>
    <r>
      <rPr>
        <rFont val="Merriweather"/>
        <b/>
        <i/>
        <color rgb="FF333333"/>
        <sz val="12.0"/>
        <u/>
      </rPr>
      <t xml:space="preserve"> </t>
    </r>
    <r>
      <rPr>
        <rFont val="Merriweather"/>
        <b/>
        <i/>
        <color rgb="FF333333"/>
        <sz val="12.0"/>
        <u/>
      </rPr>
      <t>QUÝ ĐẠI LÝ</t>
    </r>
  </si>
  <si>
    <t>Số chương trình:</t>
  </si>
  <si>
    <t>CSBH 04.02.07</t>
  </si>
  <si>
    <r>
      <rPr>
        <rFont val="Merriweather"/>
        <b/>
        <i/>
        <color rgb="FF333333"/>
        <sz val="12.0"/>
        <u/>
      </rPr>
      <t>Hiệu lực:</t>
    </r>
    <r>
      <rPr>
        <rFont val="Merriweather"/>
        <b/>
        <i/>
        <color rgb="FF333333"/>
        <sz val="12.0"/>
        <u/>
      </rPr>
      <t xml:space="preserve"> từ ngày 01.07.2021 đến khi có TB</t>
    </r>
  </si>
  <si>
    <t>Ngành hàng:</t>
  </si>
  <si>
    <t>ỐNG GIÓ, BTT TAISEI</t>
  </si>
  <si>
    <r>
      <rPr>
        <rFont val="Merriweather"/>
        <b/>
        <i/>
        <color rgb="FF333333"/>
        <sz val="12.0"/>
        <u/>
      </rPr>
      <t>Phạm vi thực hiện:</t>
    </r>
    <r>
      <rPr>
        <rFont val="Merriweather"/>
        <b/>
        <i/>
        <color rgb="FF333333"/>
        <sz val="12.0"/>
        <u/>
      </rPr>
      <t xml:space="preserve"> Miền Bắc, Trung, Nam</t>
    </r>
  </si>
  <si>
    <t>Bộ phận thực hiện</t>
  </si>
  <si>
    <t>PKD MB+MTr+MN</t>
  </si>
  <si>
    <r>
      <rPr>
        <rFont val="Merriweather"/>
        <i/>
        <color rgb="FF333333"/>
        <sz val="12.0"/>
      </rPr>
      <t xml:space="preserve">Công ty cổ phần cơ điện lạnh </t>
    </r>
    <r>
      <rPr>
        <rFont val="Merriweather"/>
        <b/>
        <i/>
        <color rgb="FFFF0000"/>
        <sz val="12.0"/>
      </rPr>
      <t>Hoàng Đạt</t>
    </r>
    <r>
      <rPr>
        <rFont val="Merriweather"/>
        <i/>
        <color rgb="FF333333"/>
        <sz val="12.0"/>
      </rPr>
      <t xml:space="preserve"> xin trân trọng gửi tới quý đại lý chương trình bán hàng chi tiết như sau:</t>
    </r>
  </si>
  <si>
    <r>
      <rPr>
        <rFont val="Merriweather"/>
        <b/>
        <i/>
        <color rgb="FF000000"/>
        <sz val="12.0"/>
      </rPr>
      <t xml:space="preserve">ỐNG GIÓ  </t>
    </r>
    <r>
      <rPr>
        <rFont val="Merriweather"/>
        <b/>
        <i/>
        <color rgb="FFFF0000"/>
        <sz val="12.0"/>
      </rPr>
      <t>TAISEI CLASS 1</t>
    </r>
    <r>
      <rPr>
        <rFont val="Merriweather"/>
        <b/>
        <i/>
        <color rgb="FF000000"/>
        <sz val="12.0"/>
      </rPr>
      <t xml:space="preserve"> KHÔNG CÓ BẢO ÔN ( ỐNG GIÓ TRƠN)</t>
    </r>
  </si>
  <si>
    <r>
      <rPr>
        <rFont val="Merriweather"/>
        <b/>
        <i/>
        <color rgb="FF000000"/>
        <sz val="12.0"/>
      </rPr>
      <t>ỐNG GIÓ MỀM</t>
    </r>
    <r>
      <rPr>
        <rFont val="Merriweather"/>
        <b/>
        <i/>
        <color rgb="FFFF0000"/>
        <sz val="12.0"/>
      </rPr>
      <t xml:space="preserve"> TAISEI CLASS 1</t>
    </r>
    <r>
      <rPr>
        <rFont val="Merriweather"/>
        <b/>
        <i/>
        <color rgb="FF000000"/>
        <sz val="12.0"/>
      </rPr>
      <t xml:space="preserve"> CÓ BẢO ÔN</t>
    </r>
  </si>
  <si>
    <r>
      <rPr>
        <rFont val="Merriweather"/>
        <b/>
        <i/>
        <color rgb="FF000000"/>
        <sz val="12.0"/>
      </rPr>
      <t xml:space="preserve">ỐNG GIÓ MỀM </t>
    </r>
    <r>
      <rPr>
        <rFont val="Merriweather"/>
        <b/>
        <i/>
        <color rgb="FFFF0000"/>
        <sz val="12.0"/>
      </rPr>
      <t>TAISEI CLASS 1</t>
    </r>
    <r>
      <rPr>
        <rFont val="Merriweather"/>
        <b/>
        <i/>
        <color rgb="FF000000"/>
        <sz val="12.0"/>
      </rPr>
      <t xml:space="preserve"> BÔNG POLYESTE </t>
    </r>
  </si>
  <si>
    <r>
      <rPr>
        <rFont val="Merriweather"/>
        <b/>
        <i/>
        <color rgb="FF000000"/>
        <sz val="12.0"/>
      </rPr>
      <t xml:space="preserve">BÔNG THỦY TINH </t>
    </r>
    <r>
      <rPr>
        <rFont val="Merriweather"/>
        <b/>
        <i/>
        <color rgb="FFFF0000"/>
        <sz val="12.0"/>
      </rPr>
      <t>TAISEI CLASS1</t>
    </r>
  </si>
  <si>
    <r>
      <rPr>
        <rFont val="Merriweather"/>
        <b/>
        <i/>
        <color rgb="FF000000"/>
        <sz val="12.0"/>
      </rPr>
      <t xml:space="preserve">BÔNG THỦY TINH </t>
    </r>
    <r>
      <rPr>
        <rFont val="Merriweather"/>
        <b/>
        <i/>
        <color rgb="FFFF0000"/>
        <sz val="12.0"/>
      </rPr>
      <t>TAISEI CLASS0</t>
    </r>
  </si>
  <si>
    <r>
      <rPr>
        <rFont val="Merriweather"/>
        <color rgb="FF333333"/>
        <sz val="12.0"/>
      </rPr>
      <t xml:space="preserve">ĐẶC BIỆT:1 loại hàng </t>
    </r>
    <r>
      <rPr>
        <rFont val="Merriweather"/>
        <b/>
        <color rgb="FFFF0000"/>
        <sz val="12.0"/>
      </rPr>
      <t xml:space="preserve">TAISEI </t>
    </r>
    <r>
      <rPr>
        <rFont val="Merriweather"/>
        <color rgb="FF333333"/>
        <sz val="12.0"/>
      </rPr>
      <t xml:space="preserve">đạt khung nào thì tất cả các mặt hàng </t>
    </r>
    <r>
      <rPr>
        <rFont val="Merriweather"/>
        <b/>
        <color rgb="FFFF0000"/>
        <sz val="12.0"/>
      </rPr>
      <t>TAISEI</t>
    </r>
    <r>
      <rPr>
        <rFont val="Merriweather"/>
        <color rgb="FF333333"/>
        <sz val="12.0"/>
      </rPr>
      <t xml:space="preserve"> khác được tính giá ở khung đó cho 1 đơn hàng</t>
    </r>
  </si>
  <si>
    <t xml:space="preserve">Hà Nội, ngày 01 tháng 07 năm 2021          </t>
  </si>
  <si>
    <r>
      <rPr>
        <rFont val="Merriweather"/>
        <b/>
        <i/>
        <color rgb="FF333333"/>
        <sz val="12.0"/>
        <u/>
      </rPr>
      <t>Kính gửi:</t>
    </r>
    <r>
      <rPr>
        <rFont val="Merriweather"/>
        <b/>
        <i/>
        <color rgb="FF333333"/>
        <sz val="12.0"/>
        <u/>
      </rPr>
      <t xml:space="preserve"> </t>
    </r>
    <r>
      <rPr>
        <rFont val="Merriweather"/>
        <b/>
        <i/>
        <color rgb="FF333333"/>
        <sz val="12.0"/>
        <u/>
      </rPr>
      <t>QUÝ ĐẠI LÝ</t>
    </r>
  </si>
  <si>
    <r>
      <rPr>
        <rFont val="Merriweather"/>
        <b/>
        <i/>
        <color rgb="FF333333"/>
        <sz val="12.0"/>
        <u/>
      </rPr>
      <t>Hiệu lực:</t>
    </r>
    <r>
      <rPr>
        <rFont val="Merriweather"/>
        <b/>
        <i/>
        <color rgb="FF333333"/>
        <sz val="12.0"/>
        <u/>
      </rPr>
      <t xml:space="preserve"> từ ngày 01.07.2021 đến khi có TB</t>
    </r>
  </si>
  <si>
    <r>
      <rPr>
        <rFont val="Merriweather"/>
        <b/>
        <i/>
        <color rgb="FF333333"/>
        <sz val="12.0"/>
        <u/>
      </rPr>
      <t>Phạm vi thực hiện:</t>
    </r>
    <r>
      <rPr>
        <rFont val="Merriweather"/>
        <b/>
        <i/>
        <color rgb="FF333333"/>
        <sz val="12.0"/>
        <u/>
      </rPr>
      <t xml:space="preserve"> Miền Bắc, Trung, Nam</t>
    </r>
  </si>
  <si>
    <r>
      <rPr>
        <rFont val="Merriweather"/>
        <i/>
        <color rgb="FF333333"/>
        <sz val="12.0"/>
      </rPr>
      <t xml:space="preserve">Công ty cổ phần cơ điện lạnh </t>
    </r>
    <r>
      <rPr>
        <rFont val="Merriweather"/>
        <b/>
        <i/>
        <color rgb="FFFF0000"/>
        <sz val="12.0"/>
      </rPr>
      <t>Hoàng Đạt</t>
    </r>
    <r>
      <rPr>
        <rFont val="Merriweather"/>
        <i/>
        <color rgb="FF333333"/>
        <sz val="12.0"/>
      </rPr>
      <t xml:space="preserve"> xin trân trọng gửi tới quý đại lý chương trình bán hàng chi tiết như sau:</t>
    </r>
  </si>
  <si>
    <r>
      <rPr>
        <rFont val="Merriweather"/>
        <b/>
        <i/>
        <color rgb="FF000000"/>
        <sz val="12.0"/>
      </rPr>
      <t xml:space="preserve">ỐNG GIÓ  </t>
    </r>
    <r>
      <rPr>
        <rFont val="Merriweather"/>
        <b/>
        <i/>
        <color rgb="FFFF0000"/>
        <sz val="12.0"/>
      </rPr>
      <t>TAISEI CLASS 1</t>
    </r>
    <r>
      <rPr>
        <rFont val="Merriweather"/>
        <b/>
        <i/>
        <color rgb="FF000000"/>
        <sz val="12.0"/>
      </rPr>
      <t xml:space="preserve"> KHÔNG CÓ BẢO ÔN ( ỐNG GIÓ TRƠN)</t>
    </r>
  </si>
  <si>
    <r>
      <rPr>
        <rFont val="Merriweather"/>
        <b/>
        <i/>
        <color rgb="FF000000"/>
        <sz val="12.0"/>
      </rPr>
      <t>ỐNG GIÓ MỀM</t>
    </r>
    <r>
      <rPr>
        <rFont val="Merriweather"/>
        <b/>
        <i/>
        <color rgb="FFFF0000"/>
        <sz val="12.0"/>
      </rPr>
      <t xml:space="preserve"> TAISEI CLASS 1</t>
    </r>
    <r>
      <rPr>
        <rFont val="Merriweather"/>
        <b/>
        <i/>
        <color rgb="FF000000"/>
        <sz val="12.0"/>
      </rPr>
      <t xml:space="preserve"> CÓ BẢO ÔN</t>
    </r>
  </si>
  <si>
    <r>
      <rPr>
        <rFont val="Merriweather"/>
        <b/>
        <i/>
        <color rgb="FF000000"/>
        <sz val="12.0"/>
      </rPr>
      <t xml:space="preserve">ỐNG GIÓ MỀM </t>
    </r>
    <r>
      <rPr>
        <rFont val="Merriweather"/>
        <b/>
        <i/>
        <color rgb="FFFF0000"/>
        <sz val="12.0"/>
      </rPr>
      <t>TAISEI CLASS 1</t>
    </r>
    <r>
      <rPr>
        <rFont val="Merriweather"/>
        <b/>
        <i/>
        <color rgb="FF000000"/>
        <sz val="12.0"/>
      </rPr>
      <t xml:space="preserve"> BÔNG POLYESTE </t>
    </r>
  </si>
  <si>
    <r>
      <rPr>
        <rFont val="Merriweather"/>
        <b/>
        <i/>
        <color rgb="FF000000"/>
        <sz val="12.0"/>
      </rPr>
      <t xml:space="preserve">BÔNG THỦY TINH </t>
    </r>
    <r>
      <rPr>
        <rFont val="Merriweather"/>
        <b/>
        <i/>
        <color rgb="FFFF0000"/>
        <sz val="12.0"/>
      </rPr>
      <t>TAISEI CLASS1</t>
    </r>
  </si>
  <si>
    <r>
      <rPr>
        <rFont val="Merriweather"/>
        <b/>
        <i/>
        <color rgb="FF000000"/>
        <sz val="12.0"/>
      </rPr>
      <t xml:space="preserve">BÔNG THỦY TINH </t>
    </r>
    <r>
      <rPr>
        <rFont val="Merriweather"/>
        <b/>
        <i/>
        <color rgb="FFFF0000"/>
        <sz val="12.0"/>
      </rPr>
      <t>TAISEI CLASS0</t>
    </r>
  </si>
  <si>
    <r>
      <rPr>
        <rFont val="Merriweather"/>
        <color rgb="FF333333"/>
        <sz val="12.0"/>
      </rPr>
      <t xml:space="preserve">ĐẶC BIỆT:1 loại hàng </t>
    </r>
    <r>
      <rPr>
        <rFont val="Merriweather"/>
        <b/>
        <color rgb="FFFF0000"/>
        <sz val="12.0"/>
      </rPr>
      <t xml:space="preserve">TAISEI </t>
    </r>
    <r>
      <rPr>
        <rFont val="Merriweather"/>
        <color rgb="FF333333"/>
        <sz val="12.0"/>
      </rPr>
      <t xml:space="preserve">đạt khung nào thì tất cả các mặt hàng </t>
    </r>
    <r>
      <rPr>
        <rFont val="Merriweather"/>
        <b/>
        <color rgb="FFFF0000"/>
        <sz val="12.0"/>
      </rPr>
      <t>TAISEI</t>
    </r>
    <r>
      <rPr>
        <rFont val="Merriweather"/>
        <color rgb="FF333333"/>
        <sz val="12.0"/>
      </rPr>
      <t xml:space="preserve"> khác được tính giá ở khung đó cho 1 đơn hàng</t>
    </r>
  </si>
  <si>
    <t>XỐP KÉP / TAISEI SUPERLON / BẠC - HCM</t>
  </si>
  <si>
    <t>XỐP KÉP TAISEI -LÕI TRẮNG, LÕI XÁM CLASS 0</t>
  </si>
  <si>
    <t>5c/30tr Đồng</t>
  </si>
  <si>
    <t>10c/50tr Đồng</t>
  </si>
  <si>
    <t>10c/120tr Đồng</t>
  </si>
  <si>
    <t>Được phép cộng dồn các loại xốp kép, bạc
 vào 1 đơn</t>
  </si>
  <si>
    <t>ĐC: 12.10</t>
  </si>
  <si>
    <t>XKTAISEI0610</t>
  </si>
  <si>
    <t xml:space="preserve">Xốp kép TAISEI 06 + 10 </t>
  </si>
  <si>
    <t>m/c</t>
  </si>
  <si>
    <t>XKTAISEI0612</t>
  </si>
  <si>
    <t xml:space="preserve">Xốp kép TAISEI 06 + 12 </t>
  </si>
  <si>
    <t>XKTAISEI0616</t>
  </si>
  <si>
    <t xml:space="preserve">Xốp kép TAISEI 06 + 16 </t>
  </si>
  <si>
    <t>XKTAISEI1016</t>
  </si>
  <si>
    <t xml:space="preserve">Xốp kép TAISEI 10 + 16 </t>
  </si>
  <si>
    <t>XKTAISEI1019</t>
  </si>
  <si>
    <t>Xốp kép TAISEI 10 + 19</t>
  </si>
  <si>
    <t>MÚT XỐP BẠC TAISEI - CLASS1 KHÔNG DÍNH</t>
  </si>
  <si>
    <t>HKXBKD05</t>
  </si>
  <si>
    <t>Xốp bạc 5mm</t>
  </si>
  <si>
    <t>HKXB10</t>
  </si>
  <si>
    <t>Xốp bạc 10mm</t>
  </si>
  <si>
    <t>HKXB15</t>
  </si>
  <si>
    <t>Xốp bạc 15mm</t>
  </si>
  <si>
    <t>HKXB20</t>
  </si>
  <si>
    <t>Xốp bạc 20mm</t>
  </si>
  <si>
    <t>HKXB25</t>
  </si>
  <si>
    <t>Xốp bạc 25mm</t>
  </si>
  <si>
    <t>HKXB30</t>
  </si>
  <si>
    <t>Xốp bạc 30mm</t>
  </si>
  <si>
    <t>HKXB50</t>
  </si>
  <si>
    <t>Xốp bạc 50mm</t>
  </si>
  <si>
    <t>MÚT XỐP BẠC TAISEI - CLASS1 CÓ DÍNH</t>
  </si>
  <si>
    <t>HKMUTBD05</t>
  </si>
  <si>
    <t>HKMUTBD10</t>
  </si>
  <si>
    <t>HKXBD15</t>
  </si>
  <si>
    <t>HKMUTXBD20</t>
  </si>
  <si>
    <t>HKMUTXBD25</t>
  </si>
  <si>
    <t>HKMUTXBD30</t>
  </si>
  <si>
    <t>HKXBD50</t>
  </si>
  <si>
    <t>Giao hàng trong nộp thành, HCM. Giao 1 lần 1 đơn.</t>
  </si>
  <si>
    <r>
      <rPr>
        <rFont val="Merriweather"/>
        <b/>
        <color rgb="FF4285F4"/>
        <sz val="18.0"/>
      </rPr>
      <t>GT HCM</t>
    </r>
    <r>
      <rPr>
        <rFont val="Merriweather"/>
        <b/>
        <color rgb="FFFF0000"/>
        <sz val="18.0"/>
      </rPr>
      <t xml:space="preserve"> // CHÍNH SÁCH KÝ GỬI </t>
    </r>
    <r>
      <rPr>
        <rFont val="Merriweather"/>
        <b/>
        <color rgb="FF4285F4"/>
        <sz val="18.0"/>
      </rPr>
      <t>ĐỒNG TAISEI</t>
    </r>
    <r>
      <rPr>
        <rFont val="Merriweather"/>
        <b/>
        <color rgb="FFFF0000"/>
        <sz val="18.0"/>
      </rPr>
      <t xml:space="preserve">  (CÓ VAT)</t>
    </r>
  </si>
  <si>
    <t>LỊCH SỬ SỬA GIÁ</t>
  </si>
  <si>
    <t>Taisei</t>
  </si>
  <si>
    <t>Giá LME</t>
  </si>
  <si>
    <t>Ngày điều chỉnh</t>
  </si>
  <si>
    <t>Mã hàng</t>
  </si>
  <si>
    <t>ỐNG ĐỒNG TAISEI - Hailiang TQ</t>
  </si>
  <si>
    <t>KG/Cuộn</t>
  </si>
  <si>
    <t>Số cuộn/thùng</t>
  </si>
  <si>
    <t>ĐG chưa VAT</t>
  </si>
  <si>
    <t>ĐG có VAT</t>
  </si>
  <si>
    <t>DOCHLTS0635061</t>
  </si>
  <si>
    <t>Ống đồng Taisei class1</t>
  </si>
  <si>
    <t>6.35x0.61</t>
  </si>
  <si>
    <t>15m/Cuộn</t>
  </si>
  <si>
    <t>DOCHLTS0635071</t>
  </si>
  <si>
    <t>6.35x0.71</t>
  </si>
  <si>
    <t>DOCHLTS0635081</t>
  </si>
  <si>
    <t>6.35x0.81</t>
  </si>
  <si>
    <t>LME</t>
  </si>
  <si>
    <t>DOCHLTS0952061</t>
  </si>
  <si>
    <t>9.52x0.61</t>
  </si>
  <si>
    <t>DOCHLTS0952071</t>
  </si>
  <si>
    <t>9.52x0.71</t>
  </si>
  <si>
    <t>DOCHLTS0952081</t>
  </si>
  <si>
    <t>9.52x0.81</t>
  </si>
  <si>
    <t>DOCHLTS1270061</t>
  </si>
  <si>
    <t>12.7x0.61</t>
  </si>
  <si>
    <t>DOCHLTS1270071</t>
  </si>
  <si>
    <t>12.7x0.71</t>
  </si>
  <si>
    <t>DOCHLTS1270081</t>
  </si>
  <si>
    <t>12.7x0.81</t>
  </si>
  <si>
    <t>DOCHLTS1588071</t>
  </si>
  <si>
    <t>15.88x0.71</t>
  </si>
  <si>
    <t>DOCHLTS1588081</t>
  </si>
  <si>
    <t>15.88x0.81</t>
  </si>
  <si>
    <t>DOCHLTS1588100</t>
  </si>
  <si>
    <t>15.88x1.00</t>
  </si>
  <si>
    <t>DOCHLTS1905071</t>
  </si>
  <si>
    <t>19.05x0.71</t>
  </si>
  <si>
    <t>DOCHLTS1905081</t>
  </si>
  <si>
    <t>19.05x0.81</t>
  </si>
  <si>
    <t>DOCHLTS1905100</t>
  </si>
  <si>
    <t>19.05x1.00</t>
  </si>
  <si>
    <t>THỂ LỆ CHƯƠNG TRÌNH</t>
  </si>
  <si>
    <t>Đối tượng và điều kiện áp dụng:</t>
  </si>
  <si>
    <t>-</t>
  </si>
  <si>
    <t>Cửa hàng/đại lý Miền Nam đang là khách hàng của Hoàng Đạt</t>
  </si>
  <si>
    <t>Đơn hàng ký gửi phải đảm bảo tối thiểu có 5 mục hàng bôi hồng, mỗi mục tối thiểu 1 thùng</t>
  </si>
  <si>
    <t>Đơn giá:</t>
  </si>
  <si>
    <t>+-2% (+- 5 giá ) thì thay đổi giá ( LME trừ -4% là giá gốc lme)</t>
  </si>
  <si>
    <t>Áp dụng đơn giá trên đến hết tháng.trong trường hợp thị trường biến động + - 2% sẽ thông báo giá mới cho khách hàng .</t>
  </si>
  <si>
    <t>Hết ngày cuối cùng của tháng sẽ tính chiết khấu theo số lượng khách hàng đã bán được trong thời gian tham gia</t>
  </si>
  <si>
    <t>Các mức chiết khấu như sau : 5 thùng ck 2%/ 10 thùng ck 3%/ 20 thùng ck 3.5%/ 50 thùng ck 4%</t>
  </si>
  <si>
    <t>Xác nhận công nợ và thanh toán</t>
  </si>
  <si>
    <t>Định kỳ 7 ngày Công ty Hoàng Đạt sẽ cử cán bộ xuống kiểm kê hoàng hóa ký gửi và lập biên bản xác nhận hàng hóa, công nợ (hoặc xác nhận qua email, Zalo, Viber,…)</t>
  </si>
  <si>
    <t>Sau khi xác nhận hàng hóa và công nợ, khách hàng sẽ thanh toán khoản công nợ theo biên bản xác nhận</t>
  </si>
  <si>
    <t>Khách hàng được mua hàng công nợ theo quy định của Hoàng Đạt</t>
  </si>
  <si>
    <t>Thực hiện</t>
  </si>
  <si>
    <t>Sale Admin: Báo cáo độ phủ (% khách hàng cho ký gửi / từng thị trường) hàng ngày vào 10am hôm sau</t>
  </si>
  <si>
    <t>Kinh doanh GT: lập phương án và kế hoạch cho ngày tiếp theo để chương trình này hiệu quả nhất có thể.</t>
  </si>
  <si>
    <t>QUE HÀN / CHÂN GIÁ / BĂNG CUỐN / BĂNG BẠC</t>
  </si>
  <si>
    <t>Bán Lẻ</t>
  </si>
  <si>
    <t>Khung1 / 50tr Đồng</t>
  </si>
  <si>
    <t>Khung 2 / 120tr Đồng</t>
  </si>
  <si>
    <t>Khung 3 / 280tr Đồng</t>
  </si>
  <si>
    <t>QUE HÀN ĐỒNG VẨY BẠC HARRIS - NHẬP KHẨU MỸ (11.34kg/H)</t>
  </si>
  <si>
    <t>1kg</t>
  </si>
  <si>
    <t>1-2H</t>
  </si>
  <si>
    <t>3H</t>
  </si>
  <si>
    <t>5H</t>
  </si>
  <si>
    <t>QHD0</t>
  </si>
  <si>
    <t>Hợp kim đồng dạng thanh  Harris SX tại Mỹ  (0%)</t>
  </si>
  <si>
    <t>ĐC 06.05</t>
  </si>
  <si>
    <t>QHD2</t>
  </si>
  <si>
    <t>Hợp kim đồng dạng thanh  Harris SX tại Mỹ  (2%)</t>
  </si>
  <si>
    <t>QHD5</t>
  </si>
  <si>
    <t>Hợp kim đồng dạng thanh  Harris SX tại Mỹ  (5%)</t>
  </si>
  <si>
    <t>QHD15</t>
  </si>
  <si>
    <t>Hợp kim đồng dạng thanh  Harris SX tại Mỹ  (15%)</t>
  </si>
  <si>
    <t>QHD30</t>
  </si>
  <si>
    <t>Hợp kim đồng dạng thanh  Harris SX tại Mỹ  (30%)</t>
  </si>
  <si>
    <t>BHHSSBF-1</t>
  </si>
  <si>
    <t>Bột hàn Harris code Stay-SilvR Black Flux (Harris Products SSBF-1)</t>
  </si>
  <si>
    <t>CHÂN GIÁ + ỐC VÍT</t>
  </si>
  <si>
    <t>BÁN LẺ</t>
  </si>
  <si>
    <t>300B</t>
  </si>
  <si>
    <t>500B</t>
  </si>
  <si>
    <t>Cộng dồn theo đơn hàng</t>
  </si>
  <si>
    <t>HKGĐN</t>
  </si>
  <si>
    <t>Giá đỡ nhỏ</t>
  </si>
  <si>
    <t>HKGĐT</t>
  </si>
  <si>
    <t>Giá đỡ to</t>
  </si>
  <si>
    <t>OCVITLDH</t>
  </si>
  <si>
    <t>Ốc vít lắp điều hòa</t>
  </si>
  <si>
    <t>BĂNG CUỐN TRẮNG</t>
  </si>
  <si>
    <t>50kg</t>
  </si>
  <si>
    <t>200kg</t>
  </si>
  <si>
    <t>500kg</t>
  </si>
  <si>
    <t>1.000kg</t>
  </si>
  <si>
    <t>BCTRANGSGM</t>
  </si>
  <si>
    <t>Băng cuốn trắng SG loại 1</t>
  </si>
  <si>
    <t>ĐC 05.09</t>
  </si>
  <si>
    <t>BĂNG BẠC</t>
  </si>
  <si>
    <t>1 Thùng</t>
  </si>
  <si>
    <t>5 Thùng</t>
  </si>
  <si>
    <t>10 Thùng</t>
  </si>
  <si>
    <t>HKBB</t>
  </si>
  <si>
    <t>Băng bạc</t>
  </si>
  <si>
    <t>BBVTT</t>
  </si>
  <si>
    <t>Băng bạc vải thủy tinh</t>
  </si>
  <si>
    <t>BBCG</t>
  </si>
  <si>
    <t>Băng bạc có gân</t>
  </si>
  <si>
    <t>HKBANGW48X50ML</t>
  </si>
  <si>
    <t>Băng dính phủ silicon W50x50ml</t>
  </si>
  <si>
    <t>HKBANGW75X50ML</t>
  </si>
  <si>
    <t>Băng dính phủ silicon W75x50ml</t>
  </si>
  <si>
    <t>HKBB7550</t>
  </si>
  <si>
    <t>Băng bạc 75mmx50m</t>
  </si>
  <si>
    <t>HKBB7525</t>
  </si>
  <si>
    <t>Băng bạc 75mmx25m</t>
  </si>
  <si>
    <t>Đơn giá theo khung ( theo cột khung) áp dụng cho 3 loại hàng cùng lúc  khi 1 loại hàng  đạt khung trong 1 đơn hàng</t>
  </si>
  <si>
    <t>ĐC 17.11</t>
  </si>
  <si>
    <r>
      <rPr>
        <rFont val="Merriweather"/>
        <b/>
        <color rgb="FF3366FF"/>
        <sz val="18.0"/>
      </rPr>
      <t>GT HCM</t>
    </r>
    <r>
      <rPr>
        <rFont val="Merriweather"/>
        <b/>
        <color rgb="FFFF0000"/>
        <sz val="18.0"/>
      </rPr>
      <t xml:space="preserve"> // CHÍNH SÁCH </t>
    </r>
    <r>
      <rPr>
        <rFont val="Merriweather"/>
        <b/>
        <color rgb="FF3366FF"/>
        <sz val="18.0"/>
      </rPr>
      <t>ĐỒNG HAILIANG</t>
    </r>
    <r>
      <rPr>
        <rFont val="Merriweather"/>
        <b/>
        <color rgb="FFFF0000"/>
        <sz val="18.0"/>
      </rPr>
      <t xml:space="preserve"> + </t>
    </r>
    <r>
      <rPr>
        <rFont val="Merriweather"/>
        <b/>
        <color rgb="FF3366FF"/>
        <sz val="18.0"/>
      </rPr>
      <t>ĐỒNG D</t>
    </r>
    <r>
      <rPr>
        <rFont val="Merriweather"/>
        <b/>
        <color rgb="FFFF0000"/>
        <sz val="18.0"/>
      </rPr>
      <t xml:space="preserve"> + </t>
    </r>
    <r>
      <rPr>
        <rFont val="Merriweather"/>
        <b/>
        <color rgb="FF3366FF"/>
        <sz val="18.0"/>
      </rPr>
      <t>ĐỒNG ỐNG LỚN</t>
    </r>
  </si>
  <si>
    <t>Hailiang (CÓ VAT)</t>
  </si>
  <si>
    <t>Đồng D (KO VAT)</t>
  </si>
  <si>
    <t>Ống lớn (D&gt;66) (CÓ VAT)</t>
  </si>
  <si>
    <t>ĐC 20.9.22</t>
  </si>
  <si>
    <t>ỐNG ĐỒNG HAILIANG</t>
  </si>
  <si>
    <t>Số tồn</t>
  </si>
  <si>
    <t>Kg/cuộn</t>
  </si>
  <si>
    <t>ĐỒNG ỐNG LỚN</t>
  </si>
  <si>
    <t>Kg/cây</t>
  </si>
  <si>
    <t>DOCHL063506115</t>
  </si>
  <si>
    <r>
      <rPr>
        <rFont val="Merriweather"/>
        <color theme="1"/>
        <sz val="9.0"/>
      </rPr>
      <t>Ống đồng</t>
    </r>
    <r>
      <rPr>
        <rFont val="Merriweather"/>
        <b/>
        <color theme="1"/>
        <sz val="9.0"/>
      </rPr>
      <t xml:space="preserve"> </t>
    </r>
    <r>
      <rPr>
        <rFont val="Merriweather"/>
        <b/>
        <color rgb="FF3366FF"/>
        <sz val="9.0"/>
      </rPr>
      <t>06.35x0.61</t>
    </r>
  </si>
  <si>
    <t>Cuộn</t>
  </si>
  <si>
    <t>DOT666724129</t>
  </si>
  <si>
    <t>Đồng ống thẳng 66.67x2.41</t>
  </si>
  <si>
    <t>Cây</t>
  </si>
  <si>
    <t>DOCHL063507115</t>
  </si>
  <si>
    <r>
      <rPr>
        <rFont val="Merriweather"/>
        <color theme="1"/>
        <sz val="9.0"/>
      </rPr>
      <t>Ống đồng</t>
    </r>
    <r>
      <rPr>
        <rFont val="Merriweather"/>
        <b/>
        <color rgb="FF3366FF"/>
        <sz val="9.0"/>
      </rPr>
      <t xml:space="preserve"> 06.35x0.71</t>
    </r>
  </si>
  <si>
    <t>DOT666718029</t>
  </si>
  <si>
    <t>Đồng ống thẳng 66.67x1.80</t>
  </si>
  <si>
    <t>DOCHL063508115</t>
  </si>
  <si>
    <r>
      <rPr>
        <rFont val="Merriweather"/>
        <color theme="1"/>
        <sz val="9.0"/>
      </rPr>
      <t xml:space="preserve">Ống đồng </t>
    </r>
    <r>
      <rPr>
        <rFont val="Merriweather"/>
        <b/>
        <color rgb="FF3366FF"/>
        <sz val="9.0"/>
      </rPr>
      <t>06.35x0.81</t>
    </r>
  </si>
  <si>
    <t>DOT66681829</t>
  </si>
  <si>
    <t>Đồng ống thẳng 66.68x1.8x2.9m</t>
  </si>
  <si>
    <t>DOCHL095206115</t>
  </si>
  <si>
    <r>
      <rPr>
        <rFont val="Merriweather"/>
        <color theme="1"/>
        <sz val="9.0"/>
      </rPr>
      <t>Ống đồng</t>
    </r>
    <r>
      <rPr>
        <rFont val="Merriweather"/>
        <b/>
        <color rgb="FF4285F4"/>
        <sz val="9.0"/>
      </rPr>
      <t xml:space="preserve"> </t>
    </r>
    <r>
      <rPr>
        <rFont val="Merriweather"/>
        <b/>
        <color rgb="FF3366FF"/>
        <sz val="9.0"/>
      </rPr>
      <t>09.52x0.61</t>
    </r>
  </si>
  <si>
    <t>DOT67140</t>
  </si>
  <si>
    <t>Đồng ống thẳng 67x1.40x2.9m</t>
  </si>
  <si>
    <t>DOCHL095207115</t>
  </si>
  <si>
    <r>
      <rPr>
        <rFont val="Merriweather"/>
        <color theme="1"/>
        <sz val="9.0"/>
      </rPr>
      <t>Ống đồng</t>
    </r>
    <r>
      <rPr>
        <rFont val="Merriweather"/>
        <b/>
        <color rgb="FF4285F4"/>
        <sz val="9.0"/>
      </rPr>
      <t xml:space="preserve"> </t>
    </r>
    <r>
      <rPr>
        <rFont val="Merriweather"/>
        <b/>
        <color rgb="FF3366FF"/>
        <sz val="9.0"/>
      </rPr>
      <t>09.52x0.71</t>
    </r>
  </si>
  <si>
    <t>DOT6716</t>
  </si>
  <si>
    <t>Đồng ống thẳng 67x1.60x2.9m</t>
  </si>
  <si>
    <t>DOCHL095208115</t>
  </si>
  <si>
    <r>
      <rPr>
        <rFont val="Merriweather"/>
        <color theme="1"/>
        <sz val="9.0"/>
      </rPr>
      <t>Ống đồng</t>
    </r>
    <r>
      <rPr>
        <rFont val="Merriweather"/>
        <b/>
        <color rgb="FF4285F4"/>
        <sz val="9.0"/>
      </rPr>
      <t xml:space="preserve"> </t>
    </r>
    <r>
      <rPr>
        <rFont val="Merriweather"/>
        <b/>
        <color rgb="FF3366FF"/>
        <sz val="9.0"/>
      </rPr>
      <t>09.52x0.81</t>
    </r>
  </si>
  <si>
    <t>DOT6718</t>
  </si>
  <si>
    <t>Đồng ống thẳng 67x1.80x2.9m</t>
  </si>
  <si>
    <t>DOCHL12706115</t>
  </si>
  <si>
    <r>
      <rPr>
        <rFont val="Merriweather"/>
        <color theme="1"/>
        <sz val="9.0"/>
      </rPr>
      <t>Ống đồng</t>
    </r>
    <r>
      <rPr>
        <rFont val="Merriweather"/>
        <b/>
        <color rgb="FF4285F4"/>
        <sz val="9.0"/>
      </rPr>
      <t xml:space="preserve"> </t>
    </r>
    <r>
      <rPr>
        <rFont val="Merriweather"/>
        <b/>
        <color rgb="FF3366FF"/>
        <sz val="9.0"/>
      </rPr>
      <t>12.70x0.61</t>
    </r>
  </si>
  <si>
    <t>DOT6720</t>
  </si>
  <si>
    <t>Đồng ống thẳng 67x2.0x2.9</t>
  </si>
  <si>
    <t>DOCHL127007115</t>
  </si>
  <si>
    <r>
      <rPr>
        <rFont val="Merriweather"/>
        <color theme="1"/>
        <sz val="9.0"/>
      </rPr>
      <t xml:space="preserve">Ống đồng </t>
    </r>
    <r>
      <rPr>
        <rFont val="Merriweather"/>
        <b/>
        <color rgb="FF3366FF"/>
        <sz val="9.0"/>
      </rPr>
      <t>12.70x0.71</t>
    </r>
  </si>
  <si>
    <t>DOT76130</t>
  </si>
  <si>
    <t>Đồng ống thẳng 76x1.30</t>
  </si>
  <si>
    <t>DOCHL127008115</t>
  </si>
  <si>
    <r>
      <rPr>
        <rFont val="Merriweather"/>
        <color theme="1"/>
        <sz val="9.0"/>
      </rPr>
      <t>Ống đồng</t>
    </r>
    <r>
      <rPr>
        <rFont val="Merriweather"/>
        <b/>
        <color rgb="FF4285F4"/>
        <sz val="9.0"/>
      </rPr>
      <t xml:space="preserve"> </t>
    </r>
    <r>
      <rPr>
        <rFont val="Merriweather"/>
        <b/>
        <color rgb="FF3366FF"/>
        <sz val="9.0"/>
      </rPr>
      <t>12.70x0.81</t>
    </r>
  </si>
  <si>
    <t>DOT76160</t>
  </si>
  <si>
    <t>Đồng ống thẳng 76x1.6</t>
  </si>
  <si>
    <t>DOCHL158806115</t>
  </si>
  <si>
    <r>
      <rPr>
        <rFont val="Merriweather"/>
        <color theme="1"/>
        <sz val="9.0"/>
      </rPr>
      <t>Ống đồng</t>
    </r>
    <r>
      <rPr>
        <rFont val="Merriweather"/>
        <b/>
        <color rgb="FF4285F4"/>
        <sz val="9.0"/>
      </rPr>
      <t xml:space="preserve"> </t>
    </r>
    <r>
      <rPr>
        <rFont val="Merriweather"/>
        <b/>
        <color rgb="FF3366FF"/>
        <sz val="9.0"/>
      </rPr>
      <t>15.88x0.61</t>
    </r>
  </si>
  <si>
    <t>DOT7618</t>
  </si>
  <si>
    <t>Đồng ống thẳng 76x1.80x2.9m</t>
  </si>
  <si>
    <t>DOCHL158807115</t>
  </si>
  <si>
    <r>
      <rPr>
        <rFont val="Merriweather"/>
        <color theme="1"/>
        <sz val="9.0"/>
      </rPr>
      <t>Ống đồng</t>
    </r>
    <r>
      <rPr>
        <rFont val="Merriweather"/>
        <b/>
        <color rgb="FF3366FF"/>
        <sz val="9.0"/>
      </rPr>
      <t xml:space="preserve"> 15.88x0.71</t>
    </r>
  </si>
  <si>
    <t>DOT7922</t>
  </si>
  <si>
    <t>Đồng ống thẳng 79x2.2x2.9m</t>
  </si>
  <si>
    <t>DOCHL158808115</t>
  </si>
  <si>
    <r>
      <rPr>
        <rFont val="Merriweather"/>
        <color theme="1"/>
        <sz val="9.0"/>
      </rPr>
      <t>Ống đồng</t>
    </r>
    <r>
      <rPr>
        <rFont val="Merriweather"/>
        <b/>
        <color rgb="FF4285F4"/>
        <sz val="9.0"/>
      </rPr>
      <t xml:space="preserve"> </t>
    </r>
    <r>
      <rPr>
        <rFont val="Merriweather"/>
        <b/>
        <color rgb="FF3366FF"/>
        <sz val="9.0"/>
      </rPr>
      <t>15.88x0.81</t>
    </r>
  </si>
  <si>
    <t>DOT7938160</t>
  </si>
  <si>
    <t>Đồng ống thẳng 79.38x1.60</t>
  </si>
  <si>
    <t>DOCHL158810215</t>
  </si>
  <si>
    <r>
      <rPr>
        <rFont val="Merriweather"/>
        <color theme="1"/>
        <sz val="9.0"/>
      </rPr>
      <t>Ống đồng</t>
    </r>
    <r>
      <rPr>
        <rFont val="Merriweather"/>
        <b/>
        <color rgb="FF4285F4"/>
        <sz val="9.0"/>
      </rPr>
      <t xml:space="preserve"> </t>
    </r>
    <r>
      <rPr>
        <rFont val="Merriweather"/>
        <b/>
        <color rgb="FF3366FF"/>
        <sz val="9.0"/>
      </rPr>
      <t>15.88x1.02</t>
    </r>
  </si>
  <si>
    <t>DOT7938277</t>
  </si>
  <si>
    <t>Đồng ống thẳng 79.38x2.77</t>
  </si>
  <si>
    <t>DOCHL190507115</t>
  </si>
  <si>
    <r>
      <rPr>
        <rFont val="Merriweather"/>
        <color theme="1"/>
        <sz val="9.0"/>
      </rPr>
      <t>Ống đồng</t>
    </r>
    <r>
      <rPr>
        <rFont val="Merriweather"/>
        <b/>
        <color rgb="FF4285F4"/>
        <sz val="9.0"/>
      </rPr>
      <t xml:space="preserve"> </t>
    </r>
    <r>
      <rPr>
        <rFont val="Merriweather"/>
        <b/>
        <color rgb="FF3366FF"/>
        <sz val="9.0"/>
      </rPr>
      <t>19.05x0.71</t>
    </r>
  </si>
  <si>
    <t>DOCRB1588091</t>
  </si>
  <si>
    <t>Đồng ống RUBY PC 15.88x0.91</t>
  </si>
  <si>
    <t>DOCHL190508115</t>
  </si>
  <si>
    <r>
      <rPr>
        <rFont val="Merriweather"/>
        <color theme="1"/>
        <sz val="9.0"/>
      </rPr>
      <t>Ống đồng</t>
    </r>
    <r>
      <rPr>
        <rFont val="Merriweather"/>
        <b/>
        <color rgb="FF4285F4"/>
        <sz val="9.0"/>
      </rPr>
      <t xml:space="preserve"> </t>
    </r>
    <r>
      <rPr>
        <rFont val="Merriweather"/>
        <b/>
        <color rgb="FF3366FF"/>
        <sz val="9.0"/>
      </rPr>
      <t>19.05x0.81</t>
    </r>
  </si>
  <si>
    <t>DOTHL666712229</t>
  </si>
  <si>
    <t>Đồng ống Hailiang dạng cây 66.67mmx1.22mmx2.9</t>
  </si>
  <si>
    <t>DOCHL19051015</t>
  </si>
  <si>
    <r>
      <rPr>
        <rFont val="Merriweather"/>
        <color theme="1"/>
        <sz val="9.0"/>
      </rPr>
      <t>Ống đồng</t>
    </r>
    <r>
      <rPr>
        <rFont val="Merriweather"/>
        <b/>
        <color rgb="FF4285F4"/>
        <sz val="9.0"/>
      </rPr>
      <t xml:space="preserve"> </t>
    </r>
    <r>
      <rPr>
        <rFont val="Merriweather"/>
        <b/>
        <color rgb="FF3366FF"/>
        <sz val="9.0"/>
      </rPr>
      <t>19.05x1.02</t>
    </r>
  </si>
  <si>
    <t>DOTHL666714029</t>
  </si>
  <si>
    <t>Đồng ống Hailiang dạng cây 66.67mmx1.40mmx2.9m</t>
  </si>
  <si>
    <t>DOTHL666716029</t>
  </si>
  <si>
    <t>Đồng ống Hailiang dạng cây 66.67mmx1.60mmx2.9m</t>
  </si>
  <si>
    <t>DOTHL666717029</t>
  </si>
  <si>
    <t>Đồng ống Hailiang dạng cây 66.67mmx1.70mmx2.9</t>
  </si>
  <si>
    <t>ĐỒNG D
(TOÀN PHÁT + RUBY + JFLEX)</t>
  </si>
  <si>
    <t>SL Tồn</t>
  </si>
  <si>
    <t>DOTHL666718029</t>
  </si>
  <si>
    <t>Đồng ống Hailiang dạng cây 66.67mmx1.80mmx2.9</t>
  </si>
  <si>
    <t>DOTHL66672029</t>
  </si>
  <si>
    <t>Đồng ống Hailiang dạng cây 66.67mmx2.00mmx2.9</t>
  </si>
  <si>
    <t>TOÀN PHÁT</t>
  </si>
  <si>
    <t>DOTHL666720329</t>
  </si>
  <si>
    <t>Đồng ống Hailiang dạng cây 66.67mmx2.03mmx2.9</t>
  </si>
  <si>
    <t>DOC0635051</t>
  </si>
  <si>
    <r>
      <rPr>
        <rFont val="Merriweather"/>
        <color theme="1"/>
        <sz val="9.0"/>
      </rPr>
      <t xml:space="preserve">Đồng ống PC </t>
    </r>
    <r>
      <rPr>
        <rFont val="Merriweather"/>
        <b/>
        <color rgb="FF3366FF"/>
        <sz val="9.0"/>
      </rPr>
      <t>06.35x0.51</t>
    </r>
  </si>
  <si>
    <t>cuộn</t>
  </si>
  <si>
    <t>DOTHL760017829</t>
  </si>
  <si>
    <t>Đồng ống Hailiang dạng cây 76.00mmx1.78mx2.9m</t>
  </si>
  <si>
    <t>DOC0635066</t>
  </si>
  <si>
    <r>
      <rPr>
        <rFont val="Merriweather"/>
        <color theme="1"/>
        <sz val="9.0"/>
      </rPr>
      <t xml:space="preserve">Đồng ống PC </t>
    </r>
    <r>
      <rPr>
        <rFont val="Merriweather"/>
        <b/>
        <color rgb="FF3366FF"/>
        <sz val="9.0"/>
      </rPr>
      <t>06.35x0.66</t>
    </r>
  </si>
  <si>
    <t>DOTHL760015029</t>
  </si>
  <si>
    <t>Đồng ống Hailiang dạng cây 76.00mmx1.50mmx2.9</t>
  </si>
  <si>
    <t>DOC0952055</t>
  </si>
  <si>
    <r>
      <rPr>
        <rFont val="Merriweather"/>
        <color theme="1"/>
        <sz val="9.0"/>
      </rPr>
      <t xml:space="preserve">Đồng ống PC </t>
    </r>
    <r>
      <rPr>
        <rFont val="Merriweather"/>
        <b/>
        <color rgb="FF3366FF"/>
        <sz val="9.0"/>
      </rPr>
      <t>09.52x0.55</t>
    </r>
  </si>
  <si>
    <t>DOTHL760018029</t>
  </si>
  <si>
    <t>Đồng ống Hailiang dạng cây 76.00mmx1.80mx2.9m</t>
  </si>
  <si>
    <t>RUBY</t>
  </si>
  <si>
    <t>DOTHL762014029</t>
  </si>
  <si>
    <t>Đồng ống Hailiang dạng cây 76.20mmx1.40mmx2.9m</t>
  </si>
  <si>
    <t>DOCRB0635061</t>
  </si>
  <si>
    <r>
      <rPr>
        <rFont val="Merriweather"/>
        <color theme="1"/>
        <sz val="9.0"/>
      </rPr>
      <t xml:space="preserve">Đồng ống RUBY PC </t>
    </r>
    <r>
      <rPr>
        <rFont val="Merriweather"/>
        <b/>
        <color rgb="FF3366FF"/>
        <sz val="9.0"/>
      </rPr>
      <t>06.35x0.61</t>
    </r>
  </si>
  <si>
    <t>DOTHL762014030</t>
  </si>
  <si>
    <t>DOCRB0635071</t>
  </si>
  <si>
    <r>
      <rPr>
        <rFont val="Merriweather"/>
        <color theme="1"/>
        <sz val="9.0"/>
      </rPr>
      <t xml:space="preserve">Đồng ống RUBY PC </t>
    </r>
    <r>
      <rPr>
        <rFont val="Merriweather"/>
        <b/>
        <color rgb="FF3366FF"/>
        <sz val="9.0"/>
      </rPr>
      <t>06.35x0.71</t>
    </r>
  </si>
  <si>
    <t>DOTHL762015029</t>
  </si>
  <si>
    <t>Đồng ống Hailiang dạng cây 76.20mmx1.50mmx2.9m</t>
  </si>
  <si>
    <t>DOCRB0635081</t>
  </si>
  <si>
    <r>
      <rPr>
        <rFont val="Merriweather"/>
        <color theme="1"/>
        <sz val="9.0"/>
      </rPr>
      <t xml:space="preserve">Đồng ống RUBY PC </t>
    </r>
    <r>
      <rPr>
        <rFont val="Merriweather"/>
        <b/>
        <color rgb="FF3366FF"/>
        <sz val="9.0"/>
      </rPr>
      <t>06.35x0.81</t>
    </r>
  </si>
  <si>
    <t>DOTHL762016029</t>
  </si>
  <si>
    <t>Đồng ống Hailiang dạng cây 76.20mmx1.60mmx2.9m</t>
  </si>
  <si>
    <t>DOCRB0952071</t>
  </si>
  <si>
    <r>
      <rPr>
        <rFont val="Merriweather"/>
        <color theme="1"/>
        <sz val="9.0"/>
      </rPr>
      <t xml:space="preserve">Đồng ống RUBY PC </t>
    </r>
    <r>
      <rPr>
        <rFont val="Merriweather"/>
        <b/>
        <color rgb="FF3366FF"/>
        <sz val="9.0"/>
      </rPr>
      <t>09.52x0.71</t>
    </r>
  </si>
  <si>
    <t>DOTHL762017029</t>
  </si>
  <si>
    <t>Đồng ống Hailiang dạng cây 76.20mmx1.70mmx2.9m</t>
  </si>
  <si>
    <t>DOCRB0952081</t>
  </si>
  <si>
    <r>
      <rPr>
        <rFont val="Merriweather"/>
        <color theme="1"/>
        <sz val="9.0"/>
      </rPr>
      <t xml:space="preserve">Đồng ống RUBY PC </t>
    </r>
    <r>
      <rPr>
        <rFont val="Merriweather"/>
        <b/>
        <color rgb="FF3366FF"/>
        <sz val="9.0"/>
      </rPr>
      <t>09.52x0.81</t>
    </r>
  </si>
  <si>
    <t>DOTHL762023029</t>
  </si>
  <si>
    <t>Đồng ống Hailiang dạng cây 76.20mmx2.30mmx2.9</t>
  </si>
  <si>
    <t>DOCRB1270061</t>
  </si>
  <si>
    <r>
      <rPr>
        <rFont val="Merriweather"/>
        <color theme="1"/>
        <sz val="9.0"/>
      </rPr>
      <t xml:space="preserve">Đồng ống RUBY PC </t>
    </r>
    <r>
      <rPr>
        <rFont val="Merriweather"/>
        <b/>
        <color rgb="FF3366FF"/>
        <sz val="9.0"/>
      </rPr>
      <t>12.70x0.61</t>
    </r>
  </si>
  <si>
    <t>DOTHL762025029</t>
  </si>
  <si>
    <t>Đồng ống Hailiang dạng cây 76.20mmx2.50mmx2.9</t>
  </si>
  <si>
    <t>DOCRB1905100</t>
  </si>
  <si>
    <r>
      <rPr>
        <rFont val="Merriweather"/>
        <color theme="1"/>
        <sz val="9.0"/>
      </rPr>
      <t xml:space="preserve">Đồng ống RUBY PC </t>
    </r>
    <r>
      <rPr>
        <rFont val="Merriweather"/>
        <b/>
        <color rgb="FF3366FF"/>
        <sz val="9.0"/>
      </rPr>
      <t>19.05x1.00</t>
    </r>
  </si>
  <si>
    <t>DOTHL7937518029</t>
  </si>
  <si>
    <t>Đồng ống Hailiang dạng cây 79.375mmx1.80mmx2.9m</t>
  </si>
  <si>
    <t>JFLEX</t>
  </si>
  <si>
    <t>DOTHL793822958</t>
  </si>
  <si>
    <t>Đồng ống Hailiang dạng cây 79.38mmx2.29mmx5.8</t>
  </si>
  <si>
    <t>JC15880HA15M</t>
  </si>
  <si>
    <r>
      <rPr>
        <rFont val="Merriweather"/>
        <color theme="1"/>
        <sz val="9.0"/>
      </rPr>
      <t xml:space="preserve">JFLEX </t>
    </r>
    <r>
      <rPr>
        <rFont val="Merriweather"/>
        <b/>
        <color rgb="FF3366FF"/>
        <sz val="9.0"/>
      </rPr>
      <t>15.88x0.71</t>
    </r>
  </si>
  <si>
    <t>DOTHL88902329</t>
  </si>
  <si>
    <t>Đồng ống Hailiang dạng cây 88.90mmx2.3mmx2.9m</t>
  </si>
  <si>
    <t>JC19050HA15M</t>
  </si>
  <si>
    <r>
      <rPr>
        <rFont val="Merriweather"/>
        <color theme="1"/>
        <sz val="9.0"/>
      </rPr>
      <t xml:space="preserve">JFLEX </t>
    </r>
    <r>
      <rPr>
        <rFont val="Merriweather"/>
        <b/>
        <color rgb="FF3366FF"/>
        <sz val="9.0"/>
      </rPr>
      <t>19.05x0.71</t>
    </r>
  </si>
  <si>
    <r>
      <rPr>
        <rFont val="Times New Roman"/>
        <b/>
        <color rgb="FF4285F4"/>
        <sz val="18.0"/>
      </rPr>
      <t>GT HCM</t>
    </r>
    <r>
      <rPr>
        <rFont val="Times New Roman"/>
        <b/>
        <color rgb="FFFF0000"/>
        <sz val="18.0"/>
      </rPr>
      <t xml:space="preserve"> // CHÍNH SÁCH </t>
    </r>
    <r>
      <rPr>
        <rFont val="Times New Roman"/>
        <b/>
        <color rgb="FF4285F4"/>
        <sz val="18.0"/>
      </rPr>
      <t>ĐỒNG TAISEI</t>
    </r>
    <r>
      <rPr>
        <rFont val="Times New Roman"/>
        <b/>
        <color rgb="FFFF0000"/>
        <sz val="18.0"/>
      </rPr>
      <t xml:space="preserve">  (CHƯA VAT, CÓ VAT+10%)</t>
    </r>
  </si>
  <si>
    <t>ĐC 10.8.22</t>
  </si>
  <si>
    <t>ỐNG ĐỒNG TAISEI</t>
  </si>
  <si>
    <t>KG/Cuộn (Min)</t>
  </si>
  <si>
    <t>ĐG Chưa VAT</t>
  </si>
  <si>
    <t>5 thùng (-2%)</t>
  </si>
  <si>
    <t>10 thùng (-3%)</t>
  </si>
  <si>
    <t>20 thùng (-3.5%)</t>
  </si>
  <si>
    <t>30 Thùng (-4%)</t>
  </si>
  <si>
    <t>ĐG Có VAT</t>
  </si>
  <si>
    <t>7/11/2022 (11h18)</t>
  </si>
  <si>
    <t>18/7/2022 (số cân nhỏ nhất)</t>
  </si>
  <si>
    <t>26/7/2022 (số cân nhỏ nhất)</t>
  </si>
  <si>
    <t xml:space="preserve">* Chính sách chiết khấu TSHL:		</t>
  </si>
  <si>
    <t>Cộng dồn 1 đơn hàng:</t>
  </si>
  <si>
    <t>5 thùng = 0.5%</t>
  </si>
  <si>
    <t>10 thùng = 1.5%</t>
  </si>
  <si>
    <t>20 thùng = 3.5%</t>
  </si>
  <si>
    <t>30Thùng = 4%</t>
  </si>
  <si>
    <t>Hàng Taisei khác đạt khung nào thì đồng Taisei đạt khung đó ( áp dụng trên 1 đơn hàng)</t>
  </si>
  <si>
    <t>* Lưu ý:</t>
  </si>
  <si>
    <t>Phần chiết khấu đối với hàng ký gửi tính theo giá bìa * tỷ lệ ck theo khung vào cuối tháng ( Như Superlon)</t>
  </si>
  <si>
    <t>Phần bán thẳng tính theo giá bìa * tỷ lệ ck theo khung vào thẳng đơn hàng</t>
  </si>
  <si>
    <t>CHÍNH SÁCH GIÁ BỘ CHIA GAS</t>
  </si>
  <si>
    <t>Mã Misa (Không vỏ - có vỏ)</t>
  </si>
  <si>
    <t>THÔNG TIN</t>
  </si>
  <si>
    <t>Giá niêm yết (= Giá K)</t>
  </si>
  <si>
    <t>Có vỏ</t>
  </si>
  <si>
    <t>Không vỏ</t>
  </si>
  <si>
    <t>BCGY11T</t>
  </si>
  <si>
    <t>ZX-KHRJ26MC11T
 (R22)</t>
  </si>
  <si>
    <t>15.88"/19.05"</t>
  </si>
  <si>
    <t>15.88"/12.7"</t>
  </si>
  <si>
    <t>BCGY11TCV</t>
  </si>
  <si>
    <t>Liquid</t>
  </si>
  <si>
    <t>9.53"</t>
  </si>
  <si>
    <t>9.53"/6.35"</t>
  </si>
  <si>
    <t>BCGY18T</t>
  </si>
  <si>
    <t>ZX-KHRJ26MC18T
 (R22)</t>
  </si>
  <si>
    <t>19.05"/15.88"/12.7"</t>
  </si>
  <si>
    <t>BCGY18TCV</t>
  </si>
  <si>
    <t>BCGY22T</t>
  </si>
  <si>
    <t>ZX-KHRJ26MC22T
 (R410)</t>
  </si>
  <si>
    <t>12.7"/ 15.88" / 19.05"</t>
  </si>
  <si>
    <t>BCGY22TCV</t>
  </si>
  <si>
    <t>BCGY33T</t>
  </si>
  <si>
    <t>ZX-KHRJ26MC33T 
 ( R410)</t>
  </si>
  <si>
    <t>22.3"/19.05"</t>
  </si>
  <si>
    <t>19.05"/15.88"</t>
  </si>
  <si>
    <t>BCGY33TCV</t>
  </si>
  <si>
    <t>12.7"/ 9.53"</t>
  </si>
  <si>
    <t>BCGY37T</t>
  </si>
  <si>
    <t>ZX-KHRJ26MC37T 
 (R22)</t>
  </si>
  <si>
    <t>31.75"/28.58"/25.4"</t>
  </si>
  <si>
    <t>25.4"/19.05"/15.88"</t>
  </si>
  <si>
    <t>BCGY37TCV</t>
  </si>
  <si>
    <t>12.7"/9.53"</t>
  </si>
  <si>
    <t>12.7"/9.53"/6.35"</t>
  </si>
  <si>
    <t>BCGY40T</t>
  </si>
  <si>
    <t>ZX-KHRJ26MC40T
 (R22)</t>
  </si>
  <si>
    <t>38.1"/31.75"</t>
  </si>
  <si>
    <t>BCGY40TCV</t>
  </si>
  <si>
    <t>15.88"/12.7"/9.53"</t>
  </si>
  <si>
    <t>BCGY72T</t>
  </si>
  <si>
    <t>ZX-KHRJ26MC72T
 (R410)</t>
  </si>
  <si>
    <t>19.05"/15.88"12.7"</t>
  </si>
  <si>
    <t>BCGY72TCV</t>
  </si>
  <si>
    <t>12.7"/9.53"/6.35</t>
  </si>
  <si>
    <t>BCGY73T</t>
  </si>
  <si>
    <t>ZX-KHRJ26MC73T
 (R410)</t>
  </si>
  <si>
    <t>31.75"/28.58/25.4"</t>
  </si>
  <si>
    <t>25.4"/19.05"/15.88</t>
  </si>
  <si>
    <t>BCGY73TCV</t>
  </si>
  <si>
    <t>19.05"/15.88"/12.7</t>
  </si>
  <si>
    <t>BCGY75T</t>
  </si>
  <si>
    <t>ZX-KHRJ26MC75T 
 (R410)</t>
  </si>
  <si>
    <t>44.45"/38.1"</t>
  </si>
  <si>
    <t>38.1"/31.75"/25.4"</t>
  </si>
  <si>
    <t>31.75"</t>
  </si>
  <si>
    <t>BCGY75TCV</t>
  </si>
  <si>
    <t>22.23"/19.05"</t>
  </si>
  <si>
    <t>19.05"</t>
  </si>
  <si>
    <t>DANH SÁCH HÀNG D THÁNG 9</t>
  </si>
  <si>
    <t>Nhóm VTHH</t>
  </si>
  <si>
    <t>BỘ CHIA GAS &amp; PHỤ KIỆN ĐỒNG</t>
  </si>
  <si>
    <t>TỒN</t>
  </si>
  <si>
    <t>Thưởng sale</t>
  </si>
  <si>
    <t>LỐC</t>
  </si>
  <si>
    <t>Bộ chia gas</t>
  </si>
  <si>
    <t>Bộ chia gas chữ Y KHRP26MC11T</t>
  </si>
  <si>
    <t>Bộ</t>
  </si>
  <si>
    <t>Máy nén khí khác</t>
  </si>
  <si>
    <t>MNK2V32S225AUA18</t>
  </si>
  <si>
    <t>Máy nén khí 2V32S225AUA (18000BTU)</t>
  </si>
  <si>
    <t>Cái</t>
  </si>
  <si>
    <t>Bộ chia gas chữ Y KHRP26MC18T</t>
  </si>
  <si>
    <t>MNK2V42S225AUA24</t>
  </si>
  <si>
    <t>Máy nén khí 2V42S225AUA (24000BTU)</t>
  </si>
  <si>
    <t>Bộ chia gas chữ Y KHRP26MC18T có vỏ</t>
  </si>
  <si>
    <t>MNKAL112</t>
  </si>
  <si>
    <t>Máy nén khí AL112</t>
  </si>
  <si>
    <t>Chiếc</t>
  </si>
  <si>
    <t>MNKCBZN175L5Z</t>
  </si>
  <si>
    <t>Máy nén khí cho thiết bị lạnh C-BZN175L5Z</t>
  </si>
  <si>
    <t>MNKQXR-RA</t>
  </si>
  <si>
    <t>Máy nén khí QXR-RA205Z235BAA (12000 BTU)</t>
  </si>
  <si>
    <t>MNKHITA303DH</t>
  </si>
  <si>
    <t>Máy nén khí 303DH-47D2 (29500 BTU) 3PH HITACHI</t>
  </si>
  <si>
    <t>MNKHITA403DH</t>
  </si>
  <si>
    <t>Máy nén khí 403DH-64D2 (40240 BTU) 3PH HITACHI</t>
  </si>
  <si>
    <t>MNKHITA503DH</t>
  </si>
  <si>
    <t>Máy nén khí 503DH-80D (50800 BTU) 3PH HITACHI</t>
  </si>
  <si>
    <t>Zacco</t>
  </si>
  <si>
    <t>HKZC122D</t>
  </si>
  <si>
    <t>Zacco 12, 2 đầu (ren ngoài)</t>
  </si>
  <si>
    <t>Wanbao</t>
  </si>
  <si>
    <t>MNKAL180</t>
  </si>
  <si>
    <t>Máy nén khí cho thiết bị lạnh - AL180</t>
  </si>
  <si>
    <t>HKZC162D</t>
  </si>
  <si>
    <t>Zacco 16, 2 đầu (ren ngoài)</t>
  </si>
  <si>
    <t>MNKAS43</t>
  </si>
  <si>
    <t>Máy nén khí AS43</t>
  </si>
  <si>
    <t>HKZC192D</t>
  </si>
  <si>
    <t>Zacco 19 - 2 đầu (ren ngoài)</t>
  </si>
  <si>
    <t>Danfos</t>
  </si>
  <si>
    <t>MNKDGS26CLX</t>
  </si>
  <si>
    <t>Máy nén khí Danfoss cho TB lạnh GS26CLX</t>
  </si>
  <si>
    <t>HKZCN121D</t>
  </si>
  <si>
    <t>Zacco 12 (ren ngoài) 1 đầu</t>
  </si>
  <si>
    <t>MNKDGS34CLX</t>
  </si>
  <si>
    <t>Máy nén khí Danfoscho TB lạnh GS34CLX</t>
  </si>
  <si>
    <t>HKZCN161D</t>
  </si>
  <si>
    <t>Zacco 16 (ren ngoài) 1 đầu</t>
  </si>
  <si>
    <t>MNKDHML072T4LC6</t>
  </si>
  <si>
    <t>Máy nén khí Danfoss cho thiết bị lạnh HML072T4LC6</t>
  </si>
  <si>
    <t>HKZCN19</t>
  </si>
  <si>
    <t>zacco 19 ( ren ngoài)</t>
  </si>
  <si>
    <t>MNKDHRM060-141.P6</t>
  </si>
  <si>
    <t>Máy nén khi Danfoss cho thiết bị lạnh HRM060-141.P6</t>
  </si>
  <si>
    <t>HKZCT10</t>
  </si>
  <si>
    <t>Zacco 10 (ren trong)</t>
  </si>
  <si>
    <t>HKZCT12</t>
  </si>
  <si>
    <t>Zacco 12 (ren trong)</t>
  </si>
  <si>
    <t>MNKDMT125-4VI</t>
  </si>
  <si>
    <t>Máy nén khí Danfoss cho thiết bị lạnh MT 125 - 4VI</t>
  </si>
  <si>
    <t>HKZCT16</t>
  </si>
  <si>
    <t>Zacco 16 (ren trong)</t>
  </si>
  <si>
    <t>MNKDMT144-4VM</t>
  </si>
  <si>
    <t>Máy nén khí Danfoss cho thiết bị lạnh MT 144 - 4VM</t>
  </si>
  <si>
    <t>HKZCT19</t>
  </si>
  <si>
    <t>Zacco 19 ( ren trong)</t>
  </si>
  <si>
    <t>HKZCTO6</t>
  </si>
  <si>
    <t>Zacco 6 (ren trong)</t>
  </si>
  <si>
    <t>MNKDMT28-5VI</t>
  </si>
  <si>
    <t>Máy nén khí Danfoss cho thiết bị lạnh MT28 - 1 pha - 5VI</t>
  </si>
  <si>
    <t>MNKDMT56-4VM</t>
  </si>
  <si>
    <t>Máy nén khí Danfoss cho thiết bị lạnh MT56 - 4VM</t>
  </si>
  <si>
    <t>ĐIỀU KHIỂN + LINH KIỆN</t>
  </si>
  <si>
    <t>MNKDMTZ144-4VI</t>
  </si>
  <si>
    <t>Máy nén khí Danfoss cho thiết bị lạnh MTZ 144 - 4VI</t>
  </si>
  <si>
    <t>Phụ kiện đồng khác</t>
  </si>
  <si>
    <t>HKTDKHT6373BC1130</t>
  </si>
  <si>
    <t>Tay điều khiển Honeywell</t>
  </si>
  <si>
    <t>MNKDMTZ160-4VI</t>
  </si>
  <si>
    <t>Máy nén khí Danfoss cho thiết bị lạnh MTZ 160 - 4VI</t>
  </si>
  <si>
    <t>Vật tư hệ thống dàn</t>
  </si>
  <si>
    <t>BDNEKC102A</t>
  </si>
  <si>
    <t>Bộ điều nhiệt EKC 102A (084B8500)</t>
  </si>
  <si>
    <t>MNKDMTZ28-5VI</t>
  </si>
  <si>
    <t>Máy nén khí Danfoss cho thiết bị lạnh MTZ28- 1 pha - 5VI</t>
  </si>
  <si>
    <t>BDNEKC102C</t>
  </si>
  <si>
    <t>Bộ điều nhiệt EKC 102C (084B8502)</t>
  </si>
  <si>
    <t>MNKDMTZ40-4VI</t>
  </si>
  <si>
    <t>Máy nén khí Danfoss cho thiết bị lạnh MTZ 40 - 4VI</t>
  </si>
  <si>
    <t>DAYCBN</t>
  </si>
  <si>
    <t>Dây cảm biến nhiệt độ</t>
  </si>
  <si>
    <t>MNKDMTZ44-4VI</t>
  </si>
  <si>
    <t>Máy nén khí Danfoss cho thiết bị lạnh MTZ 44-4VI</t>
  </si>
  <si>
    <t>MNKDMTZ56-4VI</t>
  </si>
  <si>
    <t>Máy nén khí Danfoss cho thiết bị lạnh MTZ56 - 4VI</t>
  </si>
  <si>
    <t>MNKDMTZ56-4VM</t>
  </si>
  <si>
    <t>Máy nén khí Danfoss cho thiết bị lạnh MTZ56- 4VM</t>
  </si>
  <si>
    <t>Các loại Gas khác</t>
  </si>
  <si>
    <t>GA134LON</t>
  </si>
  <si>
    <t>Gas lon 134 TQ</t>
  </si>
  <si>
    <t>Bình</t>
  </si>
  <si>
    <t>MNKDSC15CL</t>
  </si>
  <si>
    <t>máy nén khí Danfoss SC15CL</t>
  </si>
  <si>
    <t>MNKDSC18CL</t>
  </si>
  <si>
    <t>máy nén khí Danfoss SC18CL</t>
  </si>
  <si>
    <t>Gas 410 Chemours</t>
  </si>
  <si>
    <t>GA410DUEU</t>
  </si>
  <si>
    <t>Gas lạnh SUVA 410a Dupont (11.34kg/bình)</t>
  </si>
  <si>
    <t>MNKDSC18G</t>
  </si>
  <si>
    <t>Máy nén khí Danfoss cho thiết bị lạnh SC 18G</t>
  </si>
  <si>
    <t>GA410LON</t>
  </si>
  <si>
    <t>Gas lon 410a</t>
  </si>
  <si>
    <t>Chai</t>
  </si>
  <si>
    <t>MNKDSC21CL</t>
  </si>
  <si>
    <t>Máy nén khí Danfoss cho thiết bị lạnh SC 21CL</t>
  </si>
  <si>
    <t>BOMCS</t>
  </si>
  <si>
    <t>Bơm cát sét</t>
  </si>
  <si>
    <t>MNKDSC21G</t>
  </si>
  <si>
    <t>Máy nén khí Danfoss cho thiết bị lạnh SC 21G</t>
  </si>
  <si>
    <t>HKVPBAM</t>
  </si>
  <si>
    <t>Phao bơi âm trần</t>
  </si>
  <si>
    <t>MNKMT50-4VI</t>
  </si>
  <si>
    <t>Máy nén khí Danfoss cho thiết bị lạnh MT 50 - 4VI</t>
  </si>
  <si>
    <t>CÔNG CỤ DỤNG CỤ &amp; VẬT TƯ LẮP ĐẶT</t>
  </si>
  <si>
    <t>MNKSC12CLX</t>
  </si>
  <si>
    <t>máy nén khí Danfoss SC12CLX</t>
  </si>
  <si>
    <t>MNKSM1004VI</t>
  </si>
  <si>
    <t>Máy nén khí Danfoss cho thiết bị lạnh SM 100-4VI</t>
  </si>
  <si>
    <t>MNKSM185S4CC</t>
  </si>
  <si>
    <t>Máy nén khí Danfoss SM1854CAI</t>
  </si>
  <si>
    <t>Copeland</t>
  </si>
  <si>
    <t>MNKCR30-K6M-PF1-171</t>
  </si>
  <si>
    <t>Máy nén khí cho thiết bị lạnh CR30-K6M-PF1-171(220V240W50Hz)</t>
  </si>
  <si>
    <t>MNKZB19KQEPJF-558</t>
  </si>
  <si>
    <t>Máy nén khí cho thiết bị lạnh ZB19KQE-PFJ-558(220/240-50hz)</t>
  </si>
  <si>
    <t>HKDHXLR</t>
  </si>
  <si>
    <t>Mặt đồng hồ xanh</t>
  </si>
  <si>
    <t>MNKZB21KQE-PFJ558</t>
  </si>
  <si>
    <t>Máy nén khí cho thiết bị lạnh ZB21KQE-PFJ-558 (220V/240V-50hz)</t>
  </si>
  <si>
    <t>DHD</t>
  </si>
  <si>
    <t>Mặt đồng hồ đỏ</t>
  </si>
  <si>
    <t>MNKZB26KQPFJ</t>
  </si>
  <si>
    <t>Máy nén khí cho thiết bị lạnh ZB26KQ-PFJ-558(220V24V50Hz)</t>
  </si>
  <si>
    <t>HKDGHS</t>
  </si>
  <si>
    <t>Dây gas Houngsen</t>
  </si>
  <si>
    <t>MNKZB38KQTFD-558</t>
  </si>
  <si>
    <t>Máy nén khí cho TBị Lạnh ZB38KQ-TFD-558(380V420V50Hz)</t>
  </si>
  <si>
    <t>DNG-VALUE-1.5-R410A</t>
  </si>
  <si>
    <t>Dây nạp gas Value R410A -1.5m</t>
  </si>
  <si>
    <t>MNKZB58KQTFD-550</t>
  </si>
  <si>
    <t>Máy nén khí cho thiết bị lạnh ZB58KQ-TFD-550(380V420V50Hz)</t>
  </si>
  <si>
    <t>GĐĐV114x50</t>
  </si>
  <si>
    <t>Gối đỡ đế vuông 114x50</t>
  </si>
  <si>
    <t>MNKZB95KQTFD550</t>
  </si>
  <si>
    <t>Máy nén khí cho thiết bị lạnh ZB95KQ-TFD-550 ( 380V420W50Hz)</t>
  </si>
  <si>
    <t>GDDVAERO2195064</t>
  </si>
  <si>
    <t>Gối đỡ vuông Aerofix 219mmX50mmX64mm</t>
  </si>
  <si>
    <t>MNKZP120KCE-TFD-522</t>
  </si>
  <si>
    <t>Máy nén khí cho thiết bị lạnh ZP120KCE-TFD-522(380V420V50Hz)</t>
  </si>
  <si>
    <t>GDDVAERO2735064</t>
  </si>
  <si>
    <t>Gối đỡ vuông Aerofix 273mmX50mmX64mm</t>
  </si>
  <si>
    <t>MNKZP36K3E-PFJ-522</t>
  </si>
  <si>
    <t>Máy nén khí cho thiết bị lạnh ZP36K3E-PFJ-522(220V420V50Hz)</t>
  </si>
  <si>
    <t>MNKZR108KCTFD-422</t>
  </si>
  <si>
    <t>Máy nén khí cho thiết bị lạnh ZR108KC-TFD-422(380V420V50Hz)</t>
  </si>
  <si>
    <t>Vật tư gas khác</t>
  </si>
  <si>
    <t>HKMHCK4.0CValue115SM</t>
  </si>
  <si>
    <t>Máy hút chân không Value 115SM</t>
  </si>
  <si>
    <t>MNKZR108KCTFD-522</t>
  </si>
  <si>
    <t>Máy nén khí cho thiết bị lạnh ZR108KC-TFD-522(380V420V50Hz)</t>
  </si>
  <si>
    <t>MNKZR160KCETFD-422</t>
  </si>
  <si>
    <t>Máy nén khí cho TBị Lạnh ZR160KCE-TFD-422(380V420V50Hz)</t>
  </si>
  <si>
    <t>MNKZR160KCETFD-522</t>
  </si>
  <si>
    <t>Máy nén khí cho TBị Lạnh ZR160KCE-TFD-522(380V420V50Hz)</t>
  </si>
  <si>
    <t>MNKZR160KC-TFD-422</t>
  </si>
  <si>
    <t>máy nén khí cho thiết bị lạnh ZR160KC-TFD-422(380V/420V50hz)</t>
  </si>
  <si>
    <t>MNKZR160KC-TFD-522</t>
  </si>
  <si>
    <t>máy nén khí cho thiết bị lạnh ZR160KC-TFD-522(380V/420V50hz)</t>
  </si>
  <si>
    <t>HKDCT</t>
  </si>
  <si>
    <t>Dao Cắt To</t>
  </si>
  <si>
    <t>MNKZR160KCTFD-550</t>
  </si>
  <si>
    <t>Máy nén khí cho TBị Lạnh ZR160KC-TFD-550(380V420V50Hz)</t>
  </si>
  <si>
    <t>MNKZR28K3-PFJ-522</t>
  </si>
  <si>
    <t>Máy nén khí cho TBị Lạnh MNKZR28K3-PFJ-522(220V420V50Hz)</t>
  </si>
  <si>
    <t>TAYHAN13772</t>
  </si>
  <si>
    <t>Tay hàn TQ</t>
  </si>
  <si>
    <t>HKGĐNG</t>
  </si>
  <si>
    <t>Giá đỡ ngược</t>
  </si>
  <si>
    <t>HKGĐNGTO</t>
  </si>
  <si>
    <t>Giá đỡ ngược to</t>
  </si>
  <si>
    <t>VẬT TƯ ĐIỀU HÒA TỦ LẠNH</t>
  </si>
  <si>
    <t>MNKZR45K3PFJ-522</t>
  </si>
  <si>
    <t>Máy nén khí cho TBị Lạnh ZR45K3-PFJ-522(220V240V50Hz)</t>
  </si>
  <si>
    <t>MNKZR45KC-TFD-522</t>
  </si>
  <si>
    <t>Máy nén khí cho TBị Lạnh MNKZR45KC-TFD-522(380V420V-50Hz)</t>
  </si>
  <si>
    <t>RƠLETGNTMF603AP1</t>
  </si>
  <si>
    <t>Rơ le thời gian mỏng</t>
  </si>
  <si>
    <t>MNKZR47KCTFD-522</t>
  </si>
  <si>
    <t>máy nén khí cho thiết bị lạnh ZR47KC-TFD-522(380V420V-50HZ)</t>
  </si>
  <si>
    <t>TMOCTA2CTWPF8.5070725</t>
  </si>
  <si>
    <t>Tecmocta 2 chân thường</t>
  </si>
  <si>
    <t>MNKZR57KCTFD-522</t>
  </si>
  <si>
    <t>Máy nén khí cho TBị Lạnh ZR57KC-TFD-522(380V420V50Hz)</t>
  </si>
  <si>
    <t>MNKZR68KCETFD-522</t>
  </si>
  <si>
    <t>Máy nén khí cho TBị Lạnh ZR68KCE-TFD-522(380V420V50Hz)</t>
  </si>
  <si>
    <t>Keo các loại</t>
  </si>
  <si>
    <t>HKKAPOLOA100</t>
  </si>
  <si>
    <t>Keo Apolo A100</t>
  </si>
  <si>
    <t>Tuýp</t>
  </si>
  <si>
    <t>MNKZR72KC-TFD-422</t>
  </si>
  <si>
    <t>Máy nén khí cho TBị Lạnh ZR72KC-TFD-422(380V420V50Hz)</t>
  </si>
  <si>
    <t>MNKZR81KCTFD422</t>
  </si>
  <si>
    <t>Máy nén khí cho thiết bị lạnh ZR81KC-TFD-422(380V420V50Hz)</t>
  </si>
  <si>
    <t>HKATTOMAT30A</t>
  </si>
  <si>
    <t>Attomat 30A</t>
  </si>
  <si>
    <t>MNKZR94KCETFD-522</t>
  </si>
  <si>
    <t>máy nén khí cho thiết bị lạnh ZR94KCE-TFD-522(380V/420V-50HZ)</t>
  </si>
  <si>
    <t>HKATTOMAT32A</t>
  </si>
  <si>
    <t>Attomat 32A</t>
  </si>
  <si>
    <t>MNKZR94KCTFD - 522</t>
  </si>
  <si>
    <t>Máy nén khí cho thiết bị lạnh ZR94KC-TFD-522(380V420V50Hz)</t>
  </si>
  <si>
    <t>HKATTOMAT60A</t>
  </si>
  <si>
    <t>Attomat 60A</t>
  </si>
  <si>
    <t>MNKZR94KCTFD-422</t>
  </si>
  <si>
    <t>máy nén khí cho thiết bị lạnh ZR94KC-TFD-422(380V/420V-50HZ)</t>
  </si>
  <si>
    <t>HKCON</t>
  </si>
  <si>
    <t>Cồn Mefhanol/GB/T683 - 2006</t>
  </si>
  <si>
    <t>Lọ</t>
  </si>
  <si>
    <t>MNKZR94KCTFD-523</t>
  </si>
  <si>
    <t>máy nén khí cho thiết bị lạnh ZR94KC-TFD-523(380V/420V-50HZ)</t>
  </si>
  <si>
    <t>HKCONDT</t>
  </si>
  <si>
    <t>Con dương thường</t>
  </si>
  <si>
    <t>VẬT TƯ DÀN - PHIN/ĐÁ LỌC</t>
  </si>
  <si>
    <t>QCG1.5JL</t>
  </si>
  <si>
    <t>Quạt cắt gió 1.5m (JinLing)</t>
  </si>
  <si>
    <t>QUATCOCA</t>
  </si>
  <si>
    <t>Quạt coca</t>
  </si>
  <si>
    <t>HKRLAMTS15A250V</t>
  </si>
  <si>
    <t>Rơ le bình nóng lạnh</t>
  </si>
  <si>
    <t>PHINLDDCL303PHIN10</t>
  </si>
  <si>
    <t>Phin lọc Danfoss DCL 303 phi 10</t>
  </si>
  <si>
    <t>XAMGI</t>
  </si>
  <si>
    <t>Xả máy giặt</t>
  </si>
  <si>
    <t>ZOĂNG XỐP</t>
  </si>
  <si>
    <t>HKZTNC</t>
  </si>
  <si>
    <t>Zoăng tủ+nam châm</t>
  </si>
  <si>
    <t>PHINLDDML306PHIN19</t>
  </si>
  <si>
    <t>Phin lọc Danfoss DML 306 phi 19</t>
  </si>
  <si>
    <t>PHINLEMERSON048222</t>
  </si>
  <si>
    <t>Phin lọc Emerson 048222/EK 415 STD</t>
  </si>
  <si>
    <t>HKLDL089559</t>
  </si>
  <si>
    <t>Lõi đá lọc Emerson 089559/F-48-STD</t>
  </si>
  <si>
    <t>HKPDHN</t>
  </si>
  <si>
    <t>Phin điều hòa nhỏ</t>
  </si>
  <si>
    <t>HKPT2DT</t>
  </si>
  <si>
    <t>Phin tủ 2 đuôi loại tốt</t>
  </si>
  <si>
    <t>VẬT TƯ DÀN - VAN+KIM+COIL</t>
  </si>
  <si>
    <t>HKKIM2TEX5</t>
  </si>
  <si>
    <t>Kim số 2 tex 5 (067_2790)</t>
  </si>
  <si>
    <t>HKVTLT02INOX</t>
  </si>
  <si>
    <t>Van tiết lưu Tex 2 inox FME-E283</t>
  </si>
  <si>
    <t>KD3T2</t>
  </si>
  <si>
    <t>Kim số 3 tex 2 Danfoss (068_2006)</t>
  </si>
  <si>
    <t>KDT12</t>
  </si>
  <si>
    <t>Kim số 5 tex 12 (067B2708)</t>
  </si>
  <si>
    <t>VẬT TƯ DÀN - ROWLE ÁP SUẤT</t>
  </si>
  <si>
    <t>RLASDCKP5</t>
  </si>
  <si>
    <t>Role A/S đơn cao KP5</t>
  </si>
  <si>
    <t>RLASDCTQ</t>
  </si>
  <si>
    <t>Rơ le A/S đơn cao TQ IK30S</t>
  </si>
  <si>
    <t>Rơ le AS kép</t>
  </si>
  <si>
    <t>Rơ le áp suất kép</t>
  </si>
  <si>
    <t>RASDTKP1</t>
  </si>
  <si>
    <t>Rơ le A/S đơn thấp KP1</t>
  </si>
  <si>
    <t>VẬT TƯ DÀN - MẮT BÁO GAS + BÌNH</t>
  </si>
  <si>
    <t>HKMBG22TQ</t>
  </si>
  <si>
    <t>mắt báo gas 22 TQ</t>
  </si>
  <si>
    <t>HKMBGD10</t>
  </si>
  <si>
    <t>mắt báo gas Danfoss 10 (014-0162)</t>
  </si>
  <si>
    <t>HKMBGD12</t>
  </si>
  <si>
    <t>mắt báo gas Danfoss 12 (014-0163)</t>
  </si>
  <si>
    <t>HKMBGD16</t>
  </si>
  <si>
    <t>mắt báo gas Danfoss 16</t>
  </si>
  <si>
    <t>HKMBGD19</t>
  </si>
  <si>
    <t>Mắt báo gas Danfoss 19</t>
  </si>
  <si>
    <t>HKKHS15</t>
  </si>
  <si>
    <t>Bình ngưng KHS 15</t>
  </si>
  <si>
    <t>DÀN</t>
  </si>
  <si>
    <t>Dàn</t>
  </si>
  <si>
    <t>DANN07C</t>
  </si>
  <si>
    <t>Bộ phận trao đổi nhiệt tủ lạnh 7 cút</t>
  </si>
  <si>
    <t>DANN08C</t>
  </si>
  <si>
    <t>Bộ phận trao đổi nhiệt của tủ lạnh 8 cút</t>
  </si>
  <si>
    <t>DAN09</t>
  </si>
  <si>
    <t>Dàn 09 cút</t>
  </si>
  <si>
    <t>DAN11C</t>
  </si>
  <si>
    <t>Dàn 11 Cút</t>
  </si>
  <si>
    <t>DAN2.5HPBLUE</t>
  </si>
  <si>
    <t>Thiết bị làm ngưng tụ 2.5 HP KQ</t>
  </si>
  <si>
    <t>DAN3HPSB</t>
  </si>
  <si>
    <t>Thiết bị làm ngưng tụ 3HP Small Blue (180W/220V)</t>
  </si>
  <si>
    <t>DAN3HPSB2q</t>
  </si>
  <si>
    <t>Thiết bị làm ngưng tụ 3HP Small Blue (180W/220V)-2q</t>
  </si>
  <si>
    <t>DANDN34CQ</t>
  </si>
  <si>
    <t>Thiết bị làm ngưng tụ DN3.4 CQ 8M (33W/220V)</t>
  </si>
  <si>
    <t>DANDN34KQ</t>
  </si>
  <si>
    <t>Thiết bị làm ngưng tụ DN3.4 KQ 8M</t>
  </si>
  <si>
    <t>DANDN44CQ</t>
  </si>
  <si>
    <t>Thiết bị làm ngưng tụ DN4.4 CQ 8M</t>
  </si>
  <si>
    <t>DANDN44KQ</t>
  </si>
  <si>
    <t>Thiết bị làm ngưng tụ DN4.4 KQ 8M</t>
  </si>
  <si>
    <t>DANNONG3HP</t>
  </si>
  <si>
    <t>Dàn nóng 3HP</t>
  </si>
  <si>
    <t>DLTSDD-1.3/7-1p-1300W</t>
  </si>
  <si>
    <t>Dàn lạnh Taisei DD1.3/7-1300W (220v/1p/50hz)</t>
  </si>
  <si>
    <t>DLTSDE0.9/5-1p-900W</t>
  </si>
  <si>
    <t>Dàn lạnh Taisei DE0.9/5-900W(220v/1p/50hz)</t>
  </si>
  <si>
    <t>DLTSDE1.35/7.5-1350W</t>
  </si>
  <si>
    <t>Dàn lạnh Taisei DE1.35/7.5-1350W(220v/1p/50hz)</t>
  </si>
  <si>
    <t>DNTSFNA1.0/4.4-33W</t>
  </si>
  <si>
    <t>Dàn Nóng Taisei FNA1.0/4.4 (33W/220V/50HZ)</t>
  </si>
  <si>
    <t>DNTSFNA1.6/8.4-56W</t>
  </si>
  <si>
    <t>Dàn Nóng Taisei FNA1.6/8.4(56W/220V/50HZ)</t>
  </si>
  <si>
    <t>DNTSFNF2.8/13-3p-2HP</t>
  </si>
  <si>
    <t>Dàn Nóng Taisei FNF2.8-2HP (380v/3p/50hz)</t>
  </si>
  <si>
    <t>DNTSFNF4.4/16.5-2.5HP</t>
  </si>
  <si>
    <t>Dàn Nóng Taisei FNF4.4/16.5-2.5HP(220V/1p/50Hz)</t>
  </si>
  <si>
    <t>VẬT TƯ DÀN - QUẠT + CỦ</t>
  </si>
  <si>
    <t>CUQUATYYS15</t>
  </si>
  <si>
    <t>Củ quạt YY S15-4 15W</t>
  </si>
  <si>
    <t>QUATCN</t>
  </si>
  <si>
    <t>Quạt cục nóng</t>
  </si>
  <si>
    <t>HKCQ60W</t>
  </si>
  <si>
    <t>Cánh quạt 60W</t>
  </si>
  <si>
    <t>LQNHO</t>
  </si>
  <si>
    <t>Lồng quạt nhỏ</t>
  </si>
  <si>
    <t>LQTO</t>
  </si>
  <si>
    <t>Lồng quạt to</t>
  </si>
  <si>
    <t>HKQUATDAYHY</t>
  </si>
  <si>
    <t>Quạt tủ đắt( HY-YZF607A- 220V50HZ)</t>
  </si>
  <si>
    <t>VẬT TƯ PHỤ KIỆN</t>
  </si>
  <si>
    <t>RACCAM</t>
  </si>
  <si>
    <t>Rắc Cắm lốc</t>
  </si>
  <si>
    <t>Rơ le bán dẫn</t>
  </si>
  <si>
    <t>VANC10</t>
  </si>
  <si>
    <t>Van chặn 10</t>
  </si>
  <si>
    <t>VANC19</t>
  </si>
  <si>
    <t>Van chặn 19</t>
  </si>
  <si>
    <t>VANCH19</t>
  </si>
  <si>
    <t>Van chặn loại hàn 19</t>
  </si>
  <si>
    <t>VANCH22</t>
  </si>
  <si>
    <t>Van chặn loại hàn 22</t>
  </si>
  <si>
    <t>HKTU45</t>
  </si>
  <si>
    <t>Tụ 45</t>
  </si>
  <si>
    <t>HKCHECH76</t>
  </si>
  <si>
    <t>Chếch đồng 76</t>
  </si>
  <si>
    <t>HKGĐNTHEPV</t>
  </si>
  <si>
    <t>Giá đỡ nhỏ thép V</t>
  </si>
  <si>
    <t>DANH SÁCH HÀNG D THÁNG 9 (GIÁ CÓ VAT)</t>
  </si>
  <si>
    <t>ARMAFLEX</t>
  </si>
  <si>
    <t>Giá xả</t>
  </si>
  <si>
    <t>BÔNG THỦY TINH</t>
  </si>
  <si>
    <t>HKACPF03512025</t>
  </si>
  <si>
    <t>Arma Chek Silver D0.35X1.2X25 (30M2/ROLL)</t>
  </si>
  <si>
    <t>Cuôn</t>
  </si>
  <si>
    <t>Bông thủy tinh ống</t>
  </si>
  <si>
    <t>BKDH89X30</t>
  </si>
  <si>
    <t>Bông thủy tinh dạng ống 89x30</t>
  </si>
  <si>
    <t>m</t>
  </si>
  <si>
    <t>BTTO43X50CB</t>
  </si>
  <si>
    <t>Bông thuỷ tinh dạng ống 43X50 có bạc</t>
  </si>
  <si>
    <t>XBOA012X13</t>
  </si>
  <si>
    <t>Ống cao su lưu hóa Armaflex Thái Lan 12X13</t>
  </si>
  <si>
    <t>sợi</t>
  </si>
  <si>
    <t>Cách nhiệt khác</t>
  </si>
  <si>
    <t>CAOSUGC</t>
  </si>
  <si>
    <t>Cao su giảm chấn dày 15 ly</t>
  </si>
  <si>
    <t>tấm</t>
  </si>
  <si>
    <t>XBOA012X19</t>
  </si>
  <si>
    <t>Ống cao su lưu hóa Armaflex Thái Lan 12X19</t>
  </si>
  <si>
    <t>HKBK22x30CB</t>
  </si>
  <si>
    <t>Bông thủy tinh dạng ống 22x30 Có Bạc</t>
  </si>
  <si>
    <t>XỐP ATATA + JFLEX</t>
  </si>
  <si>
    <t>XBOA012X19C0</t>
  </si>
  <si>
    <t>Ống cao su lưu hóa Armaflex Thái Lan Ống 12X19 Class 0 (42S/T)</t>
  </si>
  <si>
    <t>XBOATT114X19</t>
  </si>
  <si>
    <t>Ống cao su lưu hóa 114 X 19 Atata</t>
  </si>
  <si>
    <t>XBOA020X13</t>
  </si>
  <si>
    <t>Ống cao su lưu hóa Armaflex Thái Lan 20X13</t>
  </si>
  <si>
    <t>XBOATT67X13</t>
  </si>
  <si>
    <t>Ống cao su lưu hóa 67 X 13 Atata</t>
  </si>
  <si>
    <t>XBOA020X19C0</t>
  </si>
  <si>
    <t>Ống cao su lưu hóa Armaflex Thái Lan Ống 20X19 Class 0 (30S/T)</t>
  </si>
  <si>
    <t>XBOJ010X09</t>
  </si>
  <si>
    <t>Xốp bảo ôn Malaysia J, Flex 10 X 9 (140 sợi/thùng)</t>
  </si>
  <si>
    <t>XBOA022X19</t>
  </si>
  <si>
    <t>Ống cao su lưu hóa Armaflex Thái Lan 22X19</t>
  </si>
  <si>
    <t>XBOJ013X09</t>
  </si>
  <si>
    <t>Xốp bảo ôn Malaysia J, Flex 13 X 9 (120 sợi/thùng)</t>
  </si>
  <si>
    <t>XBOA025X13</t>
  </si>
  <si>
    <t>Ống cao su lưu hóa Armaflex Thái Lan 25X13</t>
  </si>
  <si>
    <t>XBOJ016X09</t>
  </si>
  <si>
    <t>Xốp bảo ôn Malaysia J, Flex 16 X 9 (100 sợi/thùng)</t>
  </si>
  <si>
    <t>XBOA028X13C0</t>
  </si>
  <si>
    <t>Ống cao su lưu hóa Armaflex Thái Lan Ống 28X13 Class 0 (36S/T)</t>
  </si>
  <si>
    <t>HÀNG HÓA CÁCH NHIỆT</t>
  </si>
  <si>
    <t>XBOA028X19</t>
  </si>
  <si>
    <t>Ống cao su lưu hóa Armaflex Thái Lan 28X19</t>
  </si>
  <si>
    <t>XBOA028X19C0</t>
  </si>
  <si>
    <t>Ống cao su lưu hóa Armaflex Thái Lan Ống 28X19 Class 0 (25S/T)</t>
  </si>
  <si>
    <t>ZBOA035091</t>
  </si>
  <si>
    <t>Zoăng bảo ôn Aeroflex bản 3mmx50mmx9.1m</t>
  </si>
  <si>
    <t>XBOA028X25C0</t>
  </si>
  <si>
    <t>Ống cao su lưu hóa Armaflex Thái Lan Ống 28X25 Class 0 (16S/T)</t>
  </si>
  <si>
    <t>ZBOSDT0548914</t>
  </si>
  <si>
    <t>Zoăng bảo ôn Superlon bản 5mmx48mmx9.14 (dạng túi)</t>
  </si>
  <si>
    <t>XBOA028X32</t>
  </si>
  <si>
    <t>Ống cao su lưu hóa Armaflex Thái Lan 28X32</t>
  </si>
  <si>
    <t>XBOA032X09C0</t>
  </si>
  <si>
    <t>Ống cao su lưu hóa Armaflex Thái Lan Ống 32X9 Class 0 (42S/T)</t>
  </si>
  <si>
    <t>XBOA032X19</t>
  </si>
  <si>
    <t>Ống cao su lưu hóa Armaflex Thái Lan 32X19</t>
  </si>
  <si>
    <t>DẦU SUNISO</t>
  </si>
  <si>
    <t>XBOA035X13</t>
  </si>
  <si>
    <t>Ống cao su lưu hóa Armaflex Thái Lan 35X13</t>
  </si>
  <si>
    <t>DAU3GSCN</t>
  </si>
  <si>
    <t>XBOA035X13C0</t>
  </si>
  <si>
    <t>Ống cao su lưu hóa Armaflex Thái Lan Ống 35X13 Class 0 (29S/T)</t>
  </si>
  <si>
    <t>DAU4GSCN</t>
  </si>
  <si>
    <t>Dầu Suniso 4GS (3.78l/can nhựa)</t>
  </si>
  <si>
    <t>Can</t>
  </si>
  <si>
    <t>XBOA035X25C0</t>
  </si>
  <si>
    <t>Ống cao su lưu hóa Armaflex Thái Lan Ống 35X25 Class 0 (15S/T)</t>
  </si>
  <si>
    <t>HKBTLPHI12</t>
  </si>
  <si>
    <t>Bình tách dầu lỏng phi 12</t>
  </si>
  <si>
    <t>XBOA035X38</t>
  </si>
  <si>
    <t>Ống cao su lưu hóa Armaflex Thái Lan 35X38</t>
  </si>
  <si>
    <t>XBOA042X09</t>
  </si>
  <si>
    <t>Ống cao su lưu hóa Armaflex Thái Lan 42X9</t>
  </si>
  <si>
    <t>XBOA042X13</t>
  </si>
  <si>
    <t>Ống cao su lưu hóa Armaflex Thái Lan 42X13</t>
  </si>
  <si>
    <t>XBOA048X38</t>
  </si>
  <si>
    <t>Ống cao su lưu hóa Armaflex Thái Lan 48X38</t>
  </si>
  <si>
    <t>XBOA060X13</t>
  </si>
  <si>
    <t>Ống cao su lưu hóa Armaflex Thái Lan 60X13</t>
  </si>
  <si>
    <t>XBOA060X13C0</t>
  </si>
  <si>
    <t>Ống cao su lưu hóa Armaflex Thái Lan Ống 60X13 Class 0 (18S/T)</t>
  </si>
  <si>
    <t>XBOA060X38</t>
  </si>
  <si>
    <t>Ống cao su lưu hóa Armaflex Thái Lan 60X38</t>
  </si>
  <si>
    <t>XBOA060X40C0</t>
  </si>
  <si>
    <t>Ống cao su lưu hóa Armaflex Thái Lan Ống 60X40 Class 0 (5S/T)</t>
  </si>
  <si>
    <t>XBOA076X50C0</t>
  </si>
  <si>
    <t>Ống cao su lưu hóa Armaflex Thái Lan Ống 76X50 Class 0 (2S/T)</t>
  </si>
  <si>
    <t>XBOA089X13C0</t>
  </si>
  <si>
    <t>Ống cao su lưu hóa Armaflex Thái Lan Ống 89X13 Class 0 (12S/T)</t>
  </si>
  <si>
    <t>XBOA089X25</t>
  </si>
  <si>
    <t>Ống cao su lưu hóa Armaflex Thái Lan 89X25</t>
  </si>
  <si>
    <t>XBOA089X38</t>
  </si>
  <si>
    <t>Ống cao su lưu hóa Armaflex Thái Lan 89X38</t>
  </si>
  <si>
    <t>XBOA089X50</t>
  </si>
  <si>
    <t>Ống cao su lưu hóa Armaflex Thái Lan 89X50</t>
  </si>
  <si>
    <t>XBOA089X50C0</t>
  </si>
  <si>
    <t>Ống cao su lưu hóa Armaflex Thái Lan Ống 89X50 Class 0 (2S/T)</t>
  </si>
  <si>
    <t>XBOA114X38</t>
  </si>
  <si>
    <t>Ống cao su lưu hóa Armaflex Thái Lan 114X38</t>
  </si>
  <si>
    <t>XBOAF006X19</t>
  </si>
  <si>
    <t>Ống cao su lưu hóa Armaflex FRV Thái Lan Ống 6X19</t>
  </si>
  <si>
    <t>XBOAF012X19</t>
  </si>
  <si>
    <t>Ống cao su lưu hóa Armaflex FRV Thái Lan Ống 12X19</t>
  </si>
  <si>
    <t>XBOAF020X25</t>
  </si>
  <si>
    <t>Ống cao su lưu hóa Armaflex FRV Thái Lan Ống 20X25</t>
  </si>
  <si>
    <t>XBOAF022X13</t>
  </si>
  <si>
    <t>Ống cao su lưu hóa Armaflex FRV Thái Lan Ống 22X13</t>
  </si>
  <si>
    <t>XBOAF022X19</t>
  </si>
  <si>
    <t>Ống cao su lưu hóa Armaflex FRV Thái Lan Ống 22X19</t>
  </si>
  <si>
    <t>XBOAF022X25</t>
  </si>
  <si>
    <t>Ống cao su lưu hóa Armaflex FRV Thái Lan Ống 22X25</t>
  </si>
  <si>
    <t>XBOAF028X13</t>
  </si>
  <si>
    <t>Ống cao su lưu hóa Armaflex FRV Thái Lan Ống 28X13</t>
  </si>
  <si>
    <t>XBOAF028X19</t>
  </si>
  <si>
    <t>Ống cao su lưu hóa Armaflex FRV Thái Lan Ống 28X19</t>
  </si>
  <si>
    <t>XBOAF035X13</t>
  </si>
  <si>
    <t>Ống cao su lưu hóa Armaflex FRV Thái Lan Ống 35X13</t>
  </si>
  <si>
    <t>XBOAF035X25</t>
  </si>
  <si>
    <t>Ống cao su lưu hóa Armaflex FRV Thái Lan Ống 35X25</t>
  </si>
  <si>
    <t>XBOAF042X13</t>
  </si>
  <si>
    <t>Ống cao su lưu hóa Armaflex FRV Thái Lan Ống 42X13</t>
  </si>
  <si>
    <t>XBOAF042X19</t>
  </si>
  <si>
    <t>Ống cao su lưu hóa Armaflex FRV Thái Lan Ống 42X19</t>
  </si>
  <si>
    <t>XBOAF048X13</t>
  </si>
  <si>
    <t>Ống cao su lưu hóa Armaflex FRV Thái Lan Ống 48X13</t>
  </si>
  <si>
    <t>XBOAF060X13</t>
  </si>
  <si>
    <t>Ống cao su lưu hóa Armaflex FRV Thái Lan Ống 60X13</t>
  </si>
  <si>
    <t>XBOAF073X13</t>
  </si>
  <si>
    <t>Ống cao su lưu hóa Armaflex FRV Thái Lan Ống 73X13</t>
  </si>
  <si>
    <t>XBOAF089X50</t>
  </si>
  <si>
    <t>Ống cao su lưu hóa Armaflex FRV Thái Lan Ống 89X50</t>
  </si>
  <si>
    <t>XTA1312208</t>
  </si>
  <si>
    <t>Tấm cao su lưu hóa Armaflex Thái Lan D13X1.22X8</t>
  </si>
  <si>
    <t>XTA251202C0BD</t>
  </si>
  <si>
    <t>Tấm cao su lưu hóa Armaflex D25X1.2X2 Class 0 - bạc + dính</t>
  </si>
  <si>
    <t>XTA2512204BD</t>
  </si>
  <si>
    <t>Tấm cao su lưu hóa Armaflex Thái Lan D25 X1.22X4 - Bạc + Dính</t>
  </si>
  <si>
    <t>XTA3212203D</t>
  </si>
  <si>
    <t>Tấm cao su lưu hóa Armaflex Thái Lan D32X1.22X3 - Dính</t>
  </si>
  <si>
    <t>XTAF2512204</t>
  </si>
  <si>
    <t>Tấm cao su lưu hóa Armaflex FRV Thái Lan D25X1.22X4</t>
  </si>
  <si>
    <t>1. NHÓM ỐNG ĐỒNG</t>
  </si>
  <si>
    <t>Nhãn hiệu</t>
  </si>
  <si>
    <t>Nhóm HH</t>
  </si>
  <si>
    <t>Mã</t>
  </si>
  <si>
    <t>Tên</t>
  </si>
  <si>
    <t>VAT</t>
  </si>
  <si>
    <t>Tỷ lệ K</t>
  </si>
  <si>
    <t>Toàn Phát - Việt Nam</t>
  </si>
  <si>
    <t>ĐTPCUONIB</t>
  </si>
  <si>
    <t>DOC0476050</t>
  </si>
  <si>
    <t>Đồng ống PC 04.76x0.50</t>
  </si>
  <si>
    <t>DOC0476051</t>
  </si>
  <si>
    <t>Đồng ống PC 04.76x0.51</t>
  </si>
  <si>
    <t>ĐTPCUONDI</t>
  </si>
  <si>
    <t>DOC0476065</t>
  </si>
  <si>
    <t>Đồng ống PC 04.76x0.65</t>
  </si>
  <si>
    <t>DOC0476070</t>
  </si>
  <si>
    <t>Đồng ống PC 04.76x0.70</t>
  </si>
  <si>
    <t>DOC0476071</t>
  </si>
  <si>
    <t>Đồng ống PC 04.76x0.71</t>
  </si>
  <si>
    <t>DOC0476080</t>
  </si>
  <si>
    <t>Đồng ống PC 04.76x0.80</t>
  </si>
  <si>
    <t>DOC0500100</t>
  </si>
  <si>
    <t>Đồng ống PC 05.00x1.00</t>
  </si>
  <si>
    <t>DOC0550061</t>
  </si>
  <si>
    <t>Đồng ống PC 05.50x0.61</t>
  </si>
  <si>
    <t>DOC055005</t>
  </si>
  <si>
    <t>Đồng ống PC 05.50x0.5</t>
  </si>
  <si>
    <t>DOC0600035</t>
  </si>
  <si>
    <t>Đồng ống PC 06.00x0.35</t>
  </si>
  <si>
    <t>DOC0600051</t>
  </si>
  <si>
    <t>Đồng ống PC 06.00x0.51</t>
  </si>
  <si>
    <t>DOC0600100</t>
  </si>
  <si>
    <t>Đồng ống PC 06.00x1.00</t>
  </si>
  <si>
    <t>DOC0635063</t>
  </si>
  <si>
    <t>Đồng ống PC 06.35x0.63</t>
  </si>
  <si>
    <t>DOC0635089</t>
  </si>
  <si>
    <t>Đồng ống PC 06.35x0.89</t>
  </si>
  <si>
    <t>DOC0635091</t>
  </si>
  <si>
    <t>Đồng ống PC 06.35x0.91</t>
  </si>
  <si>
    <t>DOC0635040</t>
  </si>
  <si>
    <t>Đồng ống PC 06.35x0.40</t>
  </si>
  <si>
    <t>DOC0635048</t>
  </si>
  <si>
    <t>Đồng ống PC 06.35x0.48</t>
  </si>
  <si>
    <t>DOC0635050</t>
  </si>
  <si>
    <t>Đồng ống PC 06.35x0.50</t>
  </si>
  <si>
    <t>Đồng ống PC 06.35x0.51</t>
  </si>
  <si>
    <t>DOC0635055</t>
  </si>
  <si>
    <t>Đồng ống PC 06.35x0.55</t>
  </si>
  <si>
    <t>DOC0635056</t>
  </si>
  <si>
    <t>Đồng ống PC 06.35x0.56</t>
  </si>
  <si>
    <t>DOC0635060</t>
  </si>
  <si>
    <t>Đồng ống PC 06.35x0.60</t>
  </si>
  <si>
    <t>ĐTPCUONDD</t>
  </si>
  <si>
    <t>DOC0635061</t>
  </si>
  <si>
    <t>Đồng ống PC 06.35x0.61</t>
  </si>
  <si>
    <t>DOC063506150</t>
  </si>
  <si>
    <t>Đồng ống PC 06.35x0.61x50</t>
  </si>
  <si>
    <t>DOC0635065</t>
  </si>
  <si>
    <t>Đồng ống PC 06.35x0.65</t>
  </si>
  <si>
    <t>DOC0635065(KI)</t>
  </si>
  <si>
    <t>Đồng ống PC 06.35x0.65 không in</t>
  </si>
  <si>
    <t>Đồng ống PC 06.35x0.66</t>
  </si>
  <si>
    <t>DOC0635070</t>
  </si>
  <si>
    <t>Đồng ống PC 06.35x0.70</t>
  </si>
  <si>
    <t>DOC063507030</t>
  </si>
  <si>
    <t>Đồng ống PC 06.35x0.70x30m</t>
  </si>
  <si>
    <t>DOC0635071</t>
  </si>
  <si>
    <t>Đồng ống PC 06.35x0.71</t>
  </si>
  <si>
    <t>DOC063507150</t>
  </si>
  <si>
    <t>Đồng ống PC 06.35x0.71x50</t>
  </si>
  <si>
    <t>DOC0635076</t>
  </si>
  <si>
    <t>Đồng ống PC 06.35x0.76</t>
  </si>
  <si>
    <t>DOC0635080</t>
  </si>
  <si>
    <t>Đồng ống PC 06.35x0.80</t>
  </si>
  <si>
    <t>DOC063508030</t>
  </si>
  <si>
    <t>Đồng ống cuộn 6.35x0.80x30</t>
  </si>
  <si>
    <t>ĐTPCUONCT</t>
  </si>
  <si>
    <t>DOC0635081</t>
  </si>
  <si>
    <t>Đồng ống PC 06.35x0.81</t>
  </si>
  <si>
    <t>DOC063508145</t>
  </si>
  <si>
    <t>Đồng ống cuộn 6.35x0.81x45</t>
  </si>
  <si>
    <t>DOC063508150</t>
  </si>
  <si>
    <t>Đồng ống PC 06.35x0.81x50</t>
  </si>
  <si>
    <t>DOC0635090</t>
  </si>
  <si>
    <t>Đồng ống PC 06.35x0.90</t>
  </si>
  <si>
    <t>DOC0635095</t>
  </si>
  <si>
    <t>Đồng ống PC 06.35x0.95</t>
  </si>
  <si>
    <t>DOC0635097</t>
  </si>
  <si>
    <t>Đồng ống PC 06.35x0.97</t>
  </si>
  <si>
    <t>DOC0635100</t>
  </si>
  <si>
    <t>Đồng ống PC 06.35x1.00</t>
  </si>
  <si>
    <t>DOC0794051</t>
  </si>
  <si>
    <t>Đồng ống PC 07.94x0.51</t>
  </si>
  <si>
    <t>DOC0794055</t>
  </si>
  <si>
    <t>Đồng ống PC 07.94x0.55</t>
  </si>
  <si>
    <t>DOC0794060</t>
  </si>
  <si>
    <t>Đồng ống PC 07.94x0.60</t>
  </si>
  <si>
    <t>DOC0794061</t>
  </si>
  <si>
    <t>Đồng ống PC 07.94x0.61</t>
  </si>
  <si>
    <t>DOC0794065</t>
  </si>
  <si>
    <t>Đồng ống PC 07.94x0.65</t>
  </si>
  <si>
    <t>DOC0794070</t>
  </si>
  <si>
    <t>Đồng ống PC 07.94x0.70</t>
  </si>
  <si>
    <t>DOC0794071</t>
  </si>
  <si>
    <t>Đồng ống PC 07.94x0.71</t>
  </si>
  <si>
    <t>DOC0794080</t>
  </si>
  <si>
    <t>Đồng ống PC 07.94x0.80</t>
  </si>
  <si>
    <t>DOC0794095</t>
  </si>
  <si>
    <t>Đồng ống PC 07.94x0.95</t>
  </si>
  <si>
    <t>DOC0794100</t>
  </si>
  <si>
    <t>Đồng ống PC 07.94x1.00</t>
  </si>
  <si>
    <t>DOC07940120</t>
  </si>
  <si>
    <t>Đồng ống PC 07.94x120</t>
  </si>
  <si>
    <t>DOC0794120</t>
  </si>
  <si>
    <t>Đồng ống PC 07.94x1.20</t>
  </si>
  <si>
    <t>DOC0800081</t>
  </si>
  <si>
    <t>Đồng ống PC 08.00x0.81</t>
  </si>
  <si>
    <t>DOC0800100</t>
  </si>
  <si>
    <t>Đồng ống PC 08.00x1.00</t>
  </si>
  <si>
    <t>DOC0900090</t>
  </si>
  <si>
    <t>Đồng ống PC 09.00x0.90</t>
  </si>
  <si>
    <t>DOC0952089</t>
  </si>
  <si>
    <t>Đồng ống PC 09.52x0.89</t>
  </si>
  <si>
    <t>DOC0952050</t>
  </si>
  <si>
    <t>Đồng ống PC 09.52x0.50</t>
  </si>
  <si>
    <t>DOC0952051</t>
  </si>
  <si>
    <t>Đồng ống PC 09.52x0.51</t>
  </si>
  <si>
    <t>Đồng ống PC 09.52x0.55</t>
  </si>
  <si>
    <t>DOC0952058</t>
  </si>
  <si>
    <t>Đồng ống PC 09.52x0.58</t>
  </si>
  <si>
    <t>DOC0952060</t>
  </si>
  <si>
    <t>Đồng ống PC 09.52x0.60</t>
  </si>
  <si>
    <t>DOC0952061</t>
  </si>
  <si>
    <t>Đồng ống PC 09.52x0.61</t>
  </si>
  <si>
    <t>DOC0952061(KI)</t>
  </si>
  <si>
    <t>Đồng ống PC 09.52x0.61 không in</t>
  </si>
  <si>
    <t>DOC095206150</t>
  </si>
  <si>
    <t>Đồng ống PC 09.52x0.61x50</t>
  </si>
  <si>
    <t>DOC0952065</t>
  </si>
  <si>
    <t>Đồng ống PC 09.52x0.65</t>
  </si>
  <si>
    <t>DOC0952065(KI)</t>
  </si>
  <si>
    <t>Đồng ống PC 09.52x0.65 không in</t>
  </si>
  <si>
    <t>DOC0952066</t>
  </si>
  <si>
    <t>Đồng ống PC 09.52x0.66</t>
  </si>
  <si>
    <t>DOC0952070</t>
  </si>
  <si>
    <t>Đồng ống PC 09.52x0.70</t>
  </si>
  <si>
    <t>DOC0952071</t>
  </si>
  <si>
    <t>Đồng ống PC 09.52x0.71</t>
  </si>
  <si>
    <t>DOC0952071(KI)</t>
  </si>
  <si>
    <t>Đồng ống PC 09.52x0.71 không in</t>
  </si>
  <si>
    <t>DOC095207150</t>
  </si>
  <si>
    <t>Đồng ống PC 09.52x0.71x50</t>
  </si>
  <si>
    <t>DOC0952075</t>
  </si>
  <si>
    <t>Đồng ống PC 09.52x0.75</t>
  </si>
  <si>
    <t>DOC0952080</t>
  </si>
  <si>
    <t>Đồng ống PC 09.52x0.80</t>
  </si>
  <si>
    <t>DOC095208030</t>
  </si>
  <si>
    <t>Đồng ống PC 09.52x0.80x30</t>
  </si>
  <si>
    <t>DOC0952081</t>
  </si>
  <si>
    <t>Đồng ống PC 09.52x0.81</t>
  </si>
  <si>
    <t>DOC095208145</t>
  </si>
  <si>
    <t>Đồng ống PC 09.52x0.81x45</t>
  </si>
  <si>
    <t>DOC095208150</t>
  </si>
  <si>
    <t>Đồng ống PC 09.52x0.81x50</t>
  </si>
  <si>
    <t>DOC0952090</t>
  </si>
  <si>
    <t>Đồng ống PC 09.52x0.90</t>
  </si>
  <si>
    <t>DOC0952095</t>
  </si>
  <si>
    <t>Đồng ống PC 9.52x0.95</t>
  </si>
  <si>
    <t>DOC0952100</t>
  </si>
  <si>
    <t>Đồng ống PC 09.52x1.00</t>
  </si>
  <si>
    <t>DOC0952150</t>
  </si>
  <si>
    <t>Đồng ống PC 09.52x1.50</t>
  </si>
  <si>
    <t>DOC1000100</t>
  </si>
  <si>
    <t>Đồng ống PC 10.00x1.00</t>
  </si>
  <si>
    <t>DOC1000150</t>
  </si>
  <si>
    <t>Đồng ống PC 10.00x1.50</t>
  </si>
  <si>
    <t>DOC1200060</t>
  </si>
  <si>
    <t>Đồng ống PC 12.00x0.60</t>
  </si>
  <si>
    <t>DOC1200070</t>
  </si>
  <si>
    <t>Đồng ống PC 12.00x0.70</t>
  </si>
  <si>
    <t>DOC1200080</t>
  </si>
  <si>
    <t>Đồng ống PC 12.00x0.80</t>
  </si>
  <si>
    <t>DOC1200095</t>
  </si>
  <si>
    <t>Đồng ống PC 12.00x0.95</t>
  </si>
  <si>
    <t>DOC1200100</t>
  </si>
  <si>
    <t>Đồng ống PC 12.00x1.00</t>
  </si>
  <si>
    <t>DOC1200120</t>
  </si>
  <si>
    <t>Đồng ống PC 12.00x1.20</t>
  </si>
  <si>
    <t>DOC1200200</t>
  </si>
  <si>
    <t>Đồng ống cuộn 12.00x2.00x15m</t>
  </si>
  <si>
    <t>DOC1270050</t>
  </si>
  <si>
    <t>Đồng ống PC 12.70x0.50</t>
  </si>
  <si>
    <t>DOC1270055</t>
  </si>
  <si>
    <t>Đồng ống PC 12.70x0.55</t>
  </si>
  <si>
    <t>DOC1270058</t>
  </si>
  <si>
    <t>Đồng ống PC 12.70x0.58</t>
  </si>
  <si>
    <t>DOC1270060</t>
  </si>
  <si>
    <t>Đồng ống PC 12.70x0.60</t>
  </si>
  <si>
    <t>DOC1270061</t>
  </si>
  <si>
    <t>Đồng ống PC 12.70x0.61</t>
  </si>
  <si>
    <t>DOC1270065</t>
  </si>
  <si>
    <t>Đồng ống PC 12.70x0.65</t>
  </si>
  <si>
    <t>DOC1270066</t>
  </si>
  <si>
    <t>Đồng ống PC 12.70x0.66</t>
  </si>
  <si>
    <t>DOC1270070</t>
  </si>
  <si>
    <t>Đồng ống PC 12.70x0.70</t>
  </si>
  <si>
    <t>DOC1270071</t>
  </si>
  <si>
    <t>Đồng ống PC 12.70x0.71</t>
  </si>
  <si>
    <t>DOC1270071(KI)</t>
  </si>
  <si>
    <t>Đồng ống PC 12.70x0.71 không in</t>
  </si>
  <si>
    <t>DOC127007150</t>
  </si>
  <si>
    <t>Đồng ống PC 12.70x0.71x50</t>
  </si>
  <si>
    <t>DOC1270075</t>
  </si>
  <si>
    <t>Đồng ống PC 12.70x0.75</t>
  </si>
  <si>
    <t>DOC1270080</t>
  </si>
  <si>
    <t>Đồng ống PC 12.70x0.80</t>
  </si>
  <si>
    <t>DOC1270081</t>
  </si>
  <si>
    <t>Đồng ống PC 12.70x0.81</t>
  </si>
  <si>
    <t>DOC127008150</t>
  </si>
  <si>
    <t>Đồng ống PC 12.70x0.81x50</t>
  </si>
  <si>
    <t>DOC12708030</t>
  </si>
  <si>
    <t>Đồng ống PC 12.7x0.80x30</t>
  </si>
  <si>
    <t>DOC12708145</t>
  </si>
  <si>
    <t>Đồng ống PC 12.7x0.81x45</t>
  </si>
  <si>
    <t>DOC12708150</t>
  </si>
  <si>
    <t>Đồng ống PC 12.70x0.81x50m</t>
  </si>
  <si>
    <t>DOC1270089</t>
  </si>
  <si>
    <t>Đồng ống cuộn 12.70x0.89</t>
  </si>
  <si>
    <t>DOC1270090</t>
  </si>
  <si>
    <t>Đồng ống PC 12.70x0.90</t>
  </si>
  <si>
    <t>DOC1270091</t>
  </si>
  <si>
    <t>Đồng ống PC 12.70x0.91</t>
  </si>
  <si>
    <t>DOC127009150</t>
  </si>
  <si>
    <t>Đồng ống PC 12.70x0.91x50</t>
  </si>
  <si>
    <t>DOC1270095</t>
  </si>
  <si>
    <t>Đồng ống PC 12.70x0.95</t>
  </si>
  <si>
    <t>DOC1270100</t>
  </si>
  <si>
    <t>Đồng ống PC 12.70x1.00</t>
  </si>
  <si>
    <t>DOC1270107</t>
  </si>
  <si>
    <t>Đồng ống PC 12.70x1.07</t>
  </si>
  <si>
    <t>DOC1400080</t>
  </si>
  <si>
    <t>Đồng ống PC 14.00x0.80</t>
  </si>
  <si>
    <t>DOC1400095</t>
  </si>
  <si>
    <t>Đồng ống PC 14.000x0.95</t>
  </si>
  <si>
    <t>DOC140010015</t>
  </si>
  <si>
    <t>Đồng ống PC 14.00x1.00</t>
  </si>
  <si>
    <t>DOC1588050</t>
  </si>
  <si>
    <t>Đồng ống PC 15.88x0.50</t>
  </si>
  <si>
    <t>DOC1588055</t>
  </si>
  <si>
    <t>Đồng ống PC 15.88x0.55</t>
  </si>
  <si>
    <t>DOC1588060</t>
  </si>
  <si>
    <t>Đồng ống PC 15.88x0.60</t>
  </si>
  <si>
    <t>DOC1588061</t>
  </si>
  <si>
    <t>Đồng ống PC 15.88x0.61</t>
  </si>
  <si>
    <t>DOC1588065</t>
  </si>
  <si>
    <t>Đồng ống PC 15.88x0.65</t>
  </si>
  <si>
    <t>DOC1588070</t>
  </si>
  <si>
    <t>Đồng ống PC 15.88x0.70</t>
  </si>
  <si>
    <t>DOC1588071</t>
  </si>
  <si>
    <t>Đồng ống PC 15.88x0.71</t>
  </si>
  <si>
    <t>DOC158807150</t>
  </si>
  <si>
    <t>Đồng ống PC 15.88x0.71x50</t>
  </si>
  <si>
    <t>DOC1588072</t>
  </si>
  <si>
    <t>Đồng ống PC 15.88x0.72</t>
  </si>
  <si>
    <t>DOC1588075</t>
  </si>
  <si>
    <t>Đồng ống PC 15.88x0.75</t>
  </si>
  <si>
    <t>DOC1588080</t>
  </si>
  <si>
    <t>Đồng ống PC 15.88x0.80</t>
  </si>
  <si>
    <t>DOC158808030</t>
  </si>
  <si>
    <t>Đồng ống PC 15.88x0.80x30</t>
  </si>
  <si>
    <t>DOC1588081</t>
  </si>
  <si>
    <t>Đồng ống PC 15.88x0.81</t>
  </si>
  <si>
    <t>DOC158808150</t>
  </si>
  <si>
    <t>Đồng ống PC 15.88x0.81x50</t>
  </si>
  <si>
    <t>DOC1588085</t>
  </si>
  <si>
    <t>Đồng ống PC15.88x0.85</t>
  </si>
  <si>
    <t>DOC1588089</t>
  </si>
  <si>
    <t>Đồng ống PC 15.88x0.89</t>
  </si>
  <si>
    <t>DOC158809</t>
  </si>
  <si>
    <t>Đồng ống PC15.88x0.90</t>
  </si>
  <si>
    <t>DOC1588091</t>
  </si>
  <si>
    <t>Đồng ống PC 15.88x0.91</t>
  </si>
  <si>
    <t>DOC158809150</t>
  </si>
  <si>
    <t>Đồng ống PC 15.88x0.91x50</t>
  </si>
  <si>
    <t>DOC1588095</t>
  </si>
  <si>
    <t>Đồng ống PC 15.88x0.95</t>
  </si>
  <si>
    <t>DOC1588100</t>
  </si>
  <si>
    <t>Đồng ống PC 15.88x1.00</t>
  </si>
  <si>
    <t>DOC158810030</t>
  </si>
  <si>
    <t>Đồng ống cuộn 15.88x1.00x30m</t>
  </si>
  <si>
    <t>DOC158810045</t>
  </si>
  <si>
    <t>Đồng ống PC 15.88x1.00x45</t>
  </si>
  <si>
    <t>DOC158810050</t>
  </si>
  <si>
    <t>Đồng ống cuộn 15.88x1.00x50</t>
  </si>
  <si>
    <t>DOC1588102</t>
  </si>
  <si>
    <t>Đồng ống PC 15.88x1.02</t>
  </si>
  <si>
    <t>DOC158810250</t>
  </si>
  <si>
    <t>Đồng ống PC 15.88x1.02x50</t>
  </si>
  <si>
    <t>DOC1588107</t>
  </si>
  <si>
    <t>Đồng ống PC 15.88x1.07</t>
  </si>
  <si>
    <t>DOC1588110</t>
  </si>
  <si>
    <t>Đồng ống PC 15.88x1.10</t>
  </si>
  <si>
    <t>DOC1588120</t>
  </si>
  <si>
    <t>Đồng ống PC 15.88x1.20</t>
  </si>
  <si>
    <t>DOC190510750</t>
  </si>
  <si>
    <t>Đồng ống cuộn 19.05x1.07x50</t>
  </si>
  <si>
    <t>DOC1905107</t>
  </si>
  <si>
    <t>Đồng ống cuộn 19.05x1.07</t>
  </si>
  <si>
    <t>DOC1905060</t>
  </si>
  <si>
    <t>Đồng ống PC 19.05x0.60</t>
  </si>
  <si>
    <t>DOC1905061</t>
  </si>
  <si>
    <t>Đồng ống PC 19.05x0.61</t>
  </si>
  <si>
    <t>DOC1905065</t>
  </si>
  <si>
    <t>Đồng ống PC 19.05x0.65</t>
  </si>
  <si>
    <t>DOC1905070</t>
  </si>
  <si>
    <t>Đồng ống PC 19.05x0.70</t>
  </si>
  <si>
    <t>DOC1905071</t>
  </si>
  <si>
    <t>Đồng ống PC 19.05x0.71</t>
  </si>
  <si>
    <t>DOC190507150</t>
  </si>
  <si>
    <t>Đồng ống PC 19.05x0.71x50</t>
  </si>
  <si>
    <t>DOC1905075</t>
  </si>
  <si>
    <t>Đồng ống PC 19.05x0.75</t>
  </si>
  <si>
    <t>DOC1905080</t>
  </si>
  <si>
    <t>Đồng ống PC 19.05x0.80</t>
  </si>
  <si>
    <t>DOC1905081</t>
  </si>
  <si>
    <t>Đồng ống PC 19.05x0.81</t>
  </si>
  <si>
    <t>DOC190508150</t>
  </si>
  <si>
    <t>Đồng ống PC 19.05x0.81x50</t>
  </si>
  <si>
    <t>DOC1905085</t>
  </si>
  <si>
    <t>Đồng ống PC 19.05x0.85</t>
  </si>
  <si>
    <t>DOC1905089</t>
  </si>
  <si>
    <t>Đồng ống cuộn 19.05x0.89</t>
  </si>
  <si>
    <t>DOC1905090</t>
  </si>
  <si>
    <t>Đồng ống PC 19.05x0.90</t>
  </si>
  <si>
    <t>DOC1905091</t>
  </si>
  <si>
    <t>Đồng ống PC 19.05x0.91</t>
  </si>
  <si>
    <t>DOC1905095</t>
  </si>
  <si>
    <t>Đồng ống PC 19.05x0.95</t>
  </si>
  <si>
    <t>DOC1905100</t>
  </si>
  <si>
    <t>Đồng ống PC 19.05x1.00</t>
  </si>
  <si>
    <t>DOC190510050</t>
  </si>
  <si>
    <t>Đồng ống PC 19.05x1.00x50</t>
  </si>
  <si>
    <t>DOC1905110</t>
  </si>
  <si>
    <t>Đồng ống PC 19.05x1.10</t>
  </si>
  <si>
    <t>DOC1905114</t>
  </si>
  <si>
    <t>Đồng ống cuộn 19.05x1.14</t>
  </si>
  <si>
    <t>DOC1905115</t>
  </si>
  <si>
    <t>Đồng ống PC 19.05x1.15</t>
  </si>
  <si>
    <t>DOC1905120</t>
  </si>
  <si>
    <t>Đồng ống PC 19.05x1.20</t>
  </si>
  <si>
    <t>DOC190512050</t>
  </si>
  <si>
    <t>Đồng ống PC 19.05x1.20x50</t>
  </si>
  <si>
    <t>DOC2222080</t>
  </si>
  <si>
    <t>Đồng ống PC 22.22x0.80</t>
  </si>
  <si>
    <t>DOC2222120</t>
  </si>
  <si>
    <t>Đồng ống PC 22.22x1.2</t>
  </si>
  <si>
    <t>DOC250010</t>
  </si>
  <si>
    <t>Đồng ống cuộn 25.00x1.0</t>
  </si>
  <si>
    <t>DOC2500150</t>
  </si>
  <si>
    <t>Đồng ống cuộn 25.00x1.50</t>
  </si>
  <si>
    <t>DOC254080</t>
  </si>
  <si>
    <t>Đồng ống PC 25.4x0.80</t>
  </si>
  <si>
    <t>DOC254081</t>
  </si>
  <si>
    <t>Đồng ống PC 25.4x0.81</t>
  </si>
  <si>
    <t>DOC254100</t>
  </si>
  <si>
    <t>Đồng ống PC 25.4x1.00</t>
  </si>
  <si>
    <t>DOC2600100</t>
  </si>
  <si>
    <t>Đồng ống PC 26.00x1.00</t>
  </si>
  <si>
    <t>DOC2700091</t>
  </si>
  <si>
    <t>Đồng ống PC 27.00x0.91</t>
  </si>
  <si>
    <t>DOC2700100</t>
  </si>
  <si>
    <t>Đồng ống PC 27.00x1.00</t>
  </si>
  <si>
    <t>DOC2800150</t>
  </si>
  <si>
    <t>Đồng ống PC 28.00x1.50</t>
  </si>
  <si>
    <t>DOC2858080</t>
  </si>
  <si>
    <t>Đồng ống PC 28.58x0.80</t>
  </si>
  <si>
    <t>DOC2858081</t>
  </si>
  <si>
    <t>Đồng ống PC 28.58x0.81</t>
  </si>
  <si>
    <t>ĐTPCAYDI</t>
  </si>
  <si>
    <t>DOT047004030</t>
  </si>
  <si>
    <t>Đồng ống thẳng 04.70x0.40x3.0</t>
  </si>
  <si>
    <t>DOT047004530</t>
  </si>
  <si>
    <t>Đồng ống thẳng 04.70x0.45x3.0</t>
  </si>
  <si>
    <t>DOT04700530</t>
  </si>
  <si>
    <t>Đồng ống thẳng 04.70x0.5x3.0</t>
  </si>
  <si>
    <t>DOT047605030</t>
  </si>
  <si>
    <t>Đồng ống thẳng 4.76x0.50x3.0</t>
  </si>
  <si>
    <t>DOT050005130</t>
  </si>
  <si>
    <t>Đồng ống thẳng 05.00x0.51x3.0</t>
  </si>
  <si>
    <t>DOT050005530</t>
  </si>
  <si>
    <t>Đồng ống thẳng 05.00x0.55x3.0</t>
  </si>
  <si>
    <t>DOT050009130</t>
  </si>
  <si>
    <t>Đồng ống thẳng 05.00x0.91x3.0</t>
  </si>
  <si>
    <t>DOT055004030</t>
  </si>
  <si>
    <t>Đồng ống thẳng 05.50x0.40x3.0</t>
  </si>
  <si>
    <t>DOT055004530</t>
  </si>
  <si>
    <t>Đồng ống thẳng 05.50x0.45x3.0</t>
  </si>
  <si>
    <t>DOT055005115</t>
  </si>
  <si>
    <t>Đồng ống thẳng 05.50x0.51x1.5</t>
  </si>
  <si>
    <t>DOT055005130</t>
  </si>
  <si>
    <t>Đồng ống thẳng 05.50x0.51x3.0</t>
  </si>
  <si>
    <t>DOT055005515</t>
  </si>
  <si>
    <t>Đồng ống thẳng 05.50x0.55x1.5</t>
  </si>
  <si>
    <t>DOT055005529</t>
  </si>
  <si>
    <t>Đồng ống thẳng 05.50x0.55x2.9</t>
  </si>
  <si>
    <t>DOT055005530</t>
  </si>
  <si>
    <t>Đồng ống thẳng 05.50x0.55x3.0</t>
  </si>
  <si>
    <t>DOT055006130</t>
  </si>
  <si>
    <t>Đồng ống thẳng 05.50x0.61x3.0</t>
  </si>
  <si>
    <t>DOT055006330</t>
  </si>
  <si>
    <t>Đồng ống thẳng 05.50x0.63x3.0</t>
  </si>
  <si>
    <t>DOT055006530</t>
  </si>
  <si>
    <t>Đồng ống thẳng 05.50x0.65x3.0</t>
  </si>
  <si>
    <t>DOT055007530</t>
  </si>
  <si>
    <t>Đồng ống thẳng 05.50x0.75x3.0</t>
  </si>
  <si>
    <t>DOT055008130</t>
  </si>
  <si>
    <t>Đồng ống thẳng 05.50x0.81x3.0</t>
  </si>
  <si>
    <t>DOT056006130</t>
  </si>
  <si>
    <t>Đồng ống thẳng 05.60x0.61x3.0</t>
  </si>
  <si>
    <t>DOT060004022</t>
  </si>
  <si>
    <t>Đồng ống thẳng 06.00x0.40x2.2</t>
  </si>
  <si>
    <t>DOT060009130</t>
  </si>
  <si>
    <t>Đồng ống thẳng 06.00x0.91x3.0</t>
  </si>
  <si>
    <t>DOT060010030</t>
  </si>
  <si>
    <t>Đồng ống thẳng 06.00x1.00x3.0</t>
  </si>
  <si>
    <t>DOT063505130</t>
  </si>
  <si>
    <t>Đồng ống thẳng 06.35x0.51x3.0</t>
  </si>
  <si>
    <t>DOT063505615</t>
  </si>
  <si>
    <t>Đồng ống thẳng 06.35x0.56x1.5</t>
  </si>
  <si>
    <t>DOT063505630</t>
  </si>
  <si>
    <t>Đồng ống thẳng 06.35x0.56x3.0</t>
  </si>
  <si>
    <t>DOT063506130</t>
  </si>
  <si>
    <t>Đồng ống thẳng 06.35x0.61x3.0</t>
  </si>
  <si>
    <t>DOT063507003</t>
  </si>
  <si>
    <t>Đồng ống thẳng 06.35x0.70x3.0</t>
  </si>
  <si>
    <t>DOT064005030</t>
  </si>
  <si>
    <t>Đồng ống thẳng 06.40x0.50x3.0</t>
  </si>
  <si>
    <t>DOT064005530</t>
  </si>
  <si>
    <t>Đồng ống thẳng 06.40x0.55x3.0</t>
  </si>
  <si>
    <t>DOT064005630</t>
  </si>
  <si>
    <t>Đồng ống thẳng 06.40x0.56x3.0</t>
  </si>
  <si>
    <t>DOT064006030</t>
  </si>
  <si>
    <t>Đồng ống thẳng 06.40x0.60x3.0</t>
  </si>
  <si>
    <t>DOT064006530</t>
  </si>
  <si>
    <t>Đồng ống thẳng 06.40x0.65x3.0</t>
  </si>
  <si>
    <t>DOT065005130</t>
  </si>
  <si>
    <t>Đồng ống thẳng 06.50x0.51x3.0</t>
  </si>
  <si>
    <t>DOT065005515</t>
  </si>
  <si>
    <t>Đồng ống thẳng 06.50x0.55x1.5</t>
  </si>
  <si>
    <t>DOT065005530</t>
  </si>
  <si>
    <t>Đồng ống thẳng 06.50x0.55x3.0</t>
  </si>
  <si>
    <t>DOT065006029</t>
  </si>
  <si>
    <t>Đồng ống thẳng 06.50x0.60x2.9</t>
  </si>
  <si>
    <t>DOT065006030</t>
  </si>
  <si>
    <t>Đồng ống thẳng 06.50x0.60x3.0</t>
  </si>
  <si>
    <t>DOT065006130</t>
  </si>
  <si>
    <t>Đồng ống thẳng 06.50x0.61x3.0</t>
  </si>
  <si>
    <t>DOT065006515</t>
  </si>
  <si>
    <t>Đồng ống thẳng 06.50x0.65x1.5</t>
  </si>
  <si>
    <t>DOT065006530</t>
  </si>
  <si>
    <t>Đồng ống thẳng 06.50x0.65x3.0</t>
  </si>
  <si>
    <t>DOT065007030</t>
  </si>
  <si>
    <t>Đồng ống thẳng 06.50x0.70x3.0</t>
  </si>
  <si>
    <t>DOT067008530</t>
  </si>
  <si>
    <t>Đồng ống thẳng 06.70x0.85x3.0</t>
  </si>
  <si>
    <t>DOT70005830</t>
  </si>
  <si>
    <t>Đồng ống thẳng 07.00x0.58x3.0</t>
  </si>
  <si>
    <t>DOT070006130</t>
  </si>
  <si>
    <t>Đồng ống thẳng 07.00x0.61x3.0</t>
  </si>
  <si>
    <t>DOT70006520</t>
  </si>
  <si>
    <t>Đồng ống thẳng 7.00x0.65x2.0</t>
  </si>
  <si>
    <t>DOT70006530</t>
  </si>
  <si>
    <t>Đồng ống thẳng 7.00x0.65x3.0</t>
  </si>
  <si>
    <t>DOT070007503</t>
  </si>
  <si>
    <t>Đồng ống thẳng 0.70x0.75x3.0</t>
  </si>
  <si>
    <t>DOT070008130</t>
  </si>
  <si>
    <t>Đồng ống thẳng 07.00x0.81x3.0</t>
  </si>
  <si>
    <t>DOT075008530</t>
  </si>
  <si>
    <t>Đồng ống thẳng 07.05x0.85x3.0</t>
  </si>
  <si>
    <t>DOT072005830</t>
  </si>
  <si>
    <t>Đồng ống thẳng 07.20x0.58x3.0</t>
  </si>
  <si>
    <t>DOT072006030</t>
  </si>
  <si>
    <t>Đồng ống thẳng 07.20x0.60x3.0</t>
  </si>
  <si>
    <t>DOT072006130</t>
  </si>
  <si>
    <t>Đồng ống thẳng 07.20x0.61x3.0</t>
  </si>
  <si>
    <t>DOT073006130</t>
  </si>
  <si>
    <t>Đồng ống thẳng 07.30x0.61x3.0</t>
  </si>
  <si>
    <t>DOT073006330</t>
  </si>
  <si>
    <t>Đồng ống thẳng 07.30x0.63x3.0</t>
  </si>
  <si>
    <t>DOT074006630</t>
  </si>
  <si>
    <t>Đồng ống thẳng 07.40x0.66x3.0</t>
  </si>
  <si>
    <t>DOT075006030</t>
  </si>
  <si>
    <t>Đồng ống thẳng 07.50x0.60x3.0</t>
  </si>
  <si>
    <t>DOT07506030</t>
  </si>
  <si>
    <t>Đồng ống thẳng 7.5x0.60x3.0</t>
  </si>
  <si>
    <t>DOT075006115</t>
  </si>
  <si>
    <t>Đồng ống thẳng 07.50x0.61x1.5</t>
  </si>
  <si>
    <t>DOT07506330</t>
  </si>
  <si>
    <t>Đồng ống thẳng 7.5x0.63x3.0</t>
  </si>
  <si>
    <t>DOT0750065140</t>
  </si>
  <si>
    <t>Đồng ống thẳng 07.50x0.65x1.4</t>
  </si>
  <si>
    <t>DOT075006530</t>
  </si>
  <si>
    <t>Đồng ống thẳng 07.50x0.65x3.0</t>
  </si>
  <si>
    <t>DOT7506514</t>
  </si>
  <si>
    <t>Đồng ống thẳng 7.5x0.65x1.4m</t>
  </si>
  <si>
    <t>DOT7506515</t>
  </si>
  <si>
    <t>Đồng ống thẳng 7.5x0.65x1.5m</t>
  </si>
  <si>
    <t>DOT750653</t>
  </si>
  <si>
    <t>Đồng ống thẳng 7.5x0.65x3.0</t>
  </si>
  <si>
    <t>DOT075006630</t>
  </si>
  <si>
    <t>Đồng ống thẳng 07.50x0.66x3.0</t>
  </si>
  <si>
    <t>DOT075006830</t>
  </si>
  <si>
    <t>Đồng ống thẳng 07.50x0.68x3.0</t>
  </si>
  <si>
    <t>DOT075007030</t>
  </si>
  <si>
    <t>Đồng ống thẳng 07.50x0.70x3.0</t>
  </si>
  <si>
    <t>DOT07507130</t>
  </si>
  <si>
    <t>Đồng ống thẳng 07.50x0.71x3.0</t>
  </si>
  <si>
    <t>DOT075007530</t>
  </si>
  <si>
    <t>Đồng ống thẳng 07.50x0.75x3.0</t>
  </si>
  <si>
    <t>DOT075008030</t>
  </si>
  <si>
    <t>Đồng ống thẳng 07.50x0.80x3.0</t>
  </si>
  <si>
    <t>DOT075008130</t>
  </si>
  <si>
    <t>Đồng ống thẳng 07.50x0.81x3.0</t>
  </si>
  <si>
    <t>DOT075008529</t>
  </si>
  <si>
    <t>Đồng ống thẳng 07.50x0.85x2.9</t>
  </si>
  <si>
    <t>DOT075009030</t>
  </si>
  <si>
    <t>Đồng ống thẳng 07.50x0.90x3.0</t>
  </si>
  <si>
    <t>DOT076007530</t>
  </si>
  <si>
    <t>Đồng ống thẳng 7.60x0.75x3.0</t>
  </si>
  <si>
    <t>DOT8000401883</t>
  </si>
  <si>
    <t>Đồng ống thẳng 8.00x0.40x1.883</t>
  </si>
  <si>
    <t>DOT800040189</t>
  </si>
  <si>
    <t>Đồng ống thẳng 8.00x0.40x1.89</t>
  </si>
  <si>
    <t>DOT80006130</t>
  </si>
  <si>
    <t>Đồng ống thẳng 8.00x0.61x3.0</t>
  </si>
  <si>
    <t>DOT80007130</t>
  </si>
  <si>
    <t>Đồng ống thẳng 8.00x0.71x3.0</t>
  </si>
  <si>
    <t>DOT8000800745</t>
  </si>
  <si>
    <t>Đồng ống thẳng 8.00x0.80x0.745</t>
  </si>
  <si>
    <t>DOT800080075</t>
  </si>
  <si>
    <t>Đồng ống thẳng 8.00x0.80x0.75</t>
  </si>
  <si>
    <t>DOT80010030</t>
  </si>
  <si>
    <t>Đồng ống thẳng 8.00x1.00x3.0</t>
  </si>
  <si>
    <t>DOT80012030</t>
  </si>
  <si>
    <t>Đồng ống thẳng 8.00x1.20x3.0</t>
  </si>
  <si>
    <t>DOT085006630</t>
  </si>
  <si>
    <t>Đồng ống thẳng 08.50x0.66x3.0</t>
  </si>
  <si>
    <t>DOT085006830</t>
  </si>
  <si>
    <t>Đồng ống thẳng 08.50x0.68x3.0</t>
  </si>
  <si>
    <t>DOT085007130</t>
  </si>
  <si>
    <t>Đồng ống thẳng 8.5x0.71x3.0</t>
  </si>
  <si>
    <t>DOT08500733</t>
  </si>
  <si>
    <t>DOT085007530</t>
  </si>
  <si>
    <t>Đồng ống thẳng 8.5x0.75x3.0</t>
  </si>
  <si>
    <t>DOT085008030</t>
  </si>
  <si>
    <t>Đồng ống thẳng 08.50x0.80x3.0</t>
  </si>
  <si>
    <t>DOT085008530</t>
  </si>
  <si>
    <t>Đồng ống thẳng 08.50x0.85x3.0</t>
  </si>
  <si>
    <t>DOT08515030</t>
  </si>
  <si>
    <t>Đồng ống thẳng 8.50x1.50x3.0</t>
  </si>
  <si>
    <t>DOT086006530</t>
  </si>
  <si>
    <t>Đồng ống thẳng 08.60x0.65x3.0</t>
  </si>
  <si>
    <t>DOT086006630</t>
  </si>
  <si>
    <t>Đồng ống thẳng 08.60x0.66x3.0</t>
  </si>
  <si>
    <t>DOT086007130</t>
  </si>
  <si>
    <t>Đồng ống thẳng 08.60x0.71x3.0</t>
  </si>
  <si>
    <t>DOT088010030</t>
  </si>
  <si>
    <t>Đồng ống thẳng 08.80x1.00x3.0</t>
  </si>
  <si>
    <t>DOT089007630</t>
  </si>
  <si>
    <t>Đồng ống thẳng 08.90x0.76x3.0</t>
  </si>
  <si>
    <t>DOT089008030</t>
  </si>
  <si>
    <t>Đồng ống thẳng 08.90x0.80x3.0</t>
  </si>
  <si>
    <t>DOT090006130</t>
  </si>
  <si>
    <t>Đồng ống thẳng 09.00x0.61x3.0</t>
  </si>
  <si>
    <t>DOT090007030</t>
  </si>
  <si>
    <t>Đồng ống thẳng 09.00x0.70x3.0</t>
  </si>
  <si>
    <t>DOT090007130</t>
  </si>
  <si>
    <t>Đồng ống thẳng 09.00x0.71x3.0</t>
  </si>
  <si>
    <t>DOT090007530</t>
  </si>
  <si>
    <t>Đồng ống thẳng 09.00x0.75x3.0</t>
  </si>
  <si>
    <t>DOT090007830</t>
  </si>
  <si>
    <t>Đồng ống thẳng 09.00x0.78x3.0</t>
  </si>
  <si>
    <t>DOT090008030</t>
  </si>
  <si>
    <t>Đồng ống thẳng 09.00x0.80x3.0</t>
  </si>
  <si>
    <t>DOT09000914</t>
  </si>
  <si>
    <t>Đồng ống thẳng 09.00x0.90x1.4</t>
  </si>
  <si>
    <t>DOT09000915</t>
  </si>
  <si>
    <t>Đồng ống thẳng 09.00x0.90x1.5</t>
  </si>
  <si>
    <t>DOT0900093</t>
  </si>
  <si>
    <t>Đồng ống thẳng 09.00x0.90x3.0</t>
  </si>
  <si>
    <t>DOT090010030</t>
  </si>
  <si>
    <t>Đồng ống thẳng 09.00x1.00x3.0</t>
  </si>
  <si>
    <t>DOT090011030</t>
  </si>
  <si>
    <t>Đồng ống thẳng 09.00x1.10x3.0</t>
  </si>
  <si>
    <t>DOT090011530</t>
  </si>
  <si>
    <t>Đồng ống thẳng 09.00x1.15x3.0</t>
  </si>
  <si>
    <t>DOT090012530</t>
  </si>
  <si>
    <t>Đồng ống thẳng 09.00x1.25x3.0</t>
  </si>
  <si>
    <t>DOT095006630</t>
  </si>
  <si>
    <t>Đồng ống thẳng 09.50x0.66x3.0</t>
  </si>
  <si>
    <t>DOT095007630</t>
  </si>
  <si>
    <t>Đồng ống thẳng 09.50x0.76x3.0</t>
  </si>
  <si>
    <t>DOT0950078030</t>
  </si>
  <si>
    <t>Đồng ống thẳng 09.50x0.78x3.0</t>
  </si>
  <si>
    <t>DOT095008030</t>
  </si>
  <si>
    <t>Đồng ống thẳng 09.50x0.80x3.0</t>
  </si>
  <si>
    <t>DOT095008330</t>
  </si>
  <si>
    <t>Đồng ống thẳng 09.50x0.83x3.0</t>
  </si>
  <si>
    <t>DOT0952050114</t>
  </si>
  <si>
    <t>Đồng ống thẳng 09.52x0.50x1.14</t>
  </si>
  <si>
    <t>DOT09520511175</t>
  </si>
  <si>
    <t>Đồng ống thẳng 09.52x0.51x1.175</t>
  </si>
  <si>
    <t>DOT0952051122</t>
  </si>
  <si>
    <t>Đồng ống thẳng 09.52x0.51x1.22</t>
  </si>
  <si>
    <t>DOT0952051189</t>
  </si>
  <si>
    <t>Đồng ống thẳng 09.52x0.51x1.89</t>
  </si>
  <si>
    <t>DOT0952070</t>
  </si>
  <si>
    <t>Đồng ống thẳng 09.52x0.70x2.9</t>
  </si>
  <si>
    <t>DOT0952080</t>
  </si>
  <si>
    <t>Đồng ống thẳng 09.52x0.80</t>
  </si>
  <si>
    <t>DOT095208130</t>
  </si>
  <si>
    <t>Đồng ống thẳng 09.52x0.81x3.0</t>
  </si>
  <si>
    <t>DOT09520853</t>
  </si>
  <si>
    <t>Đồng ống thẳng 9.52x0.85x30</t>
  </si>
  <si>
    <t>DOT095210014</t>
  </si>
  <si>
    <t>Đồng ống thẳng 09.52x1.00x1.4</t>
  </si>
  <si>
    <t>DOT095210025</t>
  </si>
  <si>
    <t>Đồng ống thẳng 09.52x1.00x2.5</t>
  </si>
  <si>
    <t>DOT0952100285</t>
  </si>
  <si>
    <t>Đồng ống thẳng 09.52x1.00x2.85</t>
  </si>
  <si>
    <t>DOT096006530</t>
  </si>
  <si>
    <t>Đồng ống thẳng 09.60x0.65x3.0</t>
  </si>
  <si>
    <t>DOT096007130</t>
  </si>
  <si>
    <t>Đồng ống thẳng 09.60x0.71x3.0</t>
  </si>
  <si>
    <t>DOT096007230</t>
  </si>
  <si>
    <t>Đồng ống thẳng 09.60x0.72x3.0</t>
  </si>
  <si>
    <t>DOT096008130</t>
  </si>
  <si>
    <t>Đồng ống thẳng 09.60x0.81x3.0</t>
  </si>
  <si>
    <t>DOT10000501882</t>
  </si>
  <si>
    <t>Đồng ống thẳng 10.00x0.50x1.882</t>
  </si>
  <si>
    <t>DOT1000050189</t>
  </si>
  <si>
    <t>Đồng ống thẳng 10.00x0.50x1.89</t>
  </si>
  <si>
    <t>DOT10000501893</t>
  </si>
  <si>
    <t>Đồng ống thẳng 10x0.50x1.893</t>
  </si>
  <si>
    <t>DOT1000060597</t>
  </si>
  <si>
    <t>Đồng ống thẳng 10.00x0.60x5.97</t>
  </si>
  <si>
    <t>DOT100006130</t>
  </si>
  <si>
    <t>DOT100008003</t>
  </si>
  <si>
    <t>Đồng ống thẳng 10.00x0.80x03.00</t>
  </si>
  <si>
    <t>DOT100008019</t>
  </si>
  <si>
    <t>Đồng ống thẳng 10.00x0.80x1.9</t>
  </si>
  <si>
    <t>DOT1000080211</t>
  </si>
  <si>
    <t>Đồng ống thẳng 10.00x0.80x2.11</t>
  </si>
  <si>
    <t>DOT100008130</t>
  </si>
  <si>
    <t>Đồng ống thẳng 10.00x0.81x3.0</t>
  </si>
  <si>
    <t>DOT100008530</t>
  </si>
  <si>
    <t>Đồng ống thẳng 10.00x0.85x3.0</t>
  </si>
  <si>
    <t>DOT100009030</t>
  </si>
  <si>
    <t>Đồng ống thẳng 10.00x0.90x3.0</t>
  </si>
  <si>
    <t>DOT10001</t>
  </si>
  <si>
    <t>Đồng ống thẳng 10.00x1</t>
  </si>
  <si>
    <t>DOT100010012</t>
  </si>
  <si>
    <t>Đồng ống thẳng 10.00x1.00x1.2</t>
  </si>
  <si>
    <t>DOT100010014</t>
  </si>
  <si>
    <t>Đồng ống thẳng 10.00x1.00x1.4</t>
  </si>
  <si>
    <t>DOT100010015</t>
  </si>
  <si>
    <t>Đồng ống thẳng 10.00x1.00x1.5</t>
  </si>
  <si>
    <t>DOT10001003</t>
  </si>
  <si>
    <t>Đồng ống thẳng 10.00x1.00x3.0</t>
  </si>
  <si>
    <t>DOT1000100495</t>
  </si>
  <si>
    <t>Đồng ống thẳng 10.00x1.00x4.95</t>
  </si>
  <si>
    <t>DOT1000100496</t>
  </si>
  <si>
    <t>Đồng ống thẳng 10.00x1.00x4.68</t>
  </si>
  <si>
    <t>DOT10001103</t>
  </si>
  <si>
    <t>Đồng ống thẳng 10.00x1.1x30</t>
  </si>
  <si>
    <t>DOT10001253</t>
  </si>
  <si>
    <t>Đồng ống thẳng 10.00x1.25x3.0</t>
  </si>
  <si>
    <t>DOT10001530</t>
  </si>
  <si>
    <t>Đồng ống thẳng 10.00x1.5x3.0</t>
  </si>
  <si>
    <t>DOT105011030</t>
  </si>
  <si>
    <t>Đồng ống thẳng 10.50x1.1x3.0</t>
  </si>
  <si>
    <t>DOT105011530</t>
  </si>
  <si>
    <t>Đồng ống thẳng 10.50x1.15x3.0</t>
  </si>
  <si>
    <t>DOT105012020</t>
  </si>
  <si>
    <t>Đồng ống thẳng 10.50x1.20x2.0</t>
  </si>
  <si>
    <t>DOT105015030</t>
  </si>
  <si>
    <t>Đồng ống thẳng 10.50x1.50x3.0</t>
  </si>
  <si>
    <t>DOT106012530</t>
  </si>
  <si>
    <t>Đồng ống thẳng 10.60x1.25x3.0</t>
  </si>
  <si>
    <t>DOT110012530</t>
  </si>
  <si>
    <t>Đồng ống thẳng 11.00x1.25x3.0</t>
  </si>
  <si>
    <t>DOT110015030</t>
  </si>
  <si>
    <t>Đồng ống thẳng 11.00x1.50x3.0</t>
  </si>
  <si>
    <t>DOT114008530</t>
  </si>
  <si>
    <t>Đồng ống thẳng 11.40x0.85x3.0</t>
  </si>
  <si>
    <t>DOT115008130</t>
  </si>
  <si>
    <t>Đồng ống thẳng 11.50X0.81x3.0</t>
  </si>
  <si>
    <t>DOT115008530</t>
  </si>
  <si>
    <t>Đồng ống thẳng 11.50X0.85x3.0</t>
  </si>
  <si>
    <t>DOT115009030</t>
  </si>
  <si>
    <t>Đồng ống thẳng 11.50X0.90x3.0</t>
  </si>
  <si>
    <t>DOT115009530</t>
  </si>
  <si>
    <t>Đồng ống thẳng 11.50X0.95x3.0</t>
  </si>
  <si>
    <t>DOT117008830</t>
  </si>
  <si>
    <t>Đồng ống thẳng 11.70x0.88x3.0</t>
  </si>
  <si>
    <t>DOT117009130</t>
  </si>
  <si>
    <t>Đồng ống thẳng 11.70x0.91x3.0</t>
  </si>
  <si>
    <t>DOT118008630</t>
  </si>
  <si>
    <t>Đồng ống thẳng 11.80x0.86x3.0</t>
  </si>
  <si>
    <t>DOT118008830</t>
  </si>
  <si>
    <t>Đồng ống thẳng 11.80x0.88x3.0</t>
  </si>
  <si>
    <t>DOT12000611235</t>
  </si>
  <si>
    <t>Đồng ống thẳng 12.00x0.61x1.235</t>
  </si>
  <si>
    <t>DOT120006130</t>
  </si>
  <si>
    <t>Đồng ống thẳng 12.00x0.61x3.0</t>
  </si>
  <si>
    <t>DOT120008130</t>
  </si>
  <si>
    <t>Đồng ống thẳng 12.00x0.81x3.0</t>
  </si>
  <si>
    <t>DOT120008630</t>
  </si>
  <si>
    <t>Đồng ống thẳng 12.00x0.86x3.0</t>
  </si>
  <si>
    <t>DOT120008830</t>
  </si>
  <si>
    <t>Đồng ống thẳng 12.00x0.88x3.0</t>
  </si>
  <si>
    <t>DOT120009130</t>
  </si>
  <si>
    <t>Đồng ống thẳng 12.00x0.91x3.0</t>
  </si>
  <si>
    <t>DOT120009530</t>
  </si>
  <si>
    <t>Đồng ống thẳng 12.00x0.95x3.0</t>
  </si>
  <si>
    <t>DOT12001024</t>
  </si>
  <si>
    <t>Đồng ống thẳng 12.00x1.00x2.4</t>
  </si>
  <si>
    <t>DOT12001030</t>
  </si>
  <si>
    <t>Đồng ống thẳng 12.00x1.00x3.0</t>
  </si>
  <si>
    <t>DOT120011030</t>
  </si>
  <si>
    <t>Đồng ống thẳng 12.00x1.10x3.0</t>
  </si>
  <si>
    <t>DOT12011414</t>
  </si>
  <si>
    <t>Đồng ống thẳng 12.00x1.14x1.4m</t>
  </si>
  <si>
    <t>DOT120012030</t>
  </si>
  <si>
    <t>Đồng ống thẳng 12.00x1.20x3.0</t>
  </si>
  <si>
    <t>DOT120012530</t>
  </si>
  <si>
    <t>Đồng ống thẳng 12.00x1.25x3.0</t>
  </si>
  <si>
    <t>DOT120013230</t>
  </si>
  <si>
    <t>Đồng ống thẳng 12.00x1.32x3.0</t>
  </si>
  <si>
    <t>DOT125013030</t>
  </si>
  <si>
    <t>Đồng ống thẳng 12.50x1.30x3.0</t>
  </si>
  <si>
    <t>DOT125013530</t>
  </si>
  <si>
    <t>Đồng ống thẳng 12.50x1.35x3.0</t>
  </si>
  <si>
    <t>DOT125015030</t>
  </si>
  <si>
    <t>Đồng ống thẳng 12.50x1.50x3.0</t>
  </si>
  <si>
    <t>DOT1270050</t>
  </si>
  <si>
    <t>Đồng ống thẳng 12.70x0.50</t>
  </si>
  <si>
    <t>DOT1270055</t>
  </si>
  <si>
    <t>Đồng ống thẳng 12.70x0.55</t>
  </si>
  <si>
    <t>DOT1270060</t>
  </si>
  <si>
    <t>Đồng ống thẳng 12.70x0.60</t>
  </si>
  <si>
    <t>ĐTPCAYDD</t>
  </si>
  <si>
    <t>DOT1270071</t>
  </si>
  <si>
    <t>Đồng ống thẳng 12.70x0.71</t>
  </si>
  <si>
    <t>DOT1270075</t>
  </si>
  <si>
    <t>Đồng ống thẳng 12.70x0.75</t>
  </si>
  <si>
    <t>DOT12707558</t>
  </si>
  <si>
    <t>Đồng ống thẳng 12.7x0.75x5.8</t>
  </si>
  <si>
    <t>DOT1270080</t>
  </si>
  <si>
    <t>Đồng ống thẳng 12.70x0.80</t>
  </si>
  <si>
    <t>DOT127080303</t>
  </si>
  <si>
    <t>Đồng ống thẳng 12.7x0.80x3.03</t>
  </si>
  <si>
    <t>DOT1270828</t>
  </si>
  <si>
    <t>Đồng ống thẳng 12.70x0.80x2.8</t>
  </si>
  <si>
    <t>DOT1270081</t>
  </si>
  <si>
    <t>Đồng ống thẳng 12.70x0.81</t>
  </si>
  <si>
    <t>DOT1270081303</t>
  </si>
  <si>
    <t>Đồng ống thẳng 12.70x0.81x3.03</t>
  </si>
  <si>
    <t>DOT127008158</t>
  </si>
  <si>
    <t>Đồng ống thẳng 12.70x0.81x5.8</t>
  </si>
  <si>
    <t>DOT1270089</t>
  </si>
  <si>
    <t>Đồng ống thẳng 12.70x0.89</t>
  </si>
  <si>
    <t>DOT1270100</t>
  </si>
  <si>
    <t>Đồng ống thẳng 12.70x1.00</t>
  </si>
  <si>
    <t>DOT1270124</t>
  </si>
  <si>
    <t>Đồng ống thẳng 12.70x1.24</t>
  </si>
  <si>
    <t>DOT130015030</t>
  </si>
  <si>
    <t>Đồng ống thẳng 13.00x1.50x3.0</t>
  </si>
  <si>
    <t>DOT135010530</t>
  </si>
  <si>
    <t>Đồng ống thẳng 13.50x1.05x3.0</t>
  </si>
  <si>
    <t>DOT135011530</t>
  </si>
  <si>
    <t>Đồng ống thẳng 13.50x1.15x3.0</t>
  </si>
  <si>
    <t>DOT135012030</t>
  </si>
  <si>
    <t>Đồng ống thẳng 13.50x1.20x3.0</t>
  </si>
  <si>
    <t>DOT135013030</t>
  </si>
  <si>
    <t>Đồng ống thẳng 13.50x1.30x3.0</t>
  </si>
  <si>
    <t>DOT136012030</t>
  </si>
  <si>
    <t>Đồng ống thẳng 13.60x1.20x3.0</t>
  </si>
  <si>
    <t>DOT140010030</t>
  </si>
  <si>
    <t>Đồng ống thẳng 14.00x1.00x3.0</t>
  </si>
  <si>
    <t>DOT140010530</t>
  </si>
  <si>
    <t>Đồng ống thẳng 14.00x1.05x3.0</t>
  </si>
  <si>
    <t>DOT140011030</t>
  </si>
  <si>
    <t>Đồng ống thẳng 14.00x1.1x3</t>
  </si>
  <si>
    <t>DOT140011530</t>
  </si>
  <si>
    <t>Đồng ống thẳng 14.00x1.15x3.0</t>
  </si>
  <si>
    <t>DOT14001214</t>
  </si>
  <si>
    <t>Đồng ống thẳng 14.00x1.2x1.4</t>
  </si>
  <si>
    <t>DOT1400123</t>
  </si>
  <si>
    <t>Đồng ống thẳng 14.00x1.2x3</t>
  </si>
  <si>
    <t>DOT1412730</t>
  </si>
  <si>
    <t>Đồng ống thẳng 14x1.27x3.0</t>
  </si>
  <si>
    <t>DOT140013030</t>
  </si>
  <si>
    <t>Đồng ống thẳng 14.00x1.3x3</t>
  </si>
  <si>
    <t>DOT140014020</t>
  </si>
  <si>
    <t>Đồng ống thẳng 14.00x1.40x2.0</t>
  </si>
  <si>
    <t>DOT140014030</t>
  </si>
  <si>
    <t>Đồng ống thẳng 14.00x1.40x3.0</t>
  </si>
  <si>
    <t>DOT140014530</t>
  </si>
  <si>
    <t>Đồng ống thẳng 14.00x1.45x3.0</t>
  </si>
  <si>
    <t>DOT140015030</t>
  </si>
  <si>
    <t>Đồng ống thẳng 14.00x1.50x3.0</t>
  </si>
  <si>
    <t>DOT145013030</t>
  </si>
  <si>
    <t>Đồng ống thẳng 14.50x1.30x3.0</t>
  </si>
  <si>
    <t>DOT145015030</t>
  </si>
  <si>
    <t>Đồng ống thẳng 14.50x1.50x3.0</t>
  </si>
  <si>
    <t>DOT146016530</t>
  </si>
  <si>
    <t>Đồng ống thẳng 14.60x1.65x3.0</t>
  </si>
  <si>
    <t>DOT147015030</t>
  </si>
  <si>
    <t>Đồng ống thẳng 14.70x1.50x3.0</t>
  </si>
  <si>
    <t>DOT1500200120</t>
  </si>
  <si>
    <t>Đồng ống thẳng 15.00x2.00x1.20</t>
  </si>
  <si>
    <t>DOT150020030</t>
  </si>
  <si>
    <t>Đồng ống thẳng 15.00x2.00x3.0</t>
  </si>
  <si>
    <t>DOT155012030</t>
  </si>
  <si>
    <t>Đồng ống thẳng 15.50x1.20x3.0</t>
  </si>
  <si>
    <t>DOT1588050(NM)</t>
  </si>
  <si>
    <t>Đồng ống thẳng 15.88x0.50</t>
  </si>
  <si>
    <t>DOT158805018</t>
  </si>
  <si>
    <t>Đồng ống thẳng 15.88x0.50x1.8</t>
  </si>
  <si>
    <t>DOT1588050193</t>
  </si>
  <si>
    <t>Đồng ống thẳng 15.88x0.50x1.93</t>
  </si>
  <si>
    <t>DOT158805024</t>
  </si>
  <si>
    <t>Đồng ống thẳng 15.88x0.50x2.4</t>
  </si>
  <si>
    <t>DOT158805025</t>
  </si>
  <si>
    <t>Đồng ống thẳng 15.88x0.50x2.5</t>
  </si>
  <si>
    <t>DOT158805058</t>
  </si>
  <si>
    <t>Đồng ống thẳng 15.88x0.5x5.8</t>
  </si>
  <si>
    <t>DOT158805140</t>
  </si>
  <si>
    <t>Đồng ống thẳng 15.88x0.51x4.0</t>
  </si>
  <si>
    <t>DOT1588055</t>
  </si>
  <si>
    <t>Đồng ống thẳng 15.88x0.55</t>
  </si>
  <si>
    <t>DOT158805619</t>
  </si>
  <si>
    <t>Đồng ống thẳng 15.88x0.56x1.9</t>
  </si>
  <si>
    <t>DOT1588060</t>
  </si>
  <si>
    <t>Đồng ống thẳng 15.88x0.60</t>
  </si>
  <si>
    <t>DOT158806016</t>
  </si>
  <si>
    <t>Đồng ống thẳng 15.88x0.60x1.6</t>
  </si>
  <si>
    <t>DOT158806058</t>
  </si>
  <si>
    <t>Đồng ống thẳng 15.88x0.60x5.8</t>
  </si>
  <si>
    <t>DOT1588061</t>
  </si>
  <si>
    <t>Đồng ống thẳng 15.88x0.61</t>
  </si>
  <si>
    <t>DOT1588061193</t>
  </si>
  <si>
    <t>Đồng ống thẳng 15.88x0.61x1.93</t>
  </si>
  <si>
    <t>DOT158806132</t>
  </si>
  <si>
    <t>Đồng ống thẳng 15.88x0.61x3.2</t>
  </si>
  <si>
    <t>DOT1588061387</t>
  </si>
  <si>
    <t>Đồng ống thẳng 15.88x0.61x3.87</t>
  </si>
  <si>
    <t>DOT158806141</t>
  </si>
  <si>
    <t>Đồng ống thẳng 15.88x0.61x4.1</t>
  </si>
  <si>
    <t>DOT158806558</t>
  </si>
  <si>
    <t>Đồng ống thẳng 15.88x0.65x5.8</t>
  </si>
  <si>
    <t>DOT1588070</t>
  </si>
  <si>
    <t>Đồng ống thẳng 15.88x0.70</t>
  </si>
  <si>
    <t>DOT1588071</t>
  </si>
  <si>
    <t>Đồng ống thẳng 15.88x0.71</t>
  </si>
  <si>
    <t>DOT1588071193</t>
  </si>
  <si>
    <t>Đồng ống thẳng 15.88x0.71x1.93</t>
  </si>
  <si>
    <t>DOT158807158</t>
  </si>
  <si>
    <t>Đồng ống thẳng 15.88x0.71x5.8</t>
  </si>
  <si>
    <t>DOT1588080</t>
  </si>
  <si>
    <t>Đồng ống thẳng 15.88x0.80</t>
  </si>
  <si>
    <t>DOT1588081387</t>
  </si>
  <si>
    <t>Đồng ống thẳng 15.88x0.81x3.87</t>
  </si>
  <si>
    <t>ĐTPCAYIB</t>
  </si>
  <si>
    <t>DOT1588081</t>
  </si>
  <si>
    <t>Đồng ống thẳng 15.88x0.81</t>
  </si>
  <si>
    <t>DOT158808529</t>
  </si>
  <si>
    <t>Đồng ống thẳng 15.88x0.85x2.9</t>
  </si>
  <si>
    <t>DOT158808558</t>
  </si>
  <si>
    <t>Đồng ống thẳng 15.88x0.85x5.8</t>
  </si>
  <si>
    <t>DOT1588090</t>
  </si>
  <si>
    <t>Đồng ống thẳng 15.88x0.90</t>
  </si>
  <si>
    <t>DOT158809158</t>
  </si>
  <si>
    <t>Đồng ống thẳng 15.88x0.91x5.8</t>
  </si>
  <si>
    <t>DOT1588095</t>
  </si>
  <si>
    <t>Đồng ống thẳng 15.88x0.95</t>
  </si>
  <si>
    <t>DOT158809558</t>
  </si>
  <si>
    <t>Đồng ống thẳng 15.88x0.95x5.8</t>
  </si>
  <si>
    <t>DOT158809858</t>
  </si>
  <si>
    <t>Đồng ống thẳng 15.88x0.98x5.8</t>
  </si>
  <si>
    <t>DOT158810030</t>
  </si>
  <si>
    <t>Đồng ống thẳng 15.88x1.00x3.0</t>
  </si>
  <si>
    <t>DOT15881058</t>
  </si>
  <si>
    <t>Đồng ống thẳng 15.88x1x5.8</t>
  </si>
  <si>
    <t>DOT1588100</t>
  </si>
  <si>
    <t>Đồng ống thẳng 15.88x1.00</t>
  </si>
  <si>
    <t>DOT1588102</t>
  </si>
  <si>
    <t>Đồng ống thẳng 15.88x1.02</t>
  </si>
  <si>
    <t>DOT158812016</t>
  </si>
  <si>
    <t>Đồng ống thẳng 15.88x1.20x1.6</t>
  </si>
  <si>
    <t>DOT1588124</t>
  </si>
  <si>
    <t>Đồng ống thẳng 15.88x1.24</t>
  </si>
  <si>
    <t>DOT158815030</t>
  </si>
  <si>
    <t>Đồng ống thẳng 15.88x1.50x3.0</t>
  </si>
  <si>
    <t>DOT160006130</t>
  </si>
  <si>
    <t>Đồng ống thẳng 16.00x0.61x3.0</t>
  </si>
  <si>
    <t>DOT160010030</t>
  </si>
  <si>
    <t>Đồng ống thẳng 16.00x1.00x3.0</t>
  </si>
  <si>
    <t>DOT160012030</t>
  </si>
  <si>
    <t>Đồng ống thẳng 16.00x1.20x3.0</t>
  </si>
  <si>
    <t>DOT160012530</t>
  </si>
  <si>
    <t>Đồng ống thẳng 16.00x1.25x3.0</t>
  </si>
  <si>
    <t>DOT160013030</t>
  </si>
  <si>
    <t>Đồng ống thẳng 16.00x1.30x3.0</t>
  </si>
  <si>
    <t>DOT1600130305</t>
  </si>
  <si>
    <t>Đồng ống thẳng 16.00x1.30x3.05</t>
  </si>
  <si>
    <t>DOT160013530</t>
  </si>
  <si>
    <t>Đồng ống thẳng 16.00x1.35x3.0</t>
  </si>
  <si>
    <t>DOT1600143</t>
  </si>
  <si>
    <t>Đồng ống thẳng 16.00x1.4x3</t>
  </si>
  <si>
    <t>DOT160015020</t>
  </si>
  <si>
    <t>Đồng ống thẳng 16.00x1.50x2.0</t>
  </si>
  <si>
    <t>DOT1600153</t>
  </si>
  <si>
    <t>Đồng ống thẳng 16.00x1.5x3</t>
  </si>
  <si>
    <t>DOT165009120</t>
  </si>
  <si>
    <t>Đồng ống thẳng 16.50x0.91x2.0</t>
  </si>
  <si>
    <t>DOT165015030</t>
  </si>
  <si>
    <t>Đồng ống thẳng 16.50x1.50x3.0</t>
  </si>
  <si>
    <t>DOT170013030</t>
  </si>
  <si>
    <t>Đồng ống thẳng 17.00x1.30x3.0</t>
  </si>
  <si>
    <t>DOT170015030</t>
  </si>
  <si>
    <t>Đồng ống thẳng 17.00x1.50x3.0</t>
  </si>
  <si>
    <t>DOT170015530</t>
  </si>
  <si>
    <t>Đồng ống thẳng 17.00x1.55x3.0</t>
  </si>
  <si>
    <t>DOT170016030</t>
  </si>
  <si>
    <t>Đồng ống thẳng 17.00x1.60x3.0</t>
  </si>
  <si>
    <t>DOT170017530</t>
  </si>
  <si>
    <t>Đồng ống thẳng 17.00x1.75x3.0</t>
  </si>
  <si>
    <t>DOT174019030</t>
  </si>
  <si>
    <t>Đồng ống thẳng 17.40x1.90x3.0</t>
  </si>
  <si>
    <t>DOT174020020</t>
  </si>
  <si>
    <t>Đồng ống thẳng 17.40x2.00x2.0</t>
  </si>
  <si>
    <t>DOT175013030</t>
  </si>
  <si>
    <t>Đồng ống thẳng 17.50x1.30x3.0</t>
  </si>
  <si>
    <t>DOT175014530</t>
  </si>
  <si>
    <t>Đồng ống thẳng 17.50x1.45x3.0</t>
  </si>
  <si>
    <t>DOT175015030</t>
  </si>
  <si>
    <t>Đồng ống thẳng 17.50x1.50x3.0</t>
  </si>
  <si>
    <t>DOT175016030</t>
  </si>
  <si>
    <t>Đồng ống thẳng 17.50x1.60x3.0</t>
  </si>
  <si>
    <t>DOT175017030</t>
  </si>
  <si>
    <t>Đồng ống thẳng 17.50x1.70x3.0</t>
  </si>
  <si>
    <t>DOT180015030</t>
  </si>
  <si>
    <t>Đồng ống thẳng 18.00x1.50x3.0</t>
  </si>
  <si>
    <t>DOT180015530</t>
  </si>
  <si>
    <t>Đồng ống thẳng 18.00x1.55x30</t>
  </si>
  <si>
    <t>DOT180016030</t>
  </si>
  <si>
    <t>Đồng ống thẳng 18.00x1.6x30</t>
  </si>
  <si>
    <t>DOT180017530</t>
  </si>
  <si>
    <t>Đồng ống thẳng 18.00x1.75x30</t>
  </si>
  <si>
    <t>DOT182817020</t>
  </si>
  <si>
    <t>Đồng ống thẳng 18.28x1.70x2.0</t>
  </si>
  <si>
    <t>DOT190014030</t>
  </si>
  <si>
    <t>Đồng ống thẳng 19.00x1.40x3.0</t>
  </si>
  <si>
    <t>DOT190015030</t>
  </si>
  <si>
    <t>Đồng ống thẳng 19.00x1.50x3.0</t>
  </si>
  <si>
    <t>DOT190018030</t>
  </si>
  <si>
    <t>Đồng ống thẳng 19.00x1.80x3.0</t>
  </si>
  <si>
    <t>DOT190019030</t>
  </si>
  <si>
    <t>Đồng ống thẳng 19.00x1.90x3.0</t>
  </si>
  <si>
    <t>DOT190020030</t>
  </si>
  <si>
    <t>Đồng ống thẳng 19.00x2.00x3.0</t>
  </si>
  <si>
    <t>DOT190505524</t>
  </si>
  <si>
    <t>Đồng ống thẳng 19.05x0.55x2.4</t>
  </si>
  <si>
    <t>DOT1905060</t>
  </si>
  <si>
    <t>Đồng ống thẳng 19.05x0.60</t>
  </si>
  <si>
    <t>DOT1905065</t>
  </si>
  <si>
    <t>Đồng ống thẳng 19.05x0.65</t>
  </si>
  <si>
    <t>DOT1905071</t>
  </si>
  <si>
    <t>Đồng ống thẳng 19.05x0.71</t>
  </si>
  <si>
    <t>DOT190507130</t>
  </si>
  <si>
    <t>Đồng ống thẳng 19.05x0.71x3.0</t>
  </si>
  <si>
    <t>DOT1905075</t>
  </si>
  <si>
    <t>Đồng ống thẳng 19.05x0.75</t>
  </si>
  <si>
    <t>DOT190508058</t>
  </si>
  <si>
    <t>Đồng ống thẳng 19.05x0.80x5.8m</t>
  </si>
  <si>
    <t>DOT1905081</t>
  </si>
  <si>
    <t>Đồng ống thẳng 19.05x0.81</t>
  </si>
  <si>
    <t>DOT190508558</t>
  </si>
  <si>
    <t>Đồng ống thẳng 19.05x0.85x5.8</t>
  </si>
  <si>
    <t>DOT1905090</t>
  </si>
  <si>
    <t>Đồng ống thẳng 19.05x0.90</t>
  </si>
  <si>
    <t>DOT190509058</t>
  </si>
  <si>
    <t>Đồng ống thẳng 19.05x0.9x5.8</t>
  </si>
  <si>
    <t>DOT1905095(NM)</t>
  </si>
  <si>
    <t>Đồng ống thẳng 19.05x0.95</t>
  </si>
  <si>
    <t>DOT190510058</t>
  </si>
  <si>
    <t>Đồng ống thẳng 19.05x1.00x5.8</t>
  </si>
  <si>
    <t>DOT1905100</t>
  </si>
  <si>
    <t>Đồng ống thẳng 19.05x1.00</t>
  </si>
  <si>
    <t>DOT1905107</t>
  </si>
  <si>
    <t>Đồng ống thẳng 19.05x1.07</t>
  </si>
  <si>
    <t>DOT1905110</t>
  </si>
  <si>
    <t>Đồng ống thẳng 19.05x1.10</t>
  </si>
  <si>
    <t>DOT1905120</t>
  </si>
  <si>
    <t>Đồng ống thẳng 19.05x1.20</t>
  </si>
  <si>
    <t>DOT1905124</t>
  </si>
  <si>
    <t>Đồng ống thẳng 19.05x1.24</t>
  </si>
  <si>
    <t>DOT1905140</t>
  </si>
  <si>
    <t>Đồng ống thẳng 19.05x1.4</t>
  </si>
  <si>
    <t>DOT190515030</t>
  </si>
  <si>
    <t>Đồng ống thẳng 19.05x1.50x3.0</t>
  </si>
  <si>
    <t>DOT190519530</t>
  </si>
  <si>
    <t>Đồng ống thẳng 19.05x1.95x3.0</t>
  </si>
  <si>
    <t>DOT195014030</t>
  </si>
  <si>
    <t>Đồng ống thẳng 19.50x1.40x3.0</t>
  </si>
  <si>
    <t>DOT195015530</t>
  </si>
  <si>
    <t>Đồng ống thẳng 19.50x1.55x3.0</t>
  </si>
  <si>
    <t>DOT195017030</t>
  </si>
  <si>
    <t>Đồng ống thẳng 19.50x1.70x3.0</t>
  </si>
  <si>
    <t>DOT195019530</t>
  </si>
  <si>
    <t>Đồng ống thẳng 19.50x1.95x3.0</t>
  </si>
  <si>
    <t>DOT195023020</t>
  </si>
  <si>
    <t>Đồng ống thẳng 19.50x2.30x2.0</t>
  </si>
  <si>
    <t>DOT200010029</t>
  </si>
  <si>
    <t>Đồng ống thẳng 20.00x1x2.9m</t>
  </si>
  <si>
    <t>DOT20001530</t>
  </si>
  <si>
    <t>Đồng ống thẳng 20.00x1.5x3.0</t>
  </si>
  <si>
    <t>DOT20001630</t>
  </si>
  <si>
    <t>Đồng ống thẳng 20.00x1.6x3.0</t>
  </si>
  <si>
    <t>DOT20001730</t>
  </si>
  <si>
    <t>Đồng ống thẳng 20.00x1.7x3.0</t>
  </si>
  <si>
    <t>DOT20001930</t>
  </si>
  <si>
    <t>Đồng ống thẳng 20.00x1.9x3.0</t>
  </si>
  <si>
    <t>DOT20002030</t>
  </si>
  <si>
    <t>Đồng ống thẳng 20.00x2.00x3.0</t>
  </si>
  <si>
    <t>DOT200022030</t>
  </si>
  <si>
    <t>Đồng ống thẳng 20.00x2.20x3.0</t>
  </si>
  <si>
    <t>DOT2000225030</t>
  </si>
  <si>
    <t>Đồng ống thẳng 20.00x2.25x3.0</t>
  </si>
  <si>
    <t>DOT210015030</t>
  </si>
  <si>
    <t>Đồng ống thẳng 21.00x1.50x3.0</t>
  </si>
  <si>
    <t>DOT210018030</t>
  </si>
  <si>
    <t>Đồng ống thẳng 21.00x1.80x3.0</t>
  </si>
  <si>
    <t>DOT210019030</t>
  </si>
  <si>
    <t>Đồng ống thẳng 21.00x1.90x3.0</t>
  </si>
  <si>
    <t>DOT210020030</t>
  </si>
  <si>
    <t>Đồng ống thẳng 21.00x2.00x3.0</t>
  </si>
  <si>
    <t>DOT210021030</t>
  </si>
  <si>
    <t>Đồng ống thẳng 21.00x2.10x3.0</t>
  </si>
  <si>
    <t>DOT210022030</t>
  </si>
  <si>
    <t>Đồng ống thẳng 21.00x2.20x3.0</t>
  </si>
  <si>
    <t>DOT215015020</t>
  </si>
  <si>
    <t>Đồng ống thẳng 21.50x1.50x2.0</t>
  </si>
  <si>
    <t>DOT215015030</t>
  </si>
  <si>
    <t>Đồng ống thẳng 21.50x1.50x3.0</t>
  </si>
  <si>
    <t>DOT215015530</t>
  </si>
  <si>
    <t>Đồng ống thẳng 21.50x1.55x3.0</t>
  </si>
  <si>
    <t>DOT220012030</t>
  </si>
  <si>
    <t>Đồng ống thẳng 22.00x1.20x3.0</t>
  </si>
  <si>
    <t>DOT220006011</t>
  </si>
  <si>
    <t>Đồng ống thẳng 22.00x0.60x1.1</t>
  </si>
  <si>
    <t>DOT220006013</t>
  </si>
  <si>
    <t>Đồng ống thẳng 22.00x0.60x1.3</t>
  </si>
  <si>
    <t>DOT2200060212</t>
  </si>
  <si>
    <t>Đồng ống thẳng 22.00x0.60x2.12</t>
  </si>
  <si>
    <t>DOT2200060262</t>
  </si>
  <si>
    <t>Đồng ống thẳng 22.00x0.60x2.62</t>
  </si>
  <si>
    <t>DOT220006032</t>
  </si>
  <si>
    <t>Đồng ống thẳng 22.00x0.60x3.2m</t>
  </si>
  <si>
    <t>DOT220006041</t>
  </si>
  <si>
    <t>Đồng ống thẳng 22.00x0.60x4.1m</t>
  </si>
  <si>
    <t>DOT220006113</t>
  </si>
  <si>
    <t>Đồng ống thẳng 22.00x0.61x1.3</t>
  </si>
  <si>
    <t>DOT2200071212</t>
  </si>
  <si>
    <t>Đồng ống thẳng 22.00x0.71x2.12</t>
  </si>
  <si>
    <t>DOT2200071262</t>
  </si>
  <si>
    <t>Đồng ống thẳng 22.00x0.71x2.62</t>
  </si>
  <si>
    <t>DOT220008126</t>
  </si>
  <si>
    <t>Đồng ống thẳng 22.00x0.81x2.6</t>
  </si>
  <si>
    <t>DOT220008132</t>
  </si>
  <si>
    <t>Đồng ống thẳng 22.00x0.81x3.2</t>
  </si>
  <si>
    <t>DOT220008141</t>
  </si>
  <si>
    <t>Đồng ống thẳng 22.00x0.81x4.1</t>
  </si>
  <si>
    <t>DOT220001630</t>
  </si>
  <si>
    <t>Đồng ống thẳng 22.00x1.6x3.0</t>
  </si>
  <si>
    <t>DOT220017030</t>
  </si>
  <si>
    <t>Đồng ống thẳng 22.00x1.70x3.0</t>
  </si>
  <si>
    <t>DOT220001830</t>
  </si>
  <si>
    <t>Đồng ống thẳng 22.00x1.8x3.0</t>
  </si>
  <si>
    <t>DOT220001930</t>
  </si>
  <si>
    <t>Đồng ống thẳng 22.00x1.9x3.0</t>
  </si>
  <si>
    <t>DOT2200225030</t>
  </si>
  <si>
    <t>Đồng ống thẳng 22.00x2.25x3.0</t>
  </si>
  <si>
    <t>DOT2222095(NM)</t>
  </si>
  <si>
    <t>Đồng ống thẳng 22.22x0.95</t>
  </si>
  <si>
    <t>DOT2222060</t>
  </si>
  <si>
    <t>Đồng ống thẳng 22.22x0.60</t>
  </si>
  <si>
    <t>DOT2222065</t>
  </si>
  <si>
    <t>Đồng ống thẳng 22.22x0.65</t>
  </si>
  <si>
    <t>DOT2222070(NM)</t>
  </si>
  <si>
    <t>Đồng ống thẳng 22.22x0.70</t>
  </si>
  <si>
    <t>DOT2222071210</t>
  </si>
  <si>
    <t>Đồng ống thẳng 22.22x0.71x2.10</t>
  </si>
  <si>
    <t>DOT2222071212</t>
  </si>
  <si>
    <t>Đồng ống thẳng 22.22x0.71x2.12</t>
  </si>
  <si>
    <t>DOT222207158</t>
  </si>
  <si>
    <t>Đồng ống thẳng 22.22x0.71x5.8</t>
  </si>
  <si>
    <t>DOT2222071(NM)</t>
  </si>
  <si>
    <t>Đồng ống thẳng 22.22x0.71</t>
  </si>
  <si>
    <t>DOT2222075(NM)</t>
  </si>
  <si>
    <t>Đồng ống thẳng 22.22x0.75</t>
  </si>
  <si>
    <t>DOT2222080</t>
  </si>
  <si>
    <t>Đồng ống thẳng 22.22x0.80</t>
  </si>
  <si>
    <t>DOT222208058</t>
  </si>
  <si>
    <t>Đồng ống thẳng 22.22x0.80x5.8m</t>
  </si>
  <si>
    <t>DOT222208158</t>
  </si>
  <si>
    <t>Đồng ống thẳng 22.22x0.81x5.8</t>
  </si>
  <si>
    <t>DOT2222081</t>
  </si>
  <si>
    <t>Đồng ống thẳng 22.22x0.81</t>
  </si>
  <si>
    <t>DOT2222085</t>
  </si>
  <si>
    <t>Đồng ống thẳng 22.22x0.85</t>
  </si>
  <si>
    <t>DOT222208558</t>
  </si>
  <si>
    <t>Đồng ống thẳng 22.22x0.85x5.8</t>
  </si>
  <si>
    <t>DOT2222091</t>
  </si>
  <si>
    <t>Đồng ống thẳng 22.22x0.91</t>
  </si>
  <si>
    <t>DOT222209158</t>
  </si>
  <si>
    <t>Đồng ống thẳng 22.22x0.91x5.8</t>
  </si>
  <si>
    <t>ĐTPCAYCT</t>
  </si>
  <si>
    <t>DOT2222100</t>
  </si>
  <si>
    <t>Đồng ống thẳng 22.22x1.00</t>
  </si>
  <si>
    <t>DOT22221058</t>
  </si>
  <si>
    <t>Đồng ống thẳng 22.22x1.0x5.8</t>
  </si>
  <si>
    <t>DOT2222102</t>
  </si>
  <si>
    <t>Đồng ống thẳng 22.22x1.02</t>
  </si>
  <si>
    <t>DOT2222107</t>
  </si>
  <si>
    <t>Đồng ống thẳng 22.22x1.07</t>
  </si>
  <si>
    <t>DOT222210729</t>
  </si>
  <si>
    <t>Đồng ống thẳng 22.22x1.07x2.9</t>
  </si>
  <si>
    <t>DOT222211</t>
  </si>
  <si>
    <t>Đồng ống thẳng 22.22x1.1</t>
  </si>
  <si>
    <t>DOT2222114</t>
  </si>
  <si>
    <t>Đồng ống thẳng 22.22x1.14</t>
  </si>
  <si>
    <t>DOT2222115</t>
  </si>
  <si>
    <t>Đồng ống thẳng 22.22x1.15</t>
  </si>
  <si>
    <t>DOT222211558</t>
  </si>
  <si>
    <t>Đồng ống thẳng 22.22x1.15x5.8</t>
  </si>
  <si>
    <t>DOT2222120</t>
  </si>
  <si>
    <t>Đồng ống thẳng 22.22x1.20</t>
  </si>
  <si>
    <t>DOT222212058</t>
  </si>
  <si>
    <t>Đồng ống thẳng 22.22x1.20x5.8</t>
  </si>
  <si>
    <t>DOT2222121</t>
  </si>
  <si>
    <t>Đồng ống thẳng 22.22x1.21</t>
  </si>
  <si>
    <t>DOT2222122</t>
  </si>
  <si>
    <t>Đồng ống thẳng 22.22x1.22</t>
  </si>
  <si>
    <t>DOT2222130</t>
  </si>
  <si>
    <t>Đồng ống thẳng 22.22x1.30</t>
  </si>
  <si>
    <t>DOT2222140</t>
  </si>
  <si>
    <t>Đồng ống thẳng 22.22x1.4</t>
  </si>
  <si>
    <t>DOT2222165</t>
  </si>
  <si>
    <t>Đồng ống thẳng 22.22x165</t>
  </si>
  <si>
    <t>DOT230020030</t>
  </si>
  <si>
    <t>Đồng ống thẳng 23.00x2.00x3.0</t>
  </si>
  <si>
    <t>DOT230021030</t>
  </si>
  <si>
    <t>Đồng ống thẳng 23.00x2.10x3.0</t>
  </si>
  <si>
    <t>DOT230023030</t>
  </si>
  <si>
    <t>Đồng ống thẳng 23.00x2.30x3.0</t>
  </si>
  <si>
    <t>DOT230025030</t>
  </si>
  <si>
    <t>Đồng ống thẳng 23.00x2.50x3.0</t>
  </si>
  <si>
    <t>DOT235018030</t>
  </si>
  <si>
    <t>Đồng ống thẳng 23.50x1.80x3.0</t>
  </si>
  <si>
    <t>DOT235019030</t>
  </si>
  <si>
    <t>Đồng ống thẳng 23.50x1.90x3.0</t>
  </si>
  <si>
    <t>DOT235022530</t>
  </si>
  <si>
    <t>Đồng ống thẳng 23.50x2.25x3.0</t>
  </si>
  <si>
    <t>DOT235025030</t>
  </si>
  <si>
    <t>Đồng ống thẳng 23.50x2.50x3.0</t>
  </si>
  <si>
    <t>DOT240018030</t>
  </si>
  <si>
    <t>Đồng ống thẳng 24.00x1.80x3.0</t>
  </si>
  <si>
    <t>DOT245018030</t>
  </si>
  <si>
    <t>Đồng ống thẳng 24.50x1.80x3.0</t>
  </si>
  <si>
    <t>DOT245019530</t>
  </si>
  <si>
    <t>Đồng ống thẳng 24.50x1.95x3.0</t>
  </si>
  <si>
    <t>DOT2450275030</t>
  </si>
  <si>
    <t>Đồng ống thẳng 24.50x2.75x3.0</t>
  </si>
  <si>
    <t>DOT250018030</t>
  </si>
  <si>
    <t>Đồng ống thẳng 25.00x1.80x3.0</t>
  </si>
  <si>
    <t>DOT250019030</t>
  </si>
  <si>
    <t>Đồng ống thẳng 25.00x1.90x3.0</t>
  </si>
  <si>
    <t>DOT250019530</t>
  </si>
  <si>
    <t>Đồng ống thẳng 25.00x1.95x3.0</t>
  </si>
  <si>
    <t>DOT250020020</t>
  </si>
  <si>
    <t>Đồng ống thẳng 25.00x2.00x2.0</t>
  </si>
  <si>
    <t>DOT250020030</t>
  </si>
  <si>
    <t>Đồng ống thẳng 25.00x2.00x3.0</t>
  </si>
  <si>
    <t>DOT250023030</t>
  </si>
  <si>
    <t>Đồng ống thẳng 25.00x2.30x3.0</t>
  </si>
  <si>
    <t>DOT250025030</t>
  </si>
  <si>
    <t>Đồng ống thẳng 25.00x2.50x3.0</t>
  </si>
  <si>
    <t>DOT250025040</t>
  </si>
  <si>
    <t>Đồng ống thẳng 25.00x2.50x4.0</t>
  </si>
  <si>
    <t>DOT250030030</t>
  </si>
  <si>
    <t>Đồng ống thẳng 25.00x3.0x3.0</t>
  </si>
  <si>
    <t>DOT2540102</t>
  </si>
  <si>
    <t>Đồng ống thẳng 25.40x1.02</t>
  </si>
  <si>
    <t>DOT2540070</t>
  </si>
  <si>
    <t>Đồng ống thẳng 25.40x0.70</t>
  </si>
  <si>
    <t>DOT2540071</t>
  </si>
  <si>
    <t>Đồng ống thẳng 25.40x0.71</t>
  </si>
  <si>
    <t>DOT2540075</t>
  </si>
  <si>
    <t>Đồng ống thẳng 25.40x0.75</t>
  </si>
  <si>
    <t>DOT2540080</t>
  </si>
  <si>
    <t>Đồng ống thẳng 25.40x0.80</t>
  </si>
  <si>
    <t>DOT2540081</t>
  </si>
  <si>
    <t>Đồng ống thẳng 25.40x0.81</t>
  </si>
  <si>
    <t>DOT2540085</t>
  </si>
  <si>
    <t>Đồng ống thẳng 25.40x0.85</t>
  </si>
  <si>
    <t>DOT2540090</t>
  </si>
  <si>
    <t>Đồng ống thẳng 25.40x0.90</t>
  </si>
  <si>
    <t>DOT2540095</t>
  </si>
  <si>
    <t>Đồng ống thẳng 25.40x0.95</t>
  </si>
  <si>
    <t>DOT254009558</t>
  </si>
  <si>
    <t>Đồng ống thẳng 25.40x0.95x5.8</t>
  </si>
  <si>
    <t>DOT25401058</t>
  </si>
  <si>
    <t>Đồng ống thẳng 25.40x1.00x5.8</t>
  </si>
  <si>
    <t>DOT2540100</t>
  </si>
  <si>
    <t>Đồng ống thẳng 25.40x1.00</t>
  </si>
  <si>
    <t>DOT2540110</t>
  </si>
  <si>
    <t>Đồng ống thẳng 25.4x1.10</t>
  </si>
  <si>
    <t>DOT2540114</t>
  </si>
  <si>
    <t>Đồng ống thẳng 25.4x1.14</t>
  </si>
  <si>
    <t>DOT2540120</t>
  </si>
  <si>
    <t>Đồng ống thẳng 25.40x1.20</t>
  </si>
  <si>
    <t>DOT2540165</t>
  </si>
  <si>
    <t>Đồng ống thẳng 25.4x1.65</t>
  </si>
  <si>
    <t>DOT285809558</t>
  </si>
  <si>
    <t>Đồng ống thẳng 25.58x0.95x5.8</t>
  </si>
  <si>
    <t>DOT28580122</t>
  </si>
  <si>
    <t>Đồng ống thẳng 28.58x1.22</t>
  </si>
  <si>
    <t>DOT25901058</t>
  </si>
  <si>
    <t>Đồng ống thẳng 25.90x1.0x5.8</t>
  </si>
  <si>
    <t>DOT25901059</t>
  </si>
  <si>
    <t>DOT260023030</t>
  </si>
  <si>
    <t>Đồng ống thẳng 26.00x2.3x3.0</t>
  </si>
  <si>
    <t>DOT260027030</t>
  </si>
  <si>
    <t>Đồng ống thẳng 26.00x2.7x3.0</t>
  </si>
  <si>
    <t>DOT265022030</t>
  </si>
  <si>
    <t>Đồng ống thẳng 26.50x2.2x3.0</t>
  </si>
  <si>
    <t>DOT265025030</t>
  </si>
  <si>
    <t>Đồng ống thẳng 26.50x2.5x3.0</t>
  </si>
  <si>
    <t>DOT265028030</t>
  </si>
  <si>
    <t>Đồng ống thẳng 26.50x2.80x3.0</t>
  </si>
  <si>
    <t>DOT270009060</t>
  </si>
  <si>
    <t>Đồng ống thẳng 27.00x0.90x6.0</t>
  </si>
  <si>
    <t>DOT270022030</t>
  </si>
  <si>
    <t>Đồng ống thẳng 27.00x2.20x3.0</t>
  </si>
  <si>
    <t>DOT270024030</t>
  </si>
  <si>
    <t>Đồng ống thẳng 27.00x2.40x3.0</t>
  </si>
  <si>
    <t>DOT270025030</t>
  </si>
  <si>
    <t>Đồng ống thẳng 27.00x2.50x3.0</t>
  </si>
  <si>
    <t>DOT270026030</t>
  </si>
  <si>
    <t>Đồng ống thẳng 27.00x2.60x3.0</t>
  </si>
  <si>
    <t>DOT270027030</t>
  </si>
  <si>
    <t>Đồng ống thẳng 27.00x2.70x3.0</t>
  </si>
  <si>
    <t>DOT280020030</t>
  </si>
  <si>
    <t>Đồng ống thẳng 28.00X2.00x3.0</t>
  </si>
  <si>
    <t>DOT280021030</t>
  </si>
  <si>
    <t>Đồng ống thẳng 28.00X2.10x3.0</t>
  </si>
  <si>
    <t>DOT280022020</t>
  </si>
  <si>
    <t>Đồng ống thẳng 28.00x2.20x2.0</t>
  </si>
  <si>
    <t>DOT280022030</t>
  </si>
  <si>
    <t>Đồng ống thẳng 28.00X2.20x3.0</t>
  </si>
  <si>
    <t>DOT280030030</t>
  </si>
  <si>
    <t>Đồng ống thẳng 28.00X3.00x3.0</t>
  </si>
  <si>
    <t>DOT285022030</t>
  </si>
  <si>
    <t>Đồng ống thẳng 28.50x2.20x3.0</t>
  </si>
  <si>
    <t>DOT2858122</t>
  </si>
  <si>
    <t>DOT2858125</t>
  </si>
  <si>
    <t>Đồng ống thẳng 28.58x1.25</t>
  </si>
  <si>
    <t>DOT2858070</t>
  </si>
  <si>
    <t>Đồng ống thẳng 28.58x0.70</t>
  </si>
  <si>
    <t>DOT2858071</t>
  </si>
  <si>
    <t>Đồng ống thẳng 28.58x0.71</t>
  </si>
  <si>
    <t>DOT285807158</t>
  </si>
  <si>
    <t>Đồng ống thẳng 28.58x0.71x5.8</t>
  </si>
  <si>
    <t>DOT2858075</t>
  </si>
  <si>
    <t>Đồng ống thẳng 28.58x0.75</t>
  </si>
  <si>
    <t>DOT2858080</t>
  </si>
  <si>
    <t>Đồng ống thẳng 28.58x0.80</t>
  </si>
  <si>
    <t>DOT285808158</t>
  </si>
  <si>
    <t>Đồng ống thẳng 28.58x0.81x5.8</t>
  </si>
  <si>
    <t>DOT2858081</t>
  </si>
  <si>
    <t>Đồng ống thẳng 28.58x0.81</t>
  </si>
  <si>
    <t>DOT2858085</t>
  </si>
  <si>
    <t>Đồng ống thẳng 28.58x0.85</t>
  </si>
  <si>
    <t>DOT285808558</t>
  </si>
  <si>
    <t>Đồng ống thẳng 28.58x0.85x5.8</t>
  </si>
  <si>
    <t>DOT2858090</t>
  </si>
  <si>
    <t>Đồng ống thẳng 28.58x0.90</t>
  </si>
  <si>
    <t>DOT285809158</t>
  </si>
  <si>
    <t>Đồng ống thẳng 28.58x0.91x5.8</t>
  </si>
  <si>
    <t>DOT2858095</t>
  </si>
  <si>
    <t>Đồng ống thẳng 28.58x0.95</t>
  </si>
  <si>
    <t>DOT28580955.8</t>
  </si>
  <si>
    <t>Đồng ống thẳng 28.58x0.95x5.8</t>
  </si>
  <si>
    <t>DOT2858100</t>
  </si>
  <si>
    <t>Đồng ống thẳng 28.58x1.00</t>
  </si>
  <si>
    <t>DOT285810058</t>
  </si>
  <si>
    <t>Đồng ống thẳng 28.58x1.00x5.8</t>
  </si>
  <si>
    <t>DOT2858103</t>
  </si>
  <si>
    <t>Đồng ống thẳng 28.58x1.0x3</t>
  </si>
  <si>
    <t>DOT2858107</t>
  </si>
  <si>
    <t>Đồng ống thẳng 28.58x1.07</t>
  </si>
  <si>
    <t>DOT285801158</t>
  </si>
  <si>
    <t>Đồng ống thẳng 28.58x1.1x5.8</t>
  </si>
  <si>
    <t>DOT2858110</t>
  </si>
  <si>
    <t>Đồng ống thẳng 28.58x1.10</t>
  </si>
  <si>
    <t>DOT285811058</t>
  </si>
  <si>
    <t>Đồng ống thẳng 28.58x1.10x5.8</t>
  </si>
  <si>
    <t>DOT2858115</t>
  </si>
  <si>
    <t>Đồng ống thẳng 28.58x1.15</t>
  </si>
  <si>
    <t>DOT285811558</t>
  </si>
  <si>
    <t>Đồng ống thẳng 28.58x1.15x5.8</t>
  </si>
  <si>
    <t>DOT2858120</t>
  </si>
  <si>
    <t>Đồng ống thẳng 28.58x1.20</t>
  </si>
  <si>
    <t>DOT285812058</t>
  </si>
  <si>
    <t>Đồng ống thẳng 28.58x1.2x5.8</t>
  </si>
  <si>
    <t>DOT28580125</t>
  </si>
  <si>
    <t>DOT285812729</t>
  </si>
  <si>
    <t>Đồng ống thẳng 28.58x1.27x2.9</t>
  </si>
  <si>
    <t>DOT285813</t>
  </si>
  <si>
    <t>Đồng ống thẳng 28.58x1.3</t>
  </si>
  <si>
    <t>DOT2858135</t>
  </si>
  <si>
    <t>Đồng ống thẳng 28.58x1.35</t>
  </si>
  <si>
    <t>DOT2858140</t>
  </si>
  <si>
    <t>Đồng ống thẳng 28.58x1.40</t>
  </si>
  <si>
    <t>DOT285814058</t>
  </si>
  <si>
    <t>Đồng ống thẳng 28.58x1.40x5.8</t>
  </si>
  <si>
    <t>DOT285815</t>
  </si>
  <si>
    <t>Đồng ống thẳng 28.58x1.5</t>
  </si>
  <si>
    <t>DOT2858165</t>
  </si>
  <si>
    <t>Đồng ống thẳng 28.58x1.65</t>
  </si>
  <si>
    <t>DOT285828020</t>
  </si>
  <si>
    <t>Đồng ống thẳng 28.58x2.80x2.0</t>
  </si>
  <si>
    <t>DOT290022030</t>
  </si>
  <si>
    <t>Đồng ống thẳng 29.00x2.20x3.0</t>
  </si>
  <si>
    <t>DOT290022530</t>
  </si>
  <si>
    <t>Đồng ống thẳng 29.00x2.25x3.0</t>
  </si>
  <si>
    <t>DOT290023030</t>
  </si>
  <si>
    <t>Đồng ống thẳng 29.00x2.30x3.0</t>
  </si>
  <si>
    <t>DOT290023530</t>
  </si>
  <si>
    <t>Đồng ống thẳng 29.00x2.35x3.0</t>
  </si>
  <si>
    <t>DOT290024030</t>
  </si>
  <si>
    <t>Đồng ống thẳng 29.00x2.40x3.0</t>
  </si>
  <si>
    <t>DOT2900243</t>
  </si>
  <si>
    <t>Đồng ống thẳng 29.00x2.4x3</t>
  </si>
  <si>
    <t>DOT29002453</t>
  </si>
  <si>
    <t>Đồng ống thẳng 29.00x2.45x3.0</t>
  </si>
  <si>
    <t>DOT290028030</t>
  </si>
  <si>
    <t>Đồng ống thẳng 29.00x2.80x3.0</t>
  </si>
  <si>
    <t>DOT290030030</t>
  </si>
  <si>
    <t>Đồng ống thẳng 29.00x3.00x3.0</t>
  </si>
  <si>
    <t>DOT290031030</t>
  </si>
  <si>
    <t>Đồng ống thẳng 29.00x3.10x3.0</t>
  </si>
  <si>
    <t>DOT295031030</t>
  </si>
  <si>
    <t>Đồng ống thẳng 29.50x3.10x3.0</t>
  </si>
  <si>
    <t>DOT300015030</t>
  </si>
  <si>
    <t>Đồng ống thẳng 30.00x1.50x3.0</t>
  </si>
  <si>
    <t>DOT300020030</t>
  </si>
  <si>
    <t>Đồng ống thẳng 30.00x2.00x3.0</t>
  </si>
  <si>
    <t>DOT300025030</t>
  </si>
  <si>
    <t>Đồng ống thẳng 30.00x2.50x3.0</t>
  </si>
  <si>
    <t>DOT300028030</t>
  </si>
  <si>
    <t>Đồng ống thẳng 30.00x2.80x3.0</t>
  </si>
  <si>
    <t>DOT300030030</t>
  </si>
  <si>
    <t>Đồng ống thẳng 30.00x3.00x3.0</t>
  </si>
  <si>
    <t>DOT300032030</t>
  </si>
  <si>
    <t>Đồng ống thẳng 30.00x3.20x3.0</t>
  </si>
  <si>
    <t>DOT300032530</t>
  </si>
  <si>
    <t>Đồng ống thẳng 30.00x3.25x3.0</t>
  </si>
  <si>
    <t>DOT300035020</t>
  </si>
  <si>
    <t>Đồng ống thẳng 30.00x3.50x2.0</t>
  </si>
  <si>
    <t>DOT305024030</t>
  </si>
  <si>
    <t>Đồng ống thẳng 30.50x2.40x3.0</t>
  </si>
  <si>
    <t>DOT305032530</t>
  </si>
  <si>
    <t>Đồng ống thẳng 30.50x3.25x3.0</t>
  </si>
  <si>
    <t>DOT3175070</t>
  </si>
  <si>
    <t>Đồng ống thẳng 31.75x0.70</t>
  </si>
  <si>
    <t>DOT158806142</t>
  </si>
  <si>
    <t>Đồng ống thẳng 31.75x0.71x2.8</t>
  </si>
  <si>
    <t>DOT317507128</t>
  </si>
  <si>
    <t>DOT3175075</t>
  </si>
  <si>
    <t>Đồng ống thẳng 31.75x0.75</t>
  </si>
  <si>
    <t>DOT3175080</t>
  </si>
  <si>
    <t>Đồng ống thẳng 31.75x0.80</t>
  </si>
  <si>
    <t>DOT3175085</t>
  </si>
  <si>
    <t>Đồng ống thẳng 31.75x0.85</t>
  </si>
  <si>
    <t>DOT3175090</t>
  </si>
  <si>
    <t>Đồng ống thẳng 31.75x0.90</t>
  </si>
  <si>
    <t>DOT3175095</t>
  </si>
  <si>
    <t>Đồng ống thẳng 31.75x0.95</t>
  </si>
  <si>
    <t>DOT317510058</t>
  </si>
  <si>
    <t>Đồng ống thẳng 31.75x1.00x5.8</t>
  </si>
  <si>
    <t>DOT3175100</t>
  </si>
  <si>
    <t>Đồng ống thẳng 31.75x1.00</t>
  </si>
  <si>
    <t>DOT3175110</t>
  </si>
  <si>
    <t>Đồng ống thẳng 31.75x1.1</t>
  </si>
  <si>
    <t>DOT31751158</t>
  </si>
  <si>
    <t>Đồng ống thẳng 31.75x1.1x5.8</t>
  </si>
  <si>
    <t>DOT3175115</t>
  </si>
  <si>
    <t>Đồng ống thẳng 31.75x1.15</t>
  </si>
  <si>
    <t>DOT317512058</t>
  </si>
  <si>
    <t>Đồng ống thẳng 31.75x1.20x5.8</t>
  </si>
  <si>
    <t>DOT3175120</t>
  </si>
  <si>
    <t>Đồng ống thẳng 31.75x1.20</t>
  </si>
  <si>
    <t>DOT3175122</t>
  </si>
  <si>
    <t>Đồng ống thẳng 31.75x1.22</t>
  </si>
  <si>
    <t>DOT3175127</t>
  </si>
  <si>
    <t>Đồng ống thẳng 31.75x1.27</t>
  </si>
  <si>
    <t>DOT3175113</t>
  </si>
  <si>
    <t>Đồng ống thẳng 31.75x1.3</t>
  </si>
  <si>
    <t>DOT3175135</t>
  </si>
  <si>
    <t>Đồng ống thẳng 31.75x1.35</t>
  </si>
  <si>
    <t>DOT3175140</t>
  </si>
  <si>
    <t>Đồng ống thẳng 31.75x1.4</t>
  </si>
  <si>
    <t>DOT3175165</t>
  </si>
  <si>
    <t>Đồng ống thẳng 31.75x1.65</t>
  </si>
  <si>
    <t>DOT318075</t>
  </si>
  <si>
    <t>Đồng ống thẳng 31.8x0.75</t>
  </si>
  <si>
    <t>DOT32002430</t>
  </si>
  <si>
    <t>Đồng ống thẳng 32.00x2.4x3.0</t>
  </si>
  <si>
    <t>DOT33002230</t>
  </si>
  <si>
    <t>Đồng ống thẳng 33.00x2.2x3.0</t>
  </si>
  <si>
    <t>DOT330023030</t>
  </si>
  <si>
    <t>Đồng ống thẳng 33.00x2.30x3.0</t>
  </si>
  <si>
    <t>DOT33002530</t>
  </si>
  <si>
    <t>Đồng ống thẳng 33.00x2.50x3.0</t>
  </si>
  <si>
    <t>DOT330026030</t>
  </si>
  <si>
    <t>Đồng ống thẳng 33.00x2.60x3.0</t>
  </si>
  <si>
    <t>DOT330027030</t>
  </si>
  <si>
    <t>Đồng ống thẳng 33.00x2.70x3.0</t>
  </si>
  <si>
    <t>DOT33003030</t>
  </si>
  <si>
    <t>Đồng ống thẳng 33.00x3.0x3.0</t>
  </si>
  <si>
    <t>DOT340032030</t>
  </si>
  <si>
    <t>Đồng ống thẳng 34.00x3.20x3.0</t>
  </si>
  <si>
    <t>DOT34909558</t>
  </si>
  <si>
    <t>Đồng ống thẳng 34.9x0.95x5.8</t>
  </si>
  <si>
    <t>DOT349011558</t>
  </si>
  <si>
    <t>Đồng ống thẳng 34.9x1.15x5.8</t>
  </si>
  <si>
    <t>DOT349123</t>
  </si>
  <si>
    <t>Đồng ống thẳng 34.9x1.2x3.0</t>
  </si>
  <si>
    <t>DOT34901358</t>
  </si>
  <si>
    <t>Đồng ống thẳng 34.90x1.3x5.8</t>
  </si>
  <si>
    <t>DOT349016</t>
  </si>
  <si>
    <t>Đồng ống thẳng 34.9x1.6</t>
  </si>
  <si>
    <t>DOT3490142</t>
  </si>
  <si>
    <t>Đồng ống thẳng 34.93x1.42</t>
  </si>
  <si>
    <t>DOT3490070</t>
  </si>
  <si>
    <t>Đồng ống thẳng 34.93x0.70</t>
  </si>
  <si>
    <t>DOT3493071</t>
  </si>
  <si>
    <t>Đồng ống thẳng 34.93x0.71</t>
  </si>
  <si>
    <t>DOT3490075</t>
  </si>
  <si>
    <t>Đồng ống thẳng 34.93x0.75</t>
  </si>
  <si>
    <t>DOT3490080</t>
  </si>
  <si>
    <t>Đồng ống thẳng 34.93x0.80</t>
  </si>
  <si>
    <t>DOT3493081</t>
  </si>
  <si>
    <t>Đồng ống thẳng 34.93x0.81</t>
  </si>
  <si>
    <t>DOT3490090</t>
  </si>
  <si>
    <t>Đồng ống thẳng 34.93x0.90</t>
  </si>
  <si>
    <t>DOT3490095</t>
  </si>
  <si>
    <t>Đồng ống thẳng 34.93x0.95</t>
  </si>
  <si>
    <t>DOT3493100</t>
  </si>
  <si>
    <t>Đồng ống thẳng 34.93x1.00</t>
  </si>
  <si>
    <t>DOT3493103</t>
  </si>
  <si>
    <t>Đồng ống thẳng 34.93x1.00x3.0</t>
  </si>
  <si>
    <t>DOT349010058</t>
  </si>
  <si>
    <t>Đồng ống thẳng 34.93x1.00x5.8</t>
  </si>
  <si>
    <t>DOT3493107</t>
  </si>
  <si>
    <t>Đồng ống thẳng 34.93x1.07</t>
  </si>
  <si>
    <t>DOT3493110</t>
  </si>
  <si>
    <t>Đồng ống thẳng 34.93x1.10</t>
  </si>
  <si>
    <t>DOT349011058</t>
  </si>
  <si>
    <t>Đồng ống thẳng 34.93x1.10x5.8</t>
  </si>
  <si>
    <t>DOT3490115</t>
  </si>
  <si>
    <t>Đồng ống thẳng 34.93x1.15</t>
  </si>
  <si>
    <t>DOT3493115</t>
  </si>
  <si>
    <t>Đồng ống thẳng 34.93x1.15x2.9</t>
  </si>
  <si>
    <t>DOT3493120</t>
  </si>
  <si>
    <t>Đồng ống thẳng 34.93x1.20</t>
  </si>
  <si>
    <t>DOT349012058</t>
  </si>
  <si>
    <t>Đồng ống thẳng 34.93x1.20x5.8</t>
  </si>
  <si>
    <t>DOT3490122</t>
  </si>
  <si>
    <t>Đồng ống thẳng 34.93x1.22</t>
  </si>
  <si>
    <t>DOT3493127</t>
  </si>
  <si>
    <t>Đồng ống thẳng 34.93x1.27</t>
  </si>
  <si>
    <t>DOT3493130</t>
  </si>
  <si>
    <t>Đồng ống thẳng 34.93x1.3</t>
  </si>
  <si>
    <t>DOT3490135</t>
  </si>
  <si>
    <t>Đồng ống thẳng 34.93x1.35</t>
  </si>
  <si>
    <t>DOT349013558</t>
  </si>
  <si>
    <t>Đồng ống thẳng 34.93x1.35x5.8</t>
  </si>
  <si>
    <t>DOT349014058</t>
  </si>
  <si>
    <t>Đồng ống thẳng 34.93x1.40x5.8</t>
  </si>
  <si>
    <t>DOT3493140</t>
  </si>
  <si>
    <t>Đồng ống thẳng 34.93x1.40</t>
  </si>
  <si>
    <t>DOT3493143</t>
  </si>
  <si>
    <t>Đồng ống thẳng 34.93x1.43</t>
  </si>
  <si>
    <t>DOT3490150</t>
  </si>
  <si>
    <t>Đồng ống thẳng 34.93x1.50</t>
  </si>
  <si>
    <t>DOT34931503</t>
  </si>
  <si>
    <t>Đồng ống thẳng 34.93x1.50x3.0</t>
  </si>
  <si>
    <t>DOT3493160</t>
  </si>
  <si>
    <t>Đồng ống thẳng 34.93x1.60</t>
  </si>
  <si>
    <t>DOT3493165</t>
  </si>
  <si>
    <t>Đồng ống thẳng 34.93x1.65</t>
  </si>
  <si>
    <t>DOT350032030</t>
  </si>
  <si>
    <t>Đồng ống thẳng 35.00x3.00x3.0</t>
  </si>
  <si>
    <t>DOT380030030</t>
  </si>
  <si>
    <t>Đồng ống thẳng 38.00x3.0x3.0</t>
  </si>
  <si>
    <t>DOT3810070(NM)</t>
  </si>
  <si>
    <t>Đồng ống thẳng 38.10x0.70</t>
  </si>
  <si>
    <t>DOT3810081</t>
  </si>
  <si>
    <t>Đồng ống thẳng 38.10x0.81</t>
  </si>
  <si>
    <t>DOT3810095</t>
  </si>
  <si>
    <t>Đồng ống thẳng 38.10x0.95</t>
  </si>
  <si>
    <t>DOT3810100</t>
  </si>
  <si>
    <t>Đồng ống thẳng 38.10x1.00</t>
  </si>
  <si>
    <t>DOT381010058</t>
  </si>
  <si>
    <t>Đồng ống thẳng 38.10x1.00x5.8</t>
  </si>
  <si>
    <t>DOT3810110</t>
  </si>
  <si>
    <t>Đồng ống thẳng 38.10x1.10</t>
  </si>
  <si>
    <t>DOT3810115</t>
  </si>
  <si>
    <t>Đồng ống thẳng 38.10x1.15</t>
  </si>
  <si>
    <t>DOT3810120(NM)</t>
  </si>
  <si>
    <t>Đồng ống thẳng 38.10x1.20</t>
  </si>
  <si>
    <t>DOT3810130</t>
  </si>
  <si>
    <t>Đồng ống thẳng 38.10x1.30</t>
  </si>
  <si>
    <t>DOT381013058</t>
  </si>
  <si>
    <t>Đồng ống thẳng 38.10x1.30x5.8</t>
  </si>
  <si>
    <t>DOT3811358</t>
  </si>
  <si>
    <t>Đồng ống thẳng 38.1x1.3x5.8</t>
  </si>
  <si>
    <t>DOT3810135</t>
  </si>
  <si>
    <t>Đồng ống thẳng 38.10x1.35</t>
  </si>
  <si>
    <t>DOT381013558</t>
  </si>
  <si>
    <t>Đồng ống thẳng 38.10x1.35x5.8</t>
  </si>
  <si>
    <t>DOT381014058</t>
  </si>
  <si>
    <t>Đồng ống thẳng 38.10x1.40x5.8</t>
  </si>
  <si>
    <t>DOT3810140</t>
  </si>
  <si>
    <t>Đồng ống thẳng 38.10x1.40</t>
  </si>
  <si>
    <t>DOT3810150</t>
  </si>
  <si>
    <t>Đồng ống thẳng 38.10x1.50</t>
  </si>
  <si>
    <t>DOT4128080(NM)</t>
  </si>
  <si>
    <t>Đồng ống thẳng 41.28x0.80</t>
  </si>
  <si>
    <t>DOT4128081</t>
  </si>
  <si>
    <t>Đồng ống thẳng 41.28x0.81</t>
  </si>
  <si>
    <t>DOT412808158</t>
  </si>
  <si>
    <t>Đồng ống thẳng 41.28x0.81x5.8</t>
  </si>
  <si>
    <t>DOT4128085</t>
  </si>
  <si>
    <t>Đồng ống thẳng 41.28x0.85</t>
  </si>
  <si>
    <t>DOT4128095</t>
  </si>
  <si>
    <t>Đồng ống thẳng 41.28x0.95</t>
  </si>
  <si>
    <t>DOT41281058</t>
  </si>
  <si>
    <t>Đồng ống thẳng 41.28x1.0x5.8</t>
  </si>
  <si>
    <t>DOT4128100</t>
  </si>
  <si>
    <t>Đồng ống thẳng 41.28x1.00</t>
  </si>
  <si>
    <t>DOT4128107</t>
  </si>
  <si>
    <t>Đồng ống thẳng 41.28x1.07</t>
  </si>
  <si>
    <t>DOT4128110</t>
  </si>
  <si>
    <t>Đồng ống thẳng 41.28x1.10</t>
  </si>
  <si>
    <t>DOT4128115</t>
  </si>
  <si>
    <t>Đồng ống thẳng 41.28x1.15</t>
  </si>
  <si>
    <t>DOT4128120(NM)</t>
  </si>
  <si>
    <t>Đồng ống thẳng 41.28x1.20</t>
  </si>
  <si>
    <t>DOT412812058</t>
  </si>
  <si>
    <t>Đồng ống thẳng 41.28x1.20x5.8</t>
  </si>
  <si>
    <t>DOT412813</t>
  </si>
  <si>
    <t>Đồng ống thẳng 41.28x1.3</t>
  </si>
  <si>
    <t>DOT4128135(NM)</t>
  </si>
  <si>
    <t>Đồng ống thẳng 41.28x1.35</t>
  </si>
  <si>
    <t>DOT4128140</t>
  </si>
  <si>
    <t>Đồng ống thẳng 41.28x1.40</t>
  </si>
  <si>
    <t>DOT412814058</t>
  </si>
  <si>
    <t>Đồng ống thẳng 41.28x1.40x5.8</t>
  </si>
  <si>
    <t>DOT4128142</t>
  </si>
  <si>
    <t>Đồng ống thẳng 41.28x1.42</t>
  </si>
  <si>
    <t>DOT4128143</t>
  </si>
  <si>
    <t>Đồng ống thẳng 41.28x1.43</t>
  </si>
  <si>
    <t>DOT4128145</t>
  </si>
  <si>
    <t>Đồng ống thẳng 41.28x1.45</t>
  </si>
  <si>
    <t>DOT412814558</t>
  </si>
  <si>
    <t>Đồng ống thẳng 41.28x1.45x5.8</t>
  </si>
  <si>
    <t>DOT4128150</t>
  </si>
  <si>
    <t>Đồng ống thẳng 41.28x1.50</t>
  </si>
  <si>
    <t>DOT41281558</t>
  </si>
  <si>
    <t>Đồng ống thẳng 41.28x1.5x5.8</t>
  </si>
  <si>
    <t>DOT4128152</t>
  </si>
  <si>
    <t>Đồng ống thẳng 41.28x1.52</t>
  </si>
  <si>
    <t>DOT4128153</t>
  </si>
  <si>
    <t>Đồng ống thẳng 41.28x1.53</t>
  </si>
  <si>
    <t>DOT4128155</t>
  </si>
  <si>
    <t>Đồng ống thẳng 41.28x1.55</t>
  </si>
  <si>
    <t>DOT4128160</t>
  </si>
  <si>
    <t>Đồng ống thẳng 41.28x1.60</t>
  </si>
  <si>
    <t>DOT4128180</t>
  </si>
  <si>
    <t>Đồng ống thẳng 41.28x1.80</t>
  </si>
  <si>
    <t>DOT412818030</t>
  </si>
  <si>
    <t>Đồng ống thẳng 41.28x1.80x3.0</t>
  </si>
  <si>
    <t>DOT4128183</t>
  </si>
  <si>
    <t>Đồng ống thẳng 41.28x1.83</t>
  </si>
  <si>
    <t>DOT412820029</t>
  </si>
  <si>
    <t>Đồng ống thẳng 41.28x2.00</t>
  </si>
  <si>
    <t>DOT42001829</t>
  </si>
  <si>
    <t>Đồng ống thẳng 42.00x1.80x2.9</t>
  </si>
  <si>
    <t>DOT42001830</t>
  </si>
  <si>
    <t>Đồng ống thẳng 42.00x1.80x3.0</t>
  </si>
  <si>
    <t>DOT420020030</t>
  </si>
  <si>
    <t>Đồng ống thẳng 42.00x2.00x3.0</t>
  </si>
  <si>
    <t>DOT420025029</t>
  </si>
  <si>
    <t>Đồng ống thẳng 42.00x2.50x2.9</t>
  </si>
  <si>
    <t>DOT442813529</t>
  </si>
  <si>
    <t>Đồng ống thẳng 44x1.35( 2.9m)</t>
  </si>
  <si>
    <t>DOT4428115(2.9)</t>
  </si>
  <si>
    <t>Đồng ống thẳng 44.28x1.15 (2.9m)</t>
  </si>
  <si>
    <t>DOT44451558</t>
  </si>
  <si>
    <t>Đồng ống thẳng 44.45x1.5x5.8</t>
  </si>
  <si>
    <t>DOT445115</t>
  </si>
  <si>
    <t>Đồng ống thẳng 44.5x1.15</t>
  </si>
  <si>
    <t>DOT4450120</t>
  </si>
  <si>
    <t>Đồng ống thẳng 44.50x1.20</t>
  </si>
  <si>
    <t>DOT445014058</t>
  </si>
  <si>
    <t>Đồng ống thẳng 44.50x1.40x5.8</t>
  </si>
  <si>
    <t>DOT4451403</t>
  </si>
  <si>
    <t>Đồng ống thẳng 44.5x1.40x3m</t>
  </si>
  <si>
    <t>DOT4450140</t>
  </si>
  <si>
    <t>Đồng ống thẳng 44.50x1.40</t>
  </si>
  <si>
    <t>DOT44514029</t>
  </si>
  <si>
    <t>Đồng ống thẳng 44.5x1.40 2.9m</t>
  </si>
  <si>
    <t>DOT4450143</t>
  </si>
  <si>
    <t>Đồng ống thẳng 44.50x1.43</t>
  </si>
  <si>
    <t>DOT445150</t>
  </si>
  <si>
    <t>Đồng ống thẳng 44.5x1.50</t>
  </si>
  <si>
    <t>DOT44515058</t>
  </si>
  <si>
    <t>Đồng ống thẳng 44.5x1.5x5.8</t>
  </si>
  <si>
    <t>DOT4450250</t>
  </si>
  <si>
    <t>Đồng ống thẳng 44.50x2.50</t>
  </si>
  <si>
    <t>DOT4515558</t>
  </si>
  <si>
    <t>Đồng ống thẳng 45x1.55x5.8</t>
  </si>
  <si>
    <t>DOT5080211</t>
  </si>
  <si>
    <t>Đồng ống thẳng 50.80x2.11</t>
  </si>
  <si>
    <t>DOT5393095</t>
  </si>
  <si>
    <t>Đồng ống thẳng 53.93x0.95</t>
  </si>
  <si>
    <t>DOT5393115</t>
  </si>
  <si>
    <t>Đồng ống thẳng 53.93x1.15</t>
  </si>
  <si>
    <t>DOT5398211</t>
  </si>
  <si>
    <t>Đồng ống thẳng 53.98x2.11</t>
  </si>
  <si>
    <t>DOT5398090</t>
  </si>
  <si>
    <t>Đồng ống thẳng 53.98x0.90</t>
  </si>
  <si>
    <t>DOT5398095</t>
  </si>
  <si>
    <t>Đồng ống thẳng 53.98x0.95</t>
  </si>
  <si>
    <t>DOT5398100</t>
  </si>
  <si>
    <t>Đồng ống thẳng 53.98x1.00</t>
  </si>
  <si>
    <t>DOT5398115</t>
  </si>
  <si>
    <t>Đồng ống thẳng 53.98x1.15</t>
  </si>
  <si>
    <t>DOT5398120</t>
  </si>
  <si>
    <t>Đồng ống thẳng 53.98x1.20</t>
  </si>
  <si>
    <t>DOT5398125</t>
  </si>
  <si>
    <t>Đồng ống thẳng 53.98x1.25</t>
  </si>
  <si>
    <t>DOT5398130</t>
  </si>
  <si>
    <t>Đồng ống thẳng 53.98x1.30</t>
  </si>
  <si>
    <t>DOT5398135</t>
  </si>
  <si>
    <t>Đồng ống thẳng 53.98x1.35</t>
  </si>
  <si>
    <t>DOT5398140</t>
  </si>
  <si>
    <t>Đồng ống thẳng 53.98x1.40</t>
  </si>
  <si>
    <t>DOT5398145</t>
  </si>
  <si>
    <t>Đồng ống thẳng 53.98x1.45</t>
  </si>
  <si>
    <t>DOT5398150</t>
  </si>
  <si>
    <t>Đồng ống thẳng 53.98x1.50</t>
  </si>
  <si>
    <t>DOT5398160</t>
  </si>
  <si>
    <t>Đồng ống thẳng 53.98x1.60</t>
  </si>
  <si>
    <t>DOT5398165</t>
  </si>
  <si>
    <t>Đồng ống thẳng 53.98x1.65</t>
  </si>
  <si>
    <t>DOT5398165TP</t>
  </si>
  <si>
    <t>DOT5398170</t>
  </si>
  <si>
    <t>Đồng ống thẳng 53.98x1.70</t>
  </si>
  <si>
    <t>DOT539818</t>
  </si>
  <si>
    <t>Đồng ống thẳng 53.98x1.8</t>
  </si>
  <si>
    <t>DOT5398185</t>
  </si>
  <si>
    <t>Đồng ống thẳng 53.98x1.85</t>
  </si>
  <si>
    <t>DOT540012</t>
  </si>
  <si>
    <t>Đồng ống thẳng 54x1.2x2.9</t>
  </si>
  <si>
    <t>DOT631429</t>
  </si>
  <si>
    <t>Đồng ống thẳng 63.00x1.40x2.9</t>
  </si>
  <si>
    <t>ĐTPBANH</t>
  </si>
  <si>
    <t>DOLWC0160050</t>
  </si>
  <si>
    <t>Đồng cuộn LWC 1.60x0.50</t>
  </si>
  <si>
    <t>DOLWC0194061</t>
  </si>
  <si>
    <t>Đồng cuộn LWC 1.94x0.61</t>
  </si>
  <si>
    <t>DOLWC0250050</t>
  </si>
  <si>
    <t>Đồng cuộn LWC 2.50x0.50</t>
  </si>
  <si>
    <t>DOLWC0300040</t>
  </si>
  <si>
    <t>Đồng cuộn LWC 03.00x0.40</t>
  </si>
  <si>
    <t>DOLWC0350040</t>
  </si>
  <si>
    <t>Đồng cuộn LWC 03.50x0.40</t>
  </si>
  <si>
    <t>DOLWC0350045</t>
  </si>
  <si>
    <t>Đồng cuộn LWC 03.50x0.45</t>
  </si>
  <si>
    <t>DOLWC0400050</t>
  </si>
  <si>
    <t>Đồng cuộn LWC 04.00x0.50</t>
  </si>
  <si>
    <t>DOLWC0400100</t>
  </si>
  <si>
    <t>Đồng cuộn LWC 04.00x1.0</t>
  </si>
  <si>
    <t>DOLWC0476051</t>
  </si>
  <si>
    <t>Đồng cuộn LWC 04.76x0.51</t>
  </si>
  <si>
    <t>DOLWC0500041</t>
  </si>
  <si>
    <t>Đồng cuộn LWC 5.00x0.41</t>
  </si>
  <si>
    <t>DOLWC0500051</t>
  </si>
  <si>
    <t>Đồng cuộn LWC 5.00x0.51</t>
  </si>
  <si>
    <t>DOLWC0550051</t>
  </si>
  <si>
    <t>Đồng cuộn LWC 5.50x0.51</t>
  </si>
  <si>
    <t>DOLWC0600041</t>
  </si>
  <si>
    <t>Đồng cuộn LWC 06.00x0.41</t>
  </si>
  <si>
    <t>DOLWC0600061</t>
  </si>
  <si>
    <t>Đồng cuộn LWC 06.00x0.61</t>
  </si>
  <si>
    <t>DOLWC060010</t>
  </si>
  <si>
    <t>Đồng ống LWC 06.00x1.00</t>
  </si>
  <si>
    <t>DOLWC0635035</t>
  </si>
  <si>
    <t>Đồng cuộn LWC 06.35x0.35</t>
  </si>
  <si>
    <t>DOLWC063504</t>
  </si>
  <si>
    <t>Đồng cuộn LWC 06.35x0.4</t>
  </si>
  <si>
    <t>DOLWC0635046</t>
  </si>
  <si>
    <t>Đồng cuộn LWC 06.35x0.46</t>
  </si>
  <si>
    <t>DOLWC0635050</t>
  </si>
  <si>
    <t>Đồng cuộn LWC06.35x0.50</t>
  </si>
  <si>
    <t>DOBKILWC0635055</t>
  </si>
  <si>
    <t>Đồng ống LWC KHÔNG IN 06.35x0.55</t>
  </si>
  <si>
    <t>DOLWC650055</t>
  </si>
  <si>
    <t>Đồng ống LWC 6.50x0.55</t>
  </si>
  <si>
    <t>LWC0635055</t>
  </si>
  <si>
    <t>Đồng ống LWC 06.35x0.55</t>
  </si>
  <si>
    <t>LWC0635056</t>
  </si>
  <si>
    <t>Đồng cuộn LWC 06.35x0.56</t>
  </si>
  <si>
    <t>DOLWC063506</t>
  </si>
  <si>
    <t>Đồng cuộn LWC 06.35x0.6</t>
  </si>
  <si>
    <t>DOBKILWC0635061</t>
  </si>
  <si>
    <t>Đồng ống LWC KHÔNG IN 06.35x0.61</t>
  </si>
  <si>
    <t>DOLWC0635061</t>
  </si>
  <si>
    <t>Đồng cuộn LWC 06.35x0.61</t>
  </si>
  <si>
    <t>DOBKILWC0635065</t>
  </si>
  <si>
    <t>Đồng ống LWC KHÔNG IN 06.35x0.65</t>
  </si>
  <si>
    <t>DOLWC0635065</t>
  </si>
  <si>
    <t>Đồng cuộn LWC 06.35x0.65</t>
  </si>
  <si>
    <t>DOBKILWC635071</t>
  </si>
  <si>
    <t>Đồng ống LWC KHÔNG IN 06.35x0.71</t>
  </si>
  <si>
    <t>DOLWC0635071</t>
  </si>
  <si>
    <t>Đồng cuộn LWC 06.35x0.71</t>
  </si>
  <si>
    <t>DOBKILWC635075</t>
  </si>
  <si>
    <t>Đồng ống LWC KHÔNG IN 06.35x0.75</t>
  </si>
  <si>
    <t>DOLWC0635076</t>
  </si>
  <si>
    <t>Đồng cuộn LWC 06.35x0.76</t>
  </si>
  <si>
    <t>DOLWC635081</t>
  </si>
  <si>
    <t>Đồng ống LWC 6.35x0.81</t>
  </si>
  <si>
    <t>DOLWC06506</t>
  </si>
  <si>
    <t>Đồng cuộn LWC 06.5x0.6</t>
  </si>
  <si>
    <t>DOLWC0794061</t>
  </si>
  <si>
    <t>Đồng cuộn LWC 07.94x0.61</t>
  </si>
  <si>
    <t>DOLWC080010</t>
  </si>
  <si>
    <t>Đồng ống LWC 08.00x1.00</t>
  </si>
  <si>
    <t>DOLWC0952035</t>
  </si>
  <si>
    <t>Đồng ống LWC 09.52x0.35</t>
  </si>
  <si>
    <t>DOLWC952035</t>
  </si>
  <si>
    <t>Đồng cuộn LWC 09.52x0.35</t>
  </si>
  <si>
    <t>DOLWC0952041</t>
  </si>
  <si>
    <t>Đồng cuộn LWC 09.52x0.41</t>
  </si>
  <si>
    <t>DOLWC0952050</t>
  </si>
  <si>
    <t>Đồng cuộn LWC 09.52x0.50</t>
  </si>
  <si>
    <t>DOLWC0952051</t>
  </si>
  <si>
    <t>Đồng cuộn LWC 09.52x0.51</t>
  </si>
  <si>
    <t>DOBKILWC0952055</t>
  </si>
  <si>
    <t>Đồng ống LWC KHÔNG IN 09.52x0.55</t>
  </si>
  <si>
    <t>LWC0952055</t>
  </si>
  <si>
    <t>Đồng ống LWC 09.52x0.55</t>
  </si>
  <si>
    <t>LWC0952056</t>
  </si>
  <si>
    <t>Đồng cuộn LWC 09.52x0.56</t>
  </si>
  <si>
    <t>DOLWC0952060</t>
  </si>
  <si>
    <t>Đồng cuộn LWC 9.52x0.60</t>
  </si>
  <si>
    <t>LWC0952060</t>
  </si>
  <si>
    <t>Đồng ống LWC 09.52x0.60</t>
  </si>
  <si>
    <t>DOBKILWC0952061</t>
  </si>
  <si>
    <t>Đồng ống LWC KHÔNG IN 09.52x0.61</t>
  </si>
  <si>
    <t>LWC0952061</t>
  </si>
  <si>
    <t>Đồng cuộn LWC 9.52x0.61</t>
  </si>
  <si>
    <t>DOBKILWC0952065</t>
  </si>
  <si>
    <t>Đồng ống LWC KHÔNG IN 09.52x0.65</t>
  </si>
  <si>
    <t>DOLWC0952065</t>
  </si>
  <si>
    <t>Đồng cuộn LWC 09.52x0.65</t>
  </si>
  <si>
    <t>DOLWC952070</t>
  </si>
  <si>
    <t>Đồng ống LWC 9.52x0.7</t>
  </si>
  <si>
    <t>DOBKILWC952071</t>
  </si>
  <si>
    <t>Đồng ống LWC KHÔNG IN 09.52x0.71</t>
  </si>
  <si>
    <t>DOLWC0952071</t>
  </si>
  <si>
    <t>Đồng cuộn LWC 09.52x0.71</t>
  </si>
  <si>
    <t>DOBKILWC952075</t>
  </si>
  <si>
    <t>Đồng ống LWC KHÔNG IN 09.52x0.75</t>
  </si>
  <si>
    <t>DOLWC952080</t>
  </si>
  <si>
    <t>Đồng ống LWC 9.52x0.80</t>
  </si>
  <si>
    <t>DOBKILWC952081</t>
  </si>
  <si>
    <t>Đồng ống LWC KHÔNG IN 09.52x0.81</t>
  </si>
  <si>
    <t>DOLWC952081</t>
  </si>
  <si>
    <t>Đồng ống LWC 9.52x0.81</t>
  </si>
  <si>
    <t>LWC0952091</t>
  </si>
  <si>
    <t>Đồng cuộn LWC 9.52x0.91</t>
  </si>
  <si>
    <t>LWC1000100</t>
  </si>
  <si>
    <t>Đồng cuộn LWC 10.00x1.00</t>
  </si>
  <si>
    <t>DOLWC1000150</t>
  </si>
  <si>
    <t>Đồng cuộn LWC 10.00x1.50</t>
  </si>
  <si>
    <t>DOLWC12.7055</t>
  </si>
  <si>
    <t>đồng LWC 12.07x0.55</t>
  </si>
  <si>
    <t>DOLWC12.7060</t>
  </si>
  <si>
    <t>đồng LWC12.07c0.60</t>
  </si>
  <si>
    <t>DOLWC127050</t>
  </si>
  <si>
    <t>Đồng ống LWC 12.7x0.50</t>
  </si>
  <si>
    <t>DOLWC1270061</t>
  </si>
  <si>
    <t>Đồng cuộn LWC 12.70x0.61</t>
  </si>
  <si>
    <t>DOBKILWC1270061</t>
  </si>
  <si>
    <t>Đồng ống LWC KHÔNG IN 12.70x0.61</t>
  </si>
  <si>
    <t>DOBKILWC1270065</t>
  </si>
  <si>
    <t>Đồng ống LWC KHÔNG IN 12.70x0.65</t>
  </si>
  <si>
    <t>DOLWC1270065</t>
  </si>
  <si>
    <t>Đồng cuộn LWC 12.70x0.65</t>
  </si>
  <si>
    <t>DOLWC1270066</t>
  </si>
  <si>
    <t>Đồng cuộn LWC 12.70x0.66</t>
  </si>
  <si>
    <t>DOLWC127070</t>
  </si>
  <si>
    <t>Đồng ống LWC 12.7x0.70</t>
  </si>
  <si>
    <t>DOBKILWC1270071</t>
  </si>
  <si>
    <t>Đồng ống LWC KHÔNG IN 12.70x0.71</t>
  </si>
  <si>
    <t>DOLWC127071</t>
  </si>
  <si>
    <t>Đồng cuộn LWC 12.70x0.71</t>
  </si>
  <si>
    <t>DOBKILWC1270081</t>
  </si>
  <si>
    <t>Đồng ống LWC KHÔNG IN 12.70x0.81</t>
  </si>
  <si>
    <t>DOLWC127081</t>
  </si>
  <si>
    <t>Đồng ống LWC 12.7x0.81</t>
  </si>
  <si>
    <t>DOLWC1588050</t>
  </si>
  <si>
    <t>Đồng cuộn LWC 15.88x0.50</t>
  </si>
  <si>
    <t>DOLWC1588051</t>
  </si>
  <si>
    <t>Đồng cuộn LWC 15.88x0.51</t>
  </si>
  <si>
    <t>DOLWC1588070</t>
  </si>
  <si>
    <t>Đồng ống LWC 15.88x0.70</t>
  </si>
  <si>
    <t>DOBKILWC1588075</t>
  </si>
  <si>
    <t>Đồng ống LWC KHÔNG IN 15.88x0.75</t>
  </si>
  <si>
    <t>DOBKILWC1588081</t>
  </si>
  <si>
    <t>Đồng ống LWC KHÔNG IN 15.88x0.81</t>
  </si>
  <si>
    <t>LWC1588081</t>
  </si>
  <si>
    <t>Đồng cuộn LWC 15.88x0.81</t>
  </si>
  <si>
    <t>LWC1588089</t>
  </si>
  <si>
    <t>Đồng cuộn LWC 15.88x0.89</t>
  </si>
  <si>
    <t>LWC1588091</t>
  </si>
  <si>
    <t>Đồng cuộn LWC 15.88x0.91</t>
  </si>
  <si>
    <t>LWC158810</t>
  </si>
  <si>
    <t>Đồng cuộn LWC 15.88x1.0</t>
  </si>
  <si>
    <t>LWC1588102</t>
  </si>
  <si>
    <t>Đồng cuộn LWC 15.88x1.02</t>
  </si>
  <si>
    <t>DOLWC1905070</t>
  </si>
  <si>
    <t>Đồng ống LWC 19.05x0.70</t>
  </si>
  <si>
    <t>DOLWC1905x08</t>
  </si>
  <si>
    <t>Đồng ống cuộn LWC 19.05x0.8</t>
  </si>
  <si>
    <t>DOBKILWC1905081</t>
  </si>
  <si>
    <t>Đồng ống LWC KHÔNG IN 19.05x0.81</t>
  </si>
  <si>
    <t>DOLWC1905100</t>
  </si>
  <si>
    <t>Đồng ống LWC 19.05x1.00</t>
  </si>
  <si>
    <t>DOLWC1905102</t>
  </si>
  <si>
    <t>Đồng ống cuộn LWC 19.05x1.02</t>
  </si>
  <si>
    <t>Ruby</t>
  </si>
  <si>
    <t>DOCRB0635056</t>
  </si>
  <si>
    <t>Đồng ống RUBY PC 06.35x0.56</t>
  </si>
  <si>
    <t>Đồng ống RUBY PC 06.35x0.61</t>
  </si>
  <si>
    <t>Đồng ống RUBY PC 06.35x0.71</t>
  </si>
  <si>
    <t>DOCRB063507150</t>
  </si>
  <si>
    <t>Đồng ống RUBY PC 06.35x0.71x50</t>
  </si>
  <si>
    <t>DOCRB0635072</t>
  </si>
  <si>
    <t>Đồng ống RUBY PC 06.35x0.72</t>
  </si>
  <si>
    <t>Đồng ống RUBY PC 06.35x0.81</t>
  </si>
  <si>
    <t>DOCRB063508150</t>
  </si>
  <si>
    <t>Đồng ống RUBY PC 06.35x0.81x50</t>
  </si>
  <si>
    <t>DOCRB0952061</t>
  </si>
  <si>
    <t>Đồng ống RUBY PC 09.52x0.61</t>
  </si>
  <si>
    <t>Đồng ống RUBY PC 09.52x0.71</t>
  </si>
  <si>
    <t>DOCRB095207150</t>
  </si>
  <si>
    <t>Đồng ống RUBY PC 09.52x0.71x50</t>
  </si>
  <si>
    <t>DOCRB0952072</t>
  </si>
  <si>
    <t>Đồng ống RUBY PC 09.52x0.72</t>
  </si>
  <si>
    <t>Đồng ống RUBY PC 09.52x0.81</t>
  </si>
  <si>
    <t>DOCRB095208150</t>
  </si>
  <si>
    <t>Đồng ống RUBY PC 09.52x0.81x50</t>
  </si>
  <si>
    <t>DOCRB1270055</t>
  </si>
  <si>
    <t>Đồng ống RUBY PC 12.70x0.55</t>
  </si>
  <si>
    <t>Đồng ống RUBY PC 12.70x0.61</t>
  </si>
  <si>
    <t>DOCRB1270071</t>
  </si>
  <si>
    <t>Đồng ống RUBY PC 12.70x0.71</t>
  </si>
  <si>
    <t>DOCRB1270072</t>
  </si>
  <si>
    <t>Đồng ống RUBY PC 12.70x0.72</t>
  </si>
  <si>
    <t>DOCRB1270081</t>
  </si>
  <si>
    <t>Đồng ống RUBY PC 12.70x0.81</t>
  </si>
  <si>
    <t>DOCRB127008150</t>
  </si>
  <si>
    <t>Đồng ống RUBY PC 12.70x0.81x50</t>
  </si>
  <si>
    <t>DOCRB1588071</t>
  </si>
  <si>
    <t>Đồng ống RUBY PC 15.88x0.71</t>
  </si>
  <si>
    <t>DOCRB1588072</t>
  </si>
  <si>
    <t>Đồng ống RUBY PC 15.88x0.72</t>
  </si>
  <si>
    <t>DOCRB1588081</t>
  </si>
  <si>
    <t>Đồng ống RUBY PC 15.88x0.81</t>
  </si>
  <si>
    <t>DOCRB1588089</t>
  </si>
  <si>
    <t>Đồng ống RUBY PC 15.88x0.89</t>
  </si>
  <si>
    <t>DOCRB158809150</t>
  </si>
  <si>
    <t>Đồng ống RUBY PC 15.88x0.91x50</t>
  </si>
  <si>
    <t>DOCRB1588100</t>
  </si>
  <si>
    <t>Đồng ống RUBY PC 15.88x1.00</t>
  </si>
  <si>
    <t>DOCRB1588102</t>
  </si>
  <si>
    <t>Đồng ống RUBY PC 15.88x1.02</t>
  </si>
  <si>
    <t>DOCRB158810250</t>
  </si>
  <si>
    <t>Đồng ống RUBY PC 15.88x1.02x50</t>
  </si>
  <si>
    <t>DOCRB1905071</t>
  </si>
  <si>
    <t>Đồng ống RUBY PC 19.05x0.71</t>
  </si>
  <si>
    <t>DOCRB1905072</t>
  </si>
  <si>
    <t>Đồng ống RUBY PC 19.05x0.72</t>
  </si>
  <si>
    <t>DOCRB1905081</t>
  </si>
  <si>
    <t>Đồng ống RUBY PC 19.05x0.81</t>
  </si>
  <si>
    <t>DODOCRB1905089</t>
  </si>
  <si>
    <t>Đồng ống RUBY PC 19.05x0.89</t>
  </si>
  <si>
    <t>Đồng ống RUBY PC 19.05x1.00</t>
  </si>
  <si>
    <t>DOCRB1905102</t>
  </si>
  <si>
    <t>Đồng ống RUBY PC 19.05x1.02</t>
  </si>
  <si>
    <t>DOTRB063507158</t>
  </si>
  <si>
    <t>Đồng ống thẳng RUBY 06.35x0.71x5.8</t>
  </si>
  <si>
    <t>DOTRB158810058</t>
  </si>
  <si>
    <t>Đồng ống thẳng RUBY 15.88x1.00x5.8</t>
  </si>
  <si>
    <t>DOTRB1905100</t>
  </si>
  <si>
    <t>Đồng ống thẳng RUBY 19.05x1.00</t>
  </si>
  <si>
    <t>DOTRB127008158</t>
  </si>
  <si>
    <t>Đồng ống thẳng RUBY 12.70x0.81x5.8</t>
  </si>
  <si>
    <t>DOTRB095208158</t>
  </si>
  <si>
    <t>Đồng ống thẳng RUBY 09.52x0.81x5.8</t>
  </si>
  <si>
    <t>DOTRB222207158</t>
  </si>
  <si>
    <t>Đồng ống thẳng RUBY 22.22x0.71x5.8</t>
  </si>
  <si>
    <t>DOTRB2222081</t>
  </si>
  <si>
    <t>Đồng ống thẳng RUBY 22.22x0.81</t>
  </si>
  <si>
    <t>DOTRB222209158</t>
  </si>
  <si>
    <t>Đồng ống thẳng RUBY 22.22x0.91x5.8</t>
  </si>
  <si>
    <t>DOTRB2222100</t>
  </si>
  <si>
    <t>Đồng ống thẳng RUBY 22.22x1.00</t>
  </si>
  <si>
    <t>DOTRB222210058</t>
  </si>
  <si>
    <t>Đồng ống thẳng RUBY 22.22x1.00x5.8</t>
  </si>
  <si>
    <t>DOTRB2222114</t>
  </si>
  <si>
    <t>Đồng ống thẳng RUBY 22.22x1.14</t>
  </si>
  <si>
    <t>DOTRB2222120</t>
  </si>
  <si>
    <t>Đồng ống thẳng RUBY 22.22x1.20</t>
  </si>
  <si>
    <t>DOTRB2540081</t>
  </si>
  <si>
    <t>Đồng ống thẳng RUBY 25.40x0.81</t>
  </si>
  <si>
    <t>DOTRB2540100</t>
  </si>
  <si>
    <t>Đồng ống thẳng Ruby 25.40x1.00</t>
  </si>
  <si>
    <t>DOTRB25401058</t>
  </si>
  <si>
    <t>Đồng ống thẳng Ruby 25.40x1.0X5.8</t>
  </si>
  <si>
    <t>DOTRB2540120</t>
  </si>
  <si>
    <t>Đồng ống thẳng Ruby 25.40x1.20</t>
  </si>
  <si>
    <t>DOTRB2858100</t>
  </si>
  <si>
    <t>Đồng ống thẳng RUBY 28.58x1.00</t>
  </si>
  <si>
    <t>DOTRB28581058</t>
  </si>
  <si>
    <t>Đồng ống thẳng RUBY 28.58x1.0X5.8</t>
  </si>
  <si>
    <t>DOTRB2858120</t>
  </si>
  <si>
    <t>Đồng ống thẳng Ruby 28.58x1.20</t>
  </si>
  <si>
    <t>DOTRB2858140</t>
  </si>
  <si>
    <t>Đồng ống thẳng RUBY 28.58x1.40</t>
  </si>
  <si>
    <t>DOTRB3175100</t>
  </si>
  <si>
    <t>Đồng ống thẳng RUBY 31.75x1.00</t>
  </si>
  <si>
    <t>DOTRB3175120</t>
  </si>
  <si>
    <t>Đồng ống thẳng RUBY 31.75x1.20</t>
  </si>
  <si>
    <t>DOTRB317512058</t>
  </si>
  <si>
    <t>Đồng ống thẳng RUBY 31.75x1.20x5.8</t>
  </si>
  <si>
    <t>DOTRB3175140</t>
  </si>
  <si>
    <t>Đồng ống thẳng RUBY 31.75x1.4</t>
  </si>
  <si>
    <t>DOTRB317514058</t>
  </si>
  <si>
    <t>Đồng ống thẳng RUBY 31.75x1.4x5.8</t>
  </si>
  <si>
    <t>DOTRB3493120</t>
  </si>
  <si>
    <t>Đồng ống thẳng RUBY 34.93x1.20</t>
  </si>
  <si>
    <t>DOTRB349312058</t>
  </si>
  <si>
    <t>Đồng ống thẳng RUBY 34.93x1.20x5.8</t>
  </si>
  <si>
    <t>DOTRB3493140</t>
  </si>
  <si>
    <t>Đồng ống thẳng RUBY 34.93x1.40</t>
  </si>
  <si>
    <t>DOTRB3810120(NM)</t>
  </si>
  <si>
    <t>Đồng ống thẳng RUBY 38.10x1.20</t>
  </si>
  <si>
    <t>DOTRB3810140</t>
  </si>
  <si>
    <t>Đồng ống thẳng RUBY 38.10x1.40</t>
  </si>
  <si>
    <t>DOTRB3810143</t>
  </si>
  <si>
    <t>Đồng ống thẳng RUBY 38.10x1.43</t>
  </si>
  <si>
    <t>DOTRB381014058</t>
  </si>
  <si>
    <t>Đồng ống thẳng RUBY 38.10x1.40x5.8</t>
  </si>
  <si>
    <t>DOTRB4128120</t>
  </si>
  <si>
    <t>Đồng ống thẳng RUBY 41.28x1.20</t>
  </si>
  <si>
    <t>DOTRB4128140</t>
  </si>
  <si>
    <t>Đồng ống thẳng RUBY 41.28x1.40</t>
  </si>
  <si>
    <t>DOTRB412814058</t>
  </si>
  <si>
    <t>Đồng ống thẳng RUBY 41.28x1.40x5.8</t>
  </si>
  <si>
    <t>DOTRB412814358</t>
  </si>
  <si>
    <t>Đồng ống thẳng RUBY 41.28x1.43x5.8</t>
  </si>
  <si>
    <t>DOTRB4128150</t>
  </si>
  <si>
    <t>Đồng ống thẳng RUBY 41.28x1.50</t>
  </si>
  <si>
    <t>DOTRB4128152</t>
  </si>
  <si>
    <t>Đồng ống thẳng RUBY 41.28x1.52</t>
  </si>
  <si>
    <t>DOTRUBY412815258</t>
  </si>
  <si>
    <t>Đồng ống thẳng RUBY 41.28x1.52x5.8</t>
  </si>
  <si>
    <t>DOTRB445014029</t>
  </si>
  <si>
    <t>Đồng ống thẳng RUBY 44.50x1.40x.2.9</t>
  </si>
  <si>
    <t>DOTRB445014058</t>
  </si>
  <si>
    <t>Đồng ống thẳng RUBY 44.50x1.40x5.8</t>
  </si>
  <si>
    <t>Hailiang</t>
  </si>
  <si>
    <t>ĐHLCUONDI</t>
  </si>
  <si>
    <t>DOCHL063505015</t>
  </si>
  <si>
    <t>Đồng ống Hailiang dạng cuộn 6.35mmx0.50mmx15m</t>
  </si>
  <si>
    <t>DOCHL063505115</t>
  </si>
  <si>
    <t>Đồng ống Hailiang dạng cuộn 6.35mmx0.51mmx15m</t>
  </si>
  <si>
    <t>DOCHL063505515</t>
  </si>
  <si>
    <t>Đồng ống Hailiang dạng cuộn 6.35mmx0.55mmx15m</t>
  </si>
  <si>
    <t>DOCHL063505615</t>
  </si>
  <si>
    <t>Đồng ống Hailiang dạng cuộn 6.35mmx0.56mmx15m</t>
  </si>
  <si>
    <t>DOCHL063506015</t>
  </si>
  <si>
    <t>Đồng ống Hailiang dạng cuộn 6.35mmx0.60mmx15m</t>
  </si>
  <si>
    <t>DOCHL063506150</t>
  </si>
  <si>
    <t>Đồng ống Hailiang dạng cuộn 6.35mmx0.61mmx50m</t>
  </si>
  <si>
    <t>ĐHLCUONTD</t>
  </si>
  <si>
    <t>Đồng ống Hailiang dạng cuộn 6.35mmx0.61mmx15m</t>
  </si>
  <si>
    <t>DOCHL063506515</t>
  </si>
  <si>
    <t>Đồng ống Hailiang dạng cuộn 6.35mmx0.65mmx15m</t>
  </si>
  <si>
    <t>DOCHL063506615</t>
  </si>
  <si>
    <t>Đồng ống Hailiang dạng cuộn 6.35mmx0.66mmx15m</t>
  </si>
  <si>
    <t>DOCHL063507015</t>
  </si>
  <si>
    <t>Đồng ống Hailiang dạng cuộn 6.35mmx0.70mmx15m</t>
  </si>
  <si>
    <t>DOCHL063507130</t>
  </si>
  <si>
    <t>Đồng ống Hailiang dạng cuộn 6.35mmx0.71mmx30m</t>
  </si>
  <si>
    <t>DOCHL063507150</t>
  </si>
  <si>
    <t>Đồng ống Hailiang dạng cuộn 6.35mmx0.71mmx50m</t>
  </si>
  <si>
    <t>Đồng ống Hailiang dạng cuộn 6.35mmx0.71mmx15m</t>
  </si>
  <si>
    <t>DOCHL063507615</t>
  </si>
  <si>
    <t>Đồng ống Hailiang dạng cuộn 6.35mmx0.76mmx15m</t>
  </si>
  <si>
    <t>DOCHL063507650</t>
  </si>
  <si>
    <t>Đồng ống Hailiang dạng cuộn 6.35mmx0.76mmx50m</t>
  </si>
  <si>
    <t>DOCHL063508015</t>
  </si>
  <si>
    <t>Đồng ống Hailiang dạng cuộn 6.35mmx0.80mmx15m</t>
  </si>
  <si>
    <t>DOCHL063508150</t>
  </si>
  <si>
    <t>Đồng ống Hailiang dạng cuộn 6.35mmx0.81mmx50m</t>
  </si>
  <si>
    <t>Đồng ống Hailiang dạng cuộn 6.35mmx0.81mmx15m</t>
  </si>
  <si>
    <t>DOCHL095205015</t>
  </si>
  <si>
    <t>Đồng ống Hailiang dạng cuộn 9.52mmx0.50mmx15m</t>
  </si>
  <si>
    <t>DOCHL095205115</t>
  </si>
  <si>
    <t>Đồng ống Hailiang dạng cuộn 9.52mmx0.51mmx15m</t>
  </si>
  <si>
    <t>DOCHL095205515</t>
  </si>
  <si>
    <t>Đồng ống Hailiang dạng cuộn 9.52mmx0.55mmx15m</t>
  </si>
  <si>
    <t>DOCHL095205615</t>
  </si>
  <si>
    <t>Đồng ống Hailiang dạng cuộn 9.52mmx0.56mmx15m</t>
  </si>
  <si>
    <t>DOCHL095206015</t>
  </si>
  <si>
    <t>Đồng ống Hailiang dạng cuộn 9.52mmx0.60mmx15m</t>
  </si>
  <si>
    <t>Đồng ống Hailiang dạng cuộn 9.52mmx0.61mmx15m</t>
  </si>
  <si>
    <t>DOCHL095206515</t>
  </si>
  <si>
    <t>Đồng ống Hailiang dạng cuộn 9.52mmx0.65mmx15m</t>
  </si>
  <si>
    <t>DOCHL095206615</t>
  </si>
  <si>
    <t>Đồng ống Hailiang dạng cuộn 9.52mmx0.66mmx15m</t>
  </si>
  <si>
    <t>DOCHL095207015</t>
  </si>
  <si>
    <t>Đồng ống Hailiang dạng cuộn 9.52mmx0.70mmx15m</t>
  </si>
  <si>
    <t>DOCHL095207150</t>
  </si>
  <si>
    <t>Đồng ống Hailiang dạng cuộn 9.52mmx0.71mmx50m</t>
  </si>
  <si>
    <t>Đồng ống Hailiang dạng cuộn 9.52mmx0.71mmx15m</t>
  </si>
  <si>
    <t>DOCHL095207615</t>
  </si>
  <si>
    <t>Đồng ống Hailiang dạng cuộn 9.52mmx0.76mmx15m</t>
  </si>
  <si>
    <t>DOCHL095207650</t>
  </si>
  <si>
    <t>Đồng ống Hailiang dạng cuộn 9.52mmx0.76mmx50m</t>
  </si>
  <si>
    <t>DOCHL095208015</t>
  </si>
  <si>
    <t>Đồng ống Hailiang dạng cuộn 9.52mmx0.80mmx15m</t>
  </si>
  <si>
    <t>DOCHL095208130</t>
  </si>
  <si>
    <t>Đồng ống Hailiang dạng cuộn 9.52mmx0.81mmx30m</t>
  </si>
  <si>
    <t>DOCHL095208150</t>
  </si>
  <si>
    <t>Đồng ống Hailiang dạng cuộn 9.52mmx0.81mmx50m</t>
  </si>
  <si>
    <t>Đồng ống Hailiang dạng cuộn 9.52mmx0.81mmx15m</t>
  </si>
  <si>
    <t>DOCHL095209115</t>
  </si>
  <si>
    <t>Đồng ống Hailiang dạng cuộn 9.52mmx0.91mmx15m</t>
  </si>
  <si>
    <t>DOCHL1200070</t>
  </si>
  <si>
    <t>Đồng ống Hailiang dạng cuộn 12.00mmx0.70mmx15m</t>
  </si>
  <si>
    <t>Đồng ống Hailiang dạng cuộn 12.7mmx0.61mmx15m</t>
  </si>
  <si>
    <t>DOCHL127008915</t>
  </si>
  <si>
    <t>Đồng ống Hailiang dạng cuộn 12.70mmx0.89mmx15m</t>
  </si>
  <si>
    <t>DOCHL127010215</t>
  </si>
  <si>
    <t>Đồng ống Hailiang dạng cuộn 12.70mmx1.02mmx15m</t>
  </si>
  <si>
    <t>Đồng ống Hailiang dạng cuộn 12.7mmx0.71mmx15m</t>
  </si>
  <si>
    <t>DOCHL127008015</t>
  </si>
  <si>
    <t>Đồng ống Hailiang dạng cuộn 12.70mmx0.80mmx15m</t>
  </si>
  <si>
    <t>Đồng ống Hailiang dạng cuộn 12.70mmx0.81mmx15m</t>
  </si>
  <si>
    <t>DOCHL12705015</t>
  </si>
  <si>
    <t>Đồng ống Hailiang dạng cuộn 12.7mmx0.50mmx15m</t>
  </si>
  <si>
    <t>DOCHL12705115</t>
  </si>
  <si>
    <t>Đồng ống Hailiang dạng cuộn 12.7mmx0.51mmx15m</t>
  </si>
  <si>
    <t>DOCHL12705515</t>
  </si>
  <si>
    <t>Đồng ống Hailiang dạng cuộn 12.7mmx0.55mmx15m</t>
  </si>
  <si>
    <t>DOCHL12705615</t>
  </si>
  <si>
    <t>Đồng ống Hailiang dạng cuộn 12.7mmx0.56mmx15m</t>
  </si>
  <si>
    <t>DOCHL12706015</t>
  </si>
  <si>
    <t>Đồng ống Hailiang dạng cuộn 12.7mmx0.60mmx15m</t>
  </si>
  <si>
    <t>DOCHL12706515</t>
  </si>
  <si>
    <t>Đồng ống Hailiang dạng cuộn 12.7mmx0.65mmx15m</t>
  </si>
  <si>
    <t>DOCHL12706615</t>
  </si>
  <si>
    <t>Đồng ống Hailiang dạng cuộn 12.7mmx0.66mmx15m</t>
  </si>
  <si>
    <t>DOCHL12707015</t>
  </si>
  <si>
    <t>Đồng ống Hailiang dạng cuộn 12.7mmx0.70mmx15m</t>
  </si>
  <si>
    <t>DOCHL12707515</t>
  </si>
  <si>
    <t>Đồng ống Hailiang dạng cuộn 12.7mmx0.75mmx15m</t>
  </si>
  <si>
    <t>DOCHL12708015</t>
  </si>
  <si>
    <t>Đồng ống Hailiang dạng cuộn 12.7mmx0.80mmx15m</t>
  </si>
  <si>
    <t>DOCHL127008150</t>
  </si>
  <si>
    <t>Đồng ống Hailiang dạng cuộn 12.70mmx0.81mmx50m</t>
  </si>
  <si>
    <t>DOCHL12708130</t>
  </si>
  <si>
    <t>Đồng ống Hailiang dạng cuộn 12.7mmx0.81mmx30m</t>
  </si>
  <si>
    <t>DOCHL12708150</t>
  </si>
  <si>
    <t>Đồng ống Hailiang dạng cuộn 12.7mmx0.81mmx50m</t>
  </si>
  <si>
    <t>DOCHL12708915</t>
  </si>
  <si>
    <t>Đồng ống Hailiang dạng cuộn 12.7mmx0.89mmx15m</t>
  </si>
  <si>
    <t>DOCHL12709115</t>
  </si>
  <si>
    <t>Đồng ống Hailiang dạng cuộn 12.7mmx0.91mmx15m</t>
  </si>
  <si>
    <t>Đồng ống Hailiang dạng cuộn 15.88mmx0.61mmx15m</t>
  </si>
  <si>
    <t>DOCHL158806515</t>
  </si>
  <si>
    <t>Đồng ống Hailiang dạng cuộn 15.88mmx0.65mmx15m</t>
  </si>
  <si>
    <t>DOCHL158807015</t>
  </si>
  <si>
    <t>Đồng ống Hailiang dạng cuộn 15.88mmx0.70mmx15m</t>
  </si>
  <si>
    <t>Đồng ống Hailiang dạng cuộn 15.88mmx0.71mmx15m</t>
  </si>
  <si>
    <t>DOCHL158807515</t>
  </si>
  <si>
    <t>Đồng ống Hailiang dạng cuộn 15.88mmx0.75mmx15m</t>
  </si>
  <si>
    <t>DOCHL158808015</t>
  </si>
  <si>
    <t>Đồng ống Hailiang dạng cuộn 15.88mmx0.80mmx15m</t>
  </si>
  <si>
    <t>DOCHL158808150</t>
  </si>
  <si>
    <t>Đồng ống Hailiang dạng cuộn 15.88mmx0.81mmx50m</t>
  </si>
  <si>
    <t>Đồng ống Hailiang dạng cuộn 15.88mmx0.81mmx15m</t>
  </si>
  <si>
    <t>DOCHL158808915</t>
  </si>
  <si>
    <t>Đồng ống Hailiang dạng cuộn 15.88x0.89</t>
  </si>
  <si>
    <t>DOCHL158808950</t>
  </si>
  <si>
    <t>Đồng ống Hailiang dạng cuộn 15.88mmx0.89mmx50m</t>
  </si>
  <si>
    <t>DOCHL158809115</t>
  </si>
  <si>
    <t>Đồng ống Hailiang dạng cuộn 15.88mmx0.91mmx15m</t>
  </si>
  <si>
    <t>DOCHL158809115.</t>
  </si>
  <si>
    <t>DOCHL15881015</t>
  </si>
  <si>
    <t>Đồng ống Hailiang dạng cuộn 15.88mmx1.0mmx15m</t>
  </si>
  <si>
    <t>DOCHL158810250</t>
  </si>
  <si>
    <t>Đồng ống Hailiang dạng cuộn 15.88mmx1.02mmx50m</t>
  </si>
  <si>
    <t>Đồng ống Hailiang dạng cuộn 15.88mmx1.02mmx15m</t>
  </si>
  <si>
    <t>DOCHL160008015</t>
  </si>
  <si>
    <t>Đồng ống Hailiang dạng cuộn 16.00mmx0.80mmx15m</t>
  </si>
  <si>
    <t>DOCHL190512215</t>
  </si>
  <si>
    <t>Đồng ống Hailiang dạng cuộn 19.05mmx1.22mmx15m</t>
  </si>
  <si>
    <t>DOCHL190506115</t>
  </si>
  <si>
    <t>Đồng ống Hailiang dạng cuộn 19.05mmx0.61mmx15m</t>
  </si>
  <si>
    <t>DOCHL190506515</t>
  </si>
  <si>
    <t>Đồng ống Hailiang dạng cuộn 19.05mmx0.65mmx15m</t>
  </si>
  <si>
    <t>DOCHL190507015</t>
  </si>
  <si>
    <t>Đồng ống Hailiang dạng cuộn 19.05mmx0.70mmx15m</t>
  </si>
  <si>
    <t>Đồng ống Hailiang dạng cuộn 19.05mmx0.71mmx15m</t>
  </si>
  <si>
    <t>DOCHL190507515</t>
  </si>
  <si>
    <t>Đồng ống Hailiang dạng cuộn 19.05mmx0.75mmx15m</t>
  </si>
  <si>
    <t>DOCHL190508015</t>
  </si>
  <si>
    <t>Đồng ống Hailiang dạng cuộn 19.05mmx0.80mmx15m</t>
  </si>
  <si>
    <t>Đồng ống Hailiang dạng cuộn 19.05mmx0.81mmx15m</t>
  </si>
  <si>
    <t>DOCHL190509115</t>
  </si>
  <si>
    <t>Đồng ống Hailiang dạng cuộn 19.05mmx0.91mmx15m</t>
  </si>
  <si>
    <t>Đồng ống Hailiang dạng cuộn 19.05mmx1.0mmx15m</t>
  </si>
  <si>
    <t>DOCHL190510215</t>
  </si>
  <si>
    <t>Đồng ống Hailiang dạng cuộn 19.05mmx1.02mmx15m</t>
  </si>
  <si>
    <t>DOCHL190510715</t>
  </si>
  <si>
    <t>Đồng ống Hailiang dạng cuộn 19.05mmx1.07mmx15m</t>
  </si>
  <si>
    <t>DOCHL190511015</t>
  </si>
  <si>
    <t>Đồng ống Hailiang dạng cuộn 19.05mmx1.10mmx15m</t>
  </si>
  <si>
    <t>DOCHL222208115</t>
  </si>
  <si>
    <t>Đồng ống Hailiang dạng cuộn 22.22mmx0.81mmx15m</t>
  </si>
  <si>
    <t>ĐHLCAYDI</t>
  </si>
  <si>
    <t>DOTHL127007129</t>
  </si>
  <si>
    <t>Đồng ống Hailiang dạng cây 12.70 mmx0.71 mmx2.9</t>
  </si>
  <si>
    <t>DOTHL127008129</t>
  </si>
  <si>
    <t>Đồng ống Hailiang dạng cây 12.70 mmx0.81 mmx2.9</t>
  </si>
  <si>
    <t>DOTHL158806129</t>
  </si>
  <si>
    <t>Đồng ống Hailiang dạng cây 15.88 mmx0.61 mmx2.9</t>
  </si>
  <si>
    <t>DOTHL158807129</t>
  </si>
  <si>
    <t>Đồng ống Hailiang dạng cây 15.88 mmx0.71 mmx2.9</t>
  </si>
  <si>
    <t>DOTHL158808129</t>
  </si>
  <si>
    <t>Đồng ống Hailiang dạng cây 15.88mmx0.81mmx2.9</t>
  </si>
  <si>
    <t>DOTHL158809129</t>
  </si>
  <si>
    <t>Đồng ống Hailiang dạng cây 15.88mmx0.91mmx2.9</t>
  </si>
  <si>
    <t>DOTHL158810229</t>
  </si>
  <si>
    <t>Đồng ống Hailiang dạng cây 15.88mmx1.02mmx2.9</t>
  </si>
  <si>
    <t>DOTHL190512215</t>
  </si>
  <si>
    <t>Đồng ống Hailiang dạng cây 19.05mmx1.22mmx15m</t>
  </si>
  <si>
    <t>DOTHL190507129</t>
  </si>
  <si>
    <t>Đồng ống Hailiang dạng cây 19.05mmx0.71mmx2.9</t>
  </si>
  <si>
    <t>DOTHL190508129</t>
  </si>
  <si>
    <t>Đồng ống Hailiang dạng cây 19.05mmx0.81mmx2.9</t>
  </si>
  <si>
    <t>DOTHL190510029</t>
  </si>
  <si>
    <t>Đồng ống Hailiang dạng cây 19.05mmx1.00mmx2.9</t>
  </si>
  <si>
    <t>DOTHL190510229</t>
  </si>
  <si>
    <t>Đồng ống Hailiang dạng cây 19.05mmx1.02mmx2.9</t>
  </si>
  <si>
    <t>DOTHL1905107</t>
  </si>
  <si>
    <t>Đồng ống Hailiang dạng cây 19.05mmx1.07mmx2.9m</t>
  </si>
  <si>
    <t>ĐHLCAY</t>
  </si>
  <si>
    <t>DOTHL190512029</t>
  </si>
  <si>
    <t>Đồng ống Hailiang dạng cây 19.05mmx1.20mmx2.9</t>
  </si>
  <si>
    <t>DOTHL22220829</t>
  </si>
  <si>
    <t>Đồng ống Hailiang dạng cây 22.22mmx0.80mmx2.9</t>
  </si>
  <si>
    <t>ĐHLCAYCH</t>
  </si>
  <si>
    <t>DOTHL222208129</t>
  </si>
  <si>
    <t>Đồng ống Hailiang dạng cây 22.22mmx0.81mmx2.9</t>
  </si>
  <si>
    <t>DOTHL222208158</t>
  </si>
  <si>
    <t>Đồng ống Hailiang dạng cây 22.22mmx0.81mmx5.8</t>
  </si>
  <si>
    <t>DOTHL222209129</t>
  </si>
  <si>
    <t>Đồng ống Hailiang dạng cây 22.22mmx0.91mmx2.9</t>
  </si>
  <si>
    <t>DOTHL22221029</t>
  </si>
  <si>
    <t>Đồng ống Hailiang dạng cây 22.22mmx1.0mmx2.9</t>
  </si>
  <si>
    <t>DOTHL22221058</t>
  </si>
  <si>
    <t>Đồng ống Hailiang dạng cây 22.22mmx1.00mmx5.8</t>
  </si>
  <si>
    <t>DOTHL222210258</t>
  </si>
  <si>
    <t>Đồng ống Hailiang dạng cây 22.22mmx1.02mmx5.8</t>
  </si>
  <si>
    <t>ĐHLCAYTD</t>
  </si>
  <si>
    <t>DOTHL222210229</t>
  </si>
  <si>
    <t>Đồng ống Hailiang dạng cây 22.22mmx1.02mmx2.9</t>
  </si>
  <si>
    <t>DOTHL22221129</t>
  </si>
  <si>
    <t>Đồng ống Hailiang dạng cây 22.22mmx1.1mmx2.9</t>
  </si>
  <si>
    <t>DOTHL222211429</t>
  </si>
  <si>
    <t>Đồng ống Hailiang dạng cây 22.22mmx1.14mmx2.9</t>
  </si>
  <si>
    <t>DOTHL22221258</t>
  </si>
  <si>
    <t>Đồng ống Hailiang dạng cây 22.22mmx1.2mmx5.8</t>
  </si>
  <si>
    <t>ĐHLCAYIB</t>
  </si>
  <si>
    <t>DOTHL22221229</t>
  </si>
  <si>
    <t>Đồng ống Hailiang dạng cây 22.22mmx1.22mmx2.9</t>
  </si>
  <si>
    <t>DOTHL222212258</t>
  </si>
  <si>
    <t>Đồng ống Hailiang dạng cây 22.22mmx1.22mmx5.8</t>
  </si>
  <si>
    <t>DOTHL2540081</t>
  </si>
  <si>
    <t>Đồng ống Hailiang dạng cây 25.40mmx0.81mmx2.9m</t>
  </si>
  <si>
    <t>DOTHL25401058</t>
  </si>
  <si>
    <t>Đồng ống Hailiang dạng cây 25.40mmx1.0mmx5.8m</t>
  </si>
  <si>
    <t>DOTHL254010229</t>
  </si>
  <si>
    <t>Đồng ống Hailiang dạng cây 25.40mmx1.02mmx2.9m</t>
  </si>
  <si>
    <t>DOTHL254011429</t>
  </si>
  <si>
    <t>Đồng ống Hailiang dạng cây 25.40mmx1.14mmx2.9m</t>
  </si>
  <si>
    <t>DOTHL25401229</t>
  </si>
  <si>
    <t>Đồng ống Hailiang dạng cây 25.40mmx1.2mmx2.9m</t>
  </si>
  <si>
    <t>DOTHL25401258</t>
  </si>
  <si>
    <t>Đồng ống Hailiang dạng cây 25.40mmx1.2mmx5.8m</t>
  </si>
  <si>
    <t>DOTHL254012229</t>
  </si>
  <si>
    <t>Đồng ống Hailiang dạng cây 25.40mmx1.22mmx2.9m</t>
  </si>
  <si>
    <t>DOTHL285808129</t>
  </si>
  <si>
    <t>Đồng ống Hailiang dạng cây 28.58mmx0.81mmx2.9</t>
  </si>
  <si>
    <t>DOTHL285808158</t>
  </si>
  <si>
    <t>Đồng ống Hailiang dạng cây 28.58mmx0.81mmx5.8</t>
  </si>
  <si>
    <t>DOTHL285809129</t>
  </si>
  <si>
    <t>Đồng ống Hailiang dạng cây 28.58mmx0.91mmx2.9</t>
  </si>
  <si>
    <t>DOTHL285810058</t>
  </si>
  <si>
    <t>Đồng ống Hailiang dạng cây 28.58mmx1.00mmx5.8</t>
  </si>
  <si>
    <t>DOTHL285810258</t>
  </si>
  <si>
    <t>Đồng ống Hailiang dạng cây 28.58mmx1.02mmx5.8</t>
  </si>
  <si>
    <t>DOTHL285810229</t>
  </si>
  <si>
    <t>Đồng ống Hailiang dạng cây 28.58mmx1.02mmx2.9m</t>
  </si>
  <si>
    <t>DOTHL285811029</t>
  </si>
  <si>
    <t>Đồng ống Hailiang dạng cây 28.58mmx1.10 mmx2.9</t>
  </si>
  <si>
    <t>DOTHL28581258</t>
  </si>
  <si>
    <t>Đồng ống Hailiang dạng cây 28.58mmx1.2mmx5.8</t>
  </si>
  <si>
    <t>DOTHL28581229</t>
  </si>
  <si>
    <t>Đồng ống Hailiang dạng cây 28.58mmx1.2mmx2.9</t>
  </si>
  <si>
    <t>DOTHL285812229</t>
  </si>
  <si>
    <t>Đồng ống Hailiang dạng cây 28.58mmx1.22mmx2.9</t>
  </si>
  <si>
    <t>DOTHL285812715</t>
  </si>
  <si>
    <t>Đồng ống Hailiang dạng cây 28.58mmx1.27mmx5.8m</t>
  </si>
  <si>
    <t>DOTHL285812729</t>
  </si>
  <si>
    <t>Đồng ống Hailiang dạng cây 28.58mmx1.27mmx2.9m</t>
  </si>
  <si>
    <t>DOTHL285814029</t>
  </si>
  <si>
    <t>Đồng ống Hailiang dạng cây 28.58mmx1.40 mmx2.9</t>
  </si>
  <si>
    <t>DOTHL28581458</t>
  </si>
  <si>
    <t>Đồng ống Hailiang dạng cây 28.58mmx1.4mmx5.8</t>
  </si>
  <si>
    <t>DOTHL285814329</t>
  </si>
  <si>
    <t>Đồng ống Hailiang dạng cây 28.58mmx1.43 mmx2.9</t>
  </si>
  <si>
    <t>DOTHL285815029</t>
  </si>
  <si>
    <t>Đồng ống Hailiang dạng cây 28.58mmx1.50 mmx2.9</t>
  </si>
  <si>
    <t>DOTHL31751029</t>
  </si>
  <si>
    <t>Đồng ống Hailiang dạng cây 31.75mmx1.0mmx3.0</t>
  </si>
  <si>
    <t>DOTHL31751058</t>
  </si>
  <si>
    <t>Đồng ống Hailiang dạng cây 31.75mmx1.0mmx5.8</t>
  </si>
  <si>
    <t>DOTHL317510229</t>
  </si>
  <si>
    <t>Đồng ống Hailiang dạng cây 31.75mmx1.02mmx2.9m</t>
  </si>
  <si>
    <t>DOTHL317512229</t>
  </si>
  <si>
    <t>Đồng ống Hailiang dạng cây 31.75mmx1.22mmx2.9m</t>
  </si>
  <si>
    <t>DOTHL317513029</t>
  </si>
  <si>
    <t>Đồng ống Hailiang dạng cây 31.75mmx1.30mmx2.9</t>
  </si>
  <si>
    <t>DOTHL317514329</t>
  </si>
  <si>
    <t>Đồng ống Hailiang dạng cây 31.75mmx1.43mmx2.9</t>
  </si>
  <si>
    <t>DOTHL317515029</t>
  </si>
  <si>
    <t>Đồng ống Hailiang dạng cây 31.75mmx1.50mmx2.9</t>
  </si>
  <si>
    <t>DOTHL349311029</t>
  </si>
  <si>
    <t>Đồng ống Hailiang dạng cây 34.93mmx1.10mmx2.9m</t>
  </si>
  <si>
    <t>DOTHL349312258</t>
  </si>
  <si>
    <t>Đồng ống Hailiang dạng cây 34.93mmx1.22mmx5.8</t>
  </si>
  <si>
    <t>DOTHL34931029</t>
  </si>
  <si>
    <t>Đồng ống Hailiang dạng cây 34.93mmx1.0mmx2.9</t>
  </si>
  <si>
    <t>DOTHL34931058</t>
  </si>
  <si>
    <t>Đồng ống Hailiang dạng cây 34.93mmx1.0mmx5.8</t>
  </si>
  <si>
    <t>DOTHL349310258</t>
  </si>
  <si>
    <t>Đồng ống Hailiang dạng cây 34.93mmx1.02mmx5.8</t>
  </si>
  <si>
    <t>DOTHL349310229</t>
  </si>
  <si>
    <t>Đồng ống Hailiang dạng cây 34.93mmx1.02mmx2.9m</t>
  </si>
  <si>
    <t>DOTHL34931229</t>
  </si>
  <si>
    <t>Đồng ống Hailiang dạng cây 34.93mmx1.2mmx2.9</t>
  </si>
  <si>
    <t>DOTHL34931258</t>
  </si>
  <si>
    <t>Đồng ống Hailiang dạng cây 34.93mmx1.2mmx5.8</t>
  </si>
  <si>
    <t>DOTHL349312229</t>
  </si>
  <si>
    <t>Đồng ống Hailiang dạng cây 34.93mmx1.22mmx2.9m</t>
  </si>
  <si>
    <t>DOTHL349313029</t>
  </si>
  <si>
    <t>Đồng ống Hailiang dạng cây 34.93mmx1.30mmx2.9</t>
  </si>
  <si>
    <t>DOTHL34931429</t>
  </si>
  <si>
    <t>Đồng ống Hailiang dạng cây 34.93mmx1.4mmx2.9</t>
  </si>
  <si>
    <t>DOTHL34931458</t>
  </si>
  <si>
    <t>Đồng ống Hailiang dạng cây 34.93mmx1.4mmx5.8m</t>
  </si>
  <si>
    <t>DOTHL349314329</t>
  </si>
  <si>
    <t>Đồng ống Hailiang dạng cây 34.93mmx1.43mmx2.9</t>
  </si>
  <si>
    <t>DOTHL349315029</t>
  </si>
  <si>
    <t>Đồng ống Hailiang dạng cây 34.93mmx1.50mmx2.9</t>
  </si>
  <si>
    <t>DOTHL381010229</t>
  </si>
  <si>
    <t>Đồng ống Hailiang dạng cây 38.10mmx1.02 mmx2.9</t>
  </si>
  <si>
    <t>DOTHL381012229</t>
  </si>
  <si>
    <t>Đồng ống Hailiang dạng cây 38.10mmx1.22 mmx2.9</t>
  </si>
  <si>
    <t>DOTHL381013229</t>
  </si>
  <si>
    <t>Đồng ống Hailiang dạng cây 38.10mmx1.32 mmx2.9</t>
  </si>
  <si>
    <t>DOTHL381014329</t>
  </si>
  <si>
    <t>Đồng ống Hailiang dạng cây 38.10mmx1.43 mmx2.9</t>
  </si>
  <si>
    <t>DOTHL381015029</t>
  </si>
  <si>
    <t>Đồng ống Hailiang dạng cây 38.10mmx1.50 mmx2.9</t>
  </si>
  <si>
    <t>DOTHL41281029</t>
  </si>
  <si>
    <t>Đồng ống Hailiang dạng cây 41.28mmx1.0mmx2.9</t>
  </si>
  <si>
    <t>DOTHL41281058</t>
  </si>
  <si>
    <t>Đồng ống Hailiang dạng cây 41.28mmx1.0mmx5.8</t>
  </si>
  <si>
    <t>DOTHL412810229</t>
  </si>
  <si>
    <t>Đồng ống Hailiang dạng cây 41.28mmx1.02mmx2.9</t>
  </si>
  <si>
    <t>DOTHL412810258</t>
  </si>
  <si>
    <t>Đồng ống Hailiang dạng cây 41.28mmx1.02mmx5.8</t>
  </si>
  <si>
    <t>DOTHL41281258</t>
  </si>
  <si>
    <t>Đồng ống Hailiang dạng cây 41.28mmx1.2mmx5.8</t>
  </si>
  <si>
    <t>DOTHL412812029</t>
  </si>
  <si>
    <t>Đồng ống Hailiang dạng cây 41.28mmx1.20mmx2.9</t>
  </si>
  <si>
    <t>DOTHL412812258</t>
  </si>
  <si>
    <t>Đồng ống Hailiang dạng cây 41.28mmx1.22mmx5.8</t>
  </si>
  <si>
    <t>DOTHL412812229</t>
  </si>
  <si>
    <t>Đồng ống Hailiang dạng cây 41.28mmx1.22mmx2.9</t>
  </si>
  <si>
    <t>DOTHL412813029</t>
  </si>
  <si>
    <t>Đồng ống Hailiang dạng cây 41.28mmx1.30mmx2.9m</t>
  </si>
  <si>
    <t>DOTHL41281458</t>
  </si>
  <si>
    <t>Đồng ống Hailiang dạng cây 41.28mmx1.4mmx5.8</t>
  </si>
  <si>
    <t>DOTHL412814358</t>
  </si>
  <si>
    <t>Đồng ống Hailiang dạng cây 41.28mmx1.43mmx5.8</t>
  </si>
  <si>
    <t>DOTHL412814329</t>
  </si>
  <si>
    <t>Đồng ống Hailiang dạng cây 41.28mmx1.43mmx2.9</t>
  </si>
  <si>
    <t>DOTHL412815029</t>
  </si>
  <si>
    <t>Đồng ống Hailiang dạng cây 41.28mmx1.50mmx2.9</t>
  </si>
  <si>
    <t>DOTHL412815229</t>
  </si>
  <si>
    <t>Đồng ống Hailiang dạng cây 41.28mmx1.52mmx2.9m</t>
  </si>
  <si>
    <t>DOTHL412815329</t>
  </si>
  <si>
    <t>Đồng ống Hailiang dạng cây 41.28mmx1.53mmx2.9</t>
  </si>
  <si>
    <t>DOTHL412816029</t>
  </si>
  <si>
    <t>Đồng ống Hailiang dạng cây 41.28mmx1.60mmx2.9</t>
  </si>
  <si>
    <t>DOTHL412817029</t>
  </si>
  <si>
    <t>Đồng ống Hailiang dạng cây 41.28mmx1.70mmx2.9</t>
  </si>
  <si>
    <t>DOTHL44512229</t>
  </si>
  <si>
    <t>Đồng ống Hailiang dạng cây 44.5mmx1.22mmx2.9m</t>
  </si>
  <si>
    <t>DOTHL44514329</t>
  </si>
  <si>
    <t>Đồng ống Hailiang dạng cây 44.5mmx1.43mmx2.9m</t>
  </si>
  <si>
    <t>DOTHL44515029</t>
  </si>
  <si>
    <t>Đồng ống Hailiang dạng cây 44.5mmx1.50mmx2.9m</t>
  </si>
  <si>
    <t>DOTHL508014029</t>
  </si>
  <si>
    <t>Đồng ống Hailiang dạng cây 50.80mmx1.40mmx2.9</t>
  </si>
  <si>
    <t>DOTHL539410229</t>
  </si>
  <si>
    <t>Đồng ống Hailiang dạng cây 53.94mmx1.02mmx2.9m</t>
  </si>
  <si>
    <t>DOTHL539412229</t>
  </si>
  <si>
    <t>Đồng ống Hailiang dạng cây 53.94mmx1.22mmx2.9m</t>
  </si>
  <si>
    <t>DOTHL53941429</t>
  </si>
  <si>
    <t>Đồng ống Hailiang dạng cây 53.94mmx1.4mmx2.9m</t>
  </si>
  <si>
    <t>DOTHL539810229</t>
  </si>
  <si>
    <t>Đồng ống Hailiang dạng cây 53.98mmx1.02mmx2.9</t>
  </si>
  <si>
    <t>DOTHL539814329</t>
  </si>
  <si>
    <t>Đồng ống Hailiang dạng cây 53.98mmx1.43mmx2.9</t>
  </si>
  <si>
    <t>DOTHL53981146</t>
  </si>
  <si>
    <t>Đồng ống Hailiang dạng cây 53.98mmx1.14mmx6</t>
  </si>
  <si>
    <t>DOTHL539812029</t>
  </si>
  <si>
    <t>Đồng ống Hailiang dạng cây 53.98mmx1.20mmx2.9</t>
  </si>
  <si>
    <t>DOTHL53981203</t>
  </si>
  <si>
    <t>Đồng ống Hailiang dạng cây 53.98mmx1.20mmx3.0</t>
  </si>
  <si>
    <t>DOTHL539812229</t>
  </si>
  <si>
    <t>Đồng ống Hailiang dạng cây 53.98mmx1.22mmx2.9m</t>
  </si>
  <si>
    <t>DOTHL539812758</t>
  </si>
  <si>
    <t>Đồng ống Hailiang dạng cây 53.98mmx1.27mmx5.8</t>
  </si>
  <si>
    <t>DOTHL539813529</t>
  </si>
  <si>
    <t>Đồng ống Hailiang dạng cây 53.98mmx1.35mmx2.9</t>
  </si>
  <si>
    <t>DOTHL539814058</t>
  </si>
  <si>
    <t>Đồng ống Hailiang dạng cây 53.98mmx1.40mmx5.8</t>
  </si>
  <si>
    <t>DOTHL539814029</t>
  </si>
  <si>
    <t>Đồng ống Hailiang dạng cây 53.98mmx1.40mmx2.9</t>
  </si>
  <si>
    <t>DOTHL539814529</t>
  </si>
  <si>
    <t>Đồng ống Hailiang dạng cây 53.98mmx1.45mmx2.9</t>
  </si>
  <si>
    <t>DOTHL539815029</t>
  </si>
  <si>
    <t>Đồng ống Hailiang dạng cây 53.98mmx1.50mmx2.9</t>
  </si>
  <si>
    <t>DOTHL539815129</t>
  </si>
  <si>
    <t>Đồng ống Hailiang dạng cây 53.98mmx1.51mmx2.9</t>
  </si>
  <si>
    <t>DOTHL539815529</t>
  </si>
  <si>
    <t>Đồng ống Hailiang dạng cây 53.98mmx1.55mmx2.9</t>
  </si>
  <si>
    <t>DOTHL539816029</t>
  </si>
  <si>
    <t>Đồng ống Hailiang dạng cây 53.98mmx1.60mmx2.9</t>
  </si>
  <si>
    <t>DOTHL53981603</t>
  </si>
  <si>
    <t>Đồng ống Hailiang dạng cây 53.98mmx1.60mmx3.0</t>
  </si>
  <si>
    <t>DOTHL539816529</t>
  </si>
  <si>
    <t>Đồng ống Hailiang dạng cây 53.98mmx1.65mmx2.9</t>
  </si>
  <si>
    <t>DOTHL539817029</t>
  </si>
  <si>
    <t>Đồng ống Hailiang dạng cây 53.98mmx1.70mmx2.9m</t>
  </si>
  <si>
    <t>DOTHL539817829</t>
  </si>
  <si>
    <t>Đồng ống Hailiang dạng cây 53.98mmx1.78mmx2.9m</t>
  </si>
  <si>
    <t>DOTHL539817858</t>
  </si>
  <si>
    <t>Đồng ống Hailiang dạng cây 53.98mmx1.78mmx5.8m</t>
  </si>
  <si>
    <t>DOTHL539818029</t>
  </si>
  <si>
    <t>Đồng ống Hailiang dạng cây 53.98mmx1.80mmx2.9</t>
  </si>
  <si>
    <t>DOTHL539818058</t>
  </si>
  <si>
    <t>Đồng ống Hailiang dạng cây 53.98mmx1.80mmx5.8</t>
  </si>
  <si>
    <t>DOTHL539825029</t>
  </si>
  <si>
    <t>Đồng ống Hailiang dạng cây 53.98mmx2.50mmx2.9</t>
  </si>
  <si>
    <t>Đồng ống Hailiang dạng cây 76.20mmx1.40mmx3m</t>
  </si>
  <si>
    <t>DOTHL1047825029</t>
  </si>
  <si>
    <t>Đồng ống Hailiang dạng cây 104.78mmx2.50mmx2.9</t>
  </si>
  <si>
    <t>DOTHL10478277958</t>
  </si>
  <si>
    <t>Đồng ống Hailiang dạng cây 104.78mmx2.79mmx5.8</t>
  </si>
  <si>
    <t>ĐHLBANH</t>
  </si>
  <si>
    <t>DOHLLWC0635061</t>
  </si>
  <si>
    <t>Đồng cuộn Hailiang LWC 6.35x0.61</t>
  </si>
  <si>
    <t>DOHLLWC0635081</t>
  </si>
  <si>
    <t>Đồng cuộn Hailiang LWC 6.35x0.81</t>
  </si>
  <si>
    <t>DOHLLWC0952071</t>
  </si>
  <si>
    <t>Đồng cuộn Hailiang LWC 9.52x0.71</t>
  </si>
  <si>
    <t>DOHLLWC0952081</t>
  </si>
  <si>
    <t>Đồng cuộn Hailiang LWC 9.52x0.81</t>
  </si>
  <si>
    <t>DOHLLWC1270081</t>
  </si>
  <si>
    <t>Đồng cuộn Hailiang LWC 12.7x0.81</t>
  </si>
  <si>
    <t>DOHLLWC1588102</t>
  </si>
  <si>
    <t>Đồng cuộn Hailiang LWC 15.88x1.02</t>
  </si>
  <si>
    <t>DOHLLWC1905102</t>
  </si>
  <si>
    <t>Đồng cuộn Hailiang LWC 19.05x1.02</t>
  </si>
  <si>
    <t>Taisei Hailiang</t>
  </si>
  <si>
    <t>ĐTSCUONDD</t>
  </si>
  <si>
    <t>Đồng ống Taisei PC 06.35x0.61 HL</t>
  </si>
  <si>
    <t>Đồng ống Taisei PC 06.35x0.71 HL</t>
  </si>
  <si>
    <t>ĐTSCUONCT</t>
  </si>
  <si>
    <t>Đồng ống Taisei PC 06.35x0.81 HL</t>
  </si>
  <si>
    <t>Đồng ống Taisei PC 09.52x0.61 HL</t>
  </si>
  <si>
    <t>Đồng ống Taisei PC 09.52x0.71 HL</t>
  </si>
  <si>
    <t>Đồng ống Taisei PC 09.52x0.81 HL</t>
  </si>
  <si>
    <t>Đồng ống Taisei PC 12.70x0.61 HL</t>
  </si>
  <si>
    <t>Đồng ống Taisei PC 12.70x0.71 HL</t>
  </si>
  <si>
    <t>Đồng ống Taisei PC 12.70x0.81 HL</t>
  </si>
  <si>
    <t>Đồng ống Taisei PC 15.88x0.71 HL</t>
  </si>
  <si>
    <t>Đồng ống Taisei PC 15.88x0.81 HL</t>
  </si>
  <si>
    <t>Đồng ống Taisei PC 15.88x1.00 HL</t>
  </si>
  <si>
    <t>Đồng ống Taisei PC 19.05x0.71 HL</t>
  </si>
  <si>
    <t>Đồng ống Taisei PC 19.05x0.81 HL</t>
  </si>
  <si>
    <t>Đồng ống Taisei PC 19.05x1.00 HL</t>
  </si>
  <si>
    <t>Taisei Việt Nam</t>
  </si>
  <si>
    <t>ĐTSCUONDI</t>
  </si>
  <si>
    <t>DOCTAISEI0635061</t>
  </si>
  <si>
    <t>Đồng ống TAISEI PC 06.35x0.61</t>
  </si>
  <si>
    <t>DOCTAISEI0635071</t>
  </si>
  <si>
    <t>Đồng ống TAISEI PC 06.35x0.71</t>
  </si>
  <si>
    <t>DOCTAISEI0635076</t>
  </si>
  <si>
    <t>Đồng ống TAISEI PC 06.35x0.76</t>
  </si>
  <si>
    <t>DOCTAISEI0635081</t>
  </si>
  <si>
    <t>Đồng ống TAISEI PC 06.35x0.81</t>
  </si>
  <si>
    <t>DOCTAISEI0794071</t>
  </si>
  <si>
    <t>Đồng ống TAISEI PC 07.94x0.71</t>
  </si>
  <si>
    <t>DOCTAISEI0952061</t>
  </si>
  <si>
    <t>Đồng ống TAISEI PC 09.52x0.61</t>
  </si>
  <si>
    <t>DOCTS0952051</t>
  </si>
  <si>
    <t>Đồng ống taisei PC 09.52x0.51</t>
  </si>
  <si>
    <t>DOCTAISEI095207115</t>
  </si>
  <si>
    <t>Đồng ống TAISEI PC 09.52x0.71x15m</t>
  </si>
  <si>
    <t>DOCTAISEI0952081</t>
  </si>
  <si>
    <t>Đồng ống TAISEI PC 09.52x0.81</t>
  </si>
  <si>
    <t>DOCTS1200100</t>
  </si>
  <si>
    <t>Đồng ống PC Taisei 12.00x1.00x15m</t>
  </si>
  <si>
    <t>DOCTAISEI1270061</t>
  </si>
  <si>
    <t>Đồng ống TAISEI PC 12.70x0.61</t>
  </si>
  <si>
    <t>DOCTAISEI1270071</t>
  </si>
  <si>
    <t>Đồng ống TAISEI PC 12.70x0.71</t>
  </si>
  <si>
    <t>DOCTAISEI1270081</t>
  </si>
  <si>
    <t>Đồng ống TAISEI PC 12.70x0.81</t>
  </si>
  <si>
    <t>DOCTAISEI1588102</t>
  </si>
  <si>
    <t>Đồng ống TAISEI PC 15.88x1.02</t>
  </si>
  <si>
    <t>DOCTAISEI1588071</t>
  </si>
  <si>
    <t>Đồng ống TAISEI PC 15.88x0.71</t>
  </si>
  <si>
    <t>DOCTAISEI1588081</t>
  </si>
  <si>
    <t>Đồng ống TAISEI PC 15.88x0.81</t>
  </si>
  <si>
    <t>DOCTAISEI1588089</t>
  </si>
  <si>
    <t>Đồng ống TAISEI PC 15.88x0.89</t>
  </si>
  <si>
    <t>DOCTAISEI1588100</t>
  </si>
  <si>
    <t>Đồng ống TAISEI PC 15.88x1.00</t>
  </si>
  <si>
    <t>DOCTAISEI1905102</t>
  </si>
  <si>
    <t>Đồng ống TAISEI PC 19.05x1.02</t>
  </si>
  <si>
    <t>DOCTAISEI1905107</t>
  </si>
  <si>
    <t>Đồng ống TAISEI PC 19.05x1.07</t>
  </si>
  <si>
    <t>DOCTAISEI1905081</t>
  </si>
  <si>
    <t>Đồng ống TAISEI PC 19.05x0.81</t>
  </si>
  <si>
    <t>DOCTAISEI1905089</t>
  </si>
  <si>
    <t>Đồng ống TAISEI PC 19.05x0.89</t>
  </si>
  <si>
    <t>DOCTAISEI1905100</t>
  </si>
  <si>
    <t>Đồng ống TAISEI PC 19.05x1.00</t>
  </si>
  <si>
    <t>ĐTSCAY</t>
  </si>
  <si>
    <t>DOTVNTS158807129</t>
  </si>
  <si>
    <t>Đồng ống thẳng 15.88x0.71x2.9m Taisei</t>
  </si>
  <si>
    <t>DOTVNTS190509129</t>
  </si>
  <si>
    <t>Đồng ống thẳng Taisei 19.05 x 0.91 x 2.9m</t>
  </si>
  <si>
    <t>ĐTSCAYIB</t>
  </si>
  <si>
    <t>DOTVNTS1905100</t>
  </si>
  <si>
    <t>Đồng ống thẳng Taisei 19.05x1.00</t>
  </si>
  <si>
    <t>DOTVNTS127007129</t>
  </si>
  <si>
    <t>Đồng ống thẳng Taisei 12.70 x 0.71 x 2.9m</t>
  </si>
  <si>
    <t>DOTVNTS127008129</t>
  </si>
  <si>
    <t>Đồng ống thẳng Taisei 12.70 x 0.81 x 2.9m</t>
  </si>
  <si>
    <t>DOTVNTS28581129</t>
  </si>
  <si>
    <t>Đồng ống thẳng Taisei 28.58 x 1.1 x 2.9m</t>
  </si>
  <si>
    <t>ĐTSCAYDI</t>
  </si>
  <si>
    <t>DOTVNTS158810029</t>
  </si>
  <si>
    <t>Đồng ống thẳng 15.88x1.0x2.9m Taisei</t>
  </si>
  <si>
    <t>DOTVNTS222208129</t>
  </si>
  <si>
    <t>Đồng ống thẳng 22.22x0.81x2.9m Taisei</t>
  </si>
  <si>
    <t>DOTVNTS222209129</t>
  </si>
  <si>
    <t>Đồng ống thẳng 22.22x0.91x2.9m Taisei</t>
  </si>
  <si>
    <t>DOTVNTS22221029</t>
  </si>
  <si>
    <t>Đồng ống thẳng 22.22x1.0x2.9m Taisei</t>
  </si>
  <si>
    <t>DOTVNTS222210229</t>
  </si>
  <si>
    <t>Đồng ống thẳng 22.22x1.02x2.9m Taisei</t>
  </si>
  <si>
    <t>DOTVNTS222211429</t>
  </si>
  <si>
    <t>Đồng ống thẳng 22.22x1.14x2.9m Taisei</t>
  </si>
  <si>
    <t>DOTVNTS222212029</t>
  </si>
  <si>
    <t>Đồng ống thẳng 22.22x1.20x2.9m Taisei</t>
  </si>
  <si>
    <t>DOTVNTS25401029</t>
  </si>
  <si>
    <t>Đồng ống thẳng 25.40x1.0x2.9m Taisei</t>
  </si>
  <si>
    <t>DOTVNTS254012029</t>
  </si>
  <si>
    <t>Đồng ống thẳng Taisei 25.40x1.20x2.9</t>
  </si>
  <si>
    <t>DOTVNTS285812729</t>
  </si>
  <si>
    <t>Đồng ống thẳng 28.58x1.27x2.9m Taisei</t>
  </si>
  <si>
    <t>DOTVNTS285808129</t>
  </si>
  <si>
    <t>Đồng ống thẳng 28.58x0.81x2.9m Taisei</t>
  </si>
  <si>
    <t>DOTVNTS28581029</t>
  </si>
  <si>
    <t>Đồng ống thẳng 28.58x1.0x2.9m Taisei</t>
  </si>
  <si>
    <t>DOTVNTS285812029</t>
  </si>
  <si>
    <t>Đồng ống thẳng 28.58x1.20x2.9m Taisei</t>
  </si>
  <si>
    <t>DOTVNTS285812229</t>
  </si>
  <si>
    <t>Đồng ống thẳng 28.58x1.22x2.9m Taisei</t>
  </si>
  <si>
    <t>DOTVNTS285814029</t>
  </si>
  <si>
    <t>Đồng ống thẳng 28.58x1.40x2.9m Taisei</t>
  </si>
  <si>
    <t>DOTVNTS31751129</t>
  </si>
  <si>
    <t>Đồng ống thẳng Taisei 31.75 x 1.1 x 2.9m</t>
  </si>
  <si>
    <t>DOTVNTS317512029</t>
  </si>
  <si>
    <t>Đồng ống thẳng 31.75x1.2x2.9m Taisei</t>
  </si>
  <si>
    <t>DOTVNTS34931029</t>
  </si>
  <si>
    <t>Đồng ống thẳng 34.93x1.0x2.9m Taisei</t>
  </si>
  <si>
    <t>DOTVNTS349312029</t>
  </si>
  <si>
    <t>Đồng ống thẳng 34.93x1.2x2.9m Taisei</t>
  </si>
  <si>
    <t>DOTVNTS34931429</t>
  </si>
  <si>
    <t>Đồng ống thẳng 34.93x1.4x2.9m Taisei</t>
  </si>
  <si>
    <t>DOTVNTS381012029</t>
  </si>
  <si>
    <t>Đồng ống thẳng 38.10x1.2x2.9m Taisei</t>
  </si>
  <si>
    <t>DOTVNTS381014029</t>
  </si>
  <si>
    <t>Đồng ống thẳng 38.10x1.4x2.9m Taisei</t>
  </si>
  <si>
    <t>DOTVNTS412810029</t>
  </si>
  <si>
    <t>Đồng ống thẳng 41.28x1.0x2.9m Taisei</t>
  </si>
  <si>
    <t>DOTVNTS412812029</t>
  </si>
  <si>
    <t>Đồng ống thẳng 41.28x1.2x2.9m Taisei</t>
  </si>
  <si>
    <t>DOTVNTS412814029</t>
  </si>
  <si>
    <t>Đồng ống thẳng 41.28x1.40x2.9m Taisei</t>
  </si>
  <si>
    <t>DOTVNTS412814329</t>
  </si>
  <si>
    <t>Đồng ống thẳng 41.28x1.43x2.9m Taisei</t>
  </si>
  <si>
    <t>DOTVNTS41281529</t>
  </si>
  <si>
    <t>Đồng ống thẳng 41.28 x 1.5 x 2.9m Taisei</t>
  </si>
  <si>
    <t>DOTVNTS412815229</t>
  </si>
  <si>
    <t>Đồng ống thẳng 41.28x1.52x2.9m Taisei</t>
  </si>
  <si>
    <t>DOTVNTS349313629</t>
  </si>
  <si>
    <t>Đồng ống thẳng Taisei 34.93 x 1.36 x 2.9m</t>
  </si>
  <si>
    <t>DOTVNTS539814329</t>
  </si>
  <si>
    <t>Đồng ống thẳng 53.98x1.43x2.9m Taisei</t>
  </si>
  <si>
    <t>DOTTS047605130</t>
  </si>
  <si>
    <t>Đồng ống thẳng Taisei 4.76x0.51x3.0</t>
  </si>
  <si>
    <t>DOTTS055005130</t>
  </si>
  <si>
    <t>Đồng ống thẳng Taisei 05.50x0.51x3.0</t>
  </si>
  <si>
    <t>DOTTS063505130</t>
  </si>
  <si>
    <t>Đồng ống thẳng Taisei 06.35x0.51x3.0</t>
  </si>
  <si>
    <t>DOTTS064004530</t>
  </si>
  <si>
    <t>Đồng ống thẳng Taisei 06.40x0.45x3.0</t>
  </si>
  <si>
    <t>DOTTS065005030</t>
  </si>
  <si>
    <t>Đồng ống thẳng Taisei 06.50x0.50x3.0</t>
  </si>
  <si>
    <t>DOTTS065005530</t>
  </si>
  <si>
    <t>Đồng ống thẳng Taisei 06.50x0.55x3.0</t>
  </si>
  <si>
    <t>DOTTS065007030</t>
  </si>
  <si>
    <t>Đồng ống thẳng Taisei 06.50x0.70x3.0</t>
  </si>
  <si>
    <t>DOTTS070005530</t>
  </si>
  <si>
    <t>Đồng ống thẳng Taisei 07.00x0.55x3.0</t>
  </si>
  <si>
    <t>DOTTS070006130</t>
  </si>
  <si>
    <t>Đồng ống thẳng Taisei 07.00x0.61x3.0</t>
  </si>
  <si>
    <t>DOTTS075006030</t>
  </si>
  <si>
    <t>Đồng ống thẳng Taisei 07.50x0.60x3.0</t>
  </si>
  <si>
    <t>DOTTS075008030</t>
  </si>
  <si>
    <t>Đồng ống thẳng Taisei 07.50x0.80x3.0</t>
  </si>
  <si>
    <t>DOTTS0800071305</t>
  </si>
  <si>
    <t>Đồng ống thẳng Taisei 08.00x0.71x3.05</t>
  </si>
  <si>
    <t>DOTTS085006830</t>
  </si>
  <si>
    <t>Đồng ống thẳng Taisei 08.50x0.68x3.0</t>
  </si>
  <si>
    <t>DOTTS086006130</t>
  </si>
  <si>
    <t>Đồng ống thẳng Taisei 08.60x0.61x3.0</t>
  </si>
  <si>
    <t>DOTTS090007030</t>
  </si>
  <si>
    <t>Đồng ống thẳng Taisei 09.00x0.70x3.0</t>
  </si>
  <si>
    <t>DOTTS090009030</t>
  </si>
  <si>
    <t>Đồng ống thẳng Taisei 09.00x0.90x3.0</t>
  </si>
  <si>
    <t>DOTTS090010030</t>
  </si>
  <si>
    <t>Đồng ống thẳng Taisei 09.00x1.00x3.0</t>
  </si>
  <si>
    <t>DOTTS0900071304</t>
  </si>
  <si>
    <t>Đồng ống thẳng Taisei 09.00x0.71x3.04</t>
  </si>
  <si>
    <t>DOTTS0950078030</t>
  </si>
  <si>
    <t>Đồng ống thẳng Taisei 09.50x0.78x3.0</t>
  </si>
  <si>
    <t>DOTTS096006530</t>
  </si>
  <si>
    <t>Đồng ống thẳng Taisei 09.60x0.65x3.0</t>
  </si>
  <si>
    <t>DOTTS1000061304</t>
  </si>
  <si>
    <t>Đồng ống thẳng Taisei 10.00x0.61x3.04</t>
  </si>
  <si>
    <t>DOTTS100008003</t>
  </si>
  <si>
    <t>Đồng ống thẳng Taisei 10.00x0.80x3.0</t>
  </si>
  <si>
    <t>DOTTS1000081304</t>
  </si>
  <si>
    <t>Đồng ống thẳng Taisei 10.00x0.81x3.04</t>
  </si>
  <si>
    <t>DOTTS100008530</t>
  </si>
  <si>
    <t>Đồng ống thẳng Taisei 10.00x0.85x3.0</t>
  </si>
  <si>
    <t>DOTTS115008530</t>
  </si>
  <si>
    <t>Đồng ống thẳng Taisei 11.50x0.85x3.0</t>
  </si>
  <si>
    <t>DOTTS120008130</t>
  </si>
  <si>
    <t>Đồng ống thẳng Taisei 12.00x0.81x3.0</t>
  </si>
  <si>
    <t>DOTTS120008830</t>
  </si>
  <si>
    <t>Đồng ống thẳng Taisei 12.00x0.88x3.0</t>
  </si>
  <si>
    <t>DOTTS120009030</t>
  </si>
  <si>
    <t>Đồng ống thẳng Taisei 12.00x0.90x3.0</t>
  </si>
  <si>
    <t>DOTTS120009530</t>
  </si>
  <si>
    <t>Đồng ống thẳng Taisei 12.00x0.95x3.0</t>
  </si>
  <si>
    <t>DOTTS120009130</t>
  </si>
  <si>
    <t>Đồng ống thẳng Taisei 12.00x0.91x3.0</t>
  </si>
  <si>
    <t>DOTTS120010030</t>
  </si>
  <si>
    <t>Đồng ống thẳng Taisei 12.00x1.00x3.0</t>
  </si>
  <si>
    <t>DOTTS125013030</t>
  </si>
  <si>
    <t>Đồng ống thẳng Taisei 12.50x1.30x3.0</t>
  </si>
  <si>
    <t>DOTTS127005158</t>
  </si>
  <si>
    <t>Đồng ống thẳng Taisei 12.70x0.51x5.8</t>
  </si>
  <si>
    <t>DOTTS135010530</t>
  </si>
  <si>
    <t>Đồng ống thẳng Taisei 13.50x1.05x3.0</t>
  </si>
  <si>
    <t>DOTTS140011030</t>
  </si>
  <si>
    <t>Đồng ống thẳng Taisei 14.00x1.10x3.0</t>
  </si>
  <si>
    <t>DOTTS140011530</t>
  </si>
  <si>
    <t>Đồng ống thẳng Taisei 14.00x1.15x3.0</t>
  </si>
  <si>
    <t>DOTTS145015030</t>
  </si>
  <si>
    <t>Đồng ống thẳng Taisei 14.50x1.50x3.0</t>
  </si>
  <si>
    <t>DOTTS155012030</t>
  </si>
  <si>
    <t>Đồng ống thẳng taisei 15.50x1.20x3.0</t>
  </si>
  <si>
    <t>DOTTS158805158</t>
  </si>
  <si>
    <t>Đồng ống thẳng Taisei 15.88x0.51x5.8</t>
  </si>
  <si>
    <t>DOTTS160012030</t>
  </si>
  <si>
    <t>Đồng ống thẳng Taisei 16.00x1.20x3.0</t>
  </si>
  <si>
    <t>DOTTS160013030</t>
  </si>
  <si>
    <t>Đồng ống thẳng Taisei 16.00x1.30x3.0</t>
  </si>
  <si>
    <t>DOTTS20001731</t>
  </si>
  <si>
    <t>Đồng ống thẳng Taisei 20.00x1.7x3.1</t>
  </si>
  <si>
    <t>DOTTS175017030</t>
  </si>
  <si>
    <t>Đồng ống thẳng Taisei 17.50x1.70x3.0</t>
  </si>
  <si>
    <t>DOTTS180014530</t>
  </si>
  <si>
    <t>Đồng ống thẳng Taisei 18.00x1.45x3.0</t>
  </si>
  <si>
    <t>DOTTS180015030</t>
  </si>
  <si>
    <t>Đồng ống thẳng Taisei 18.00x1.50x3.0</t>
  </si>
  <si>
    <t>DOTTS195019530</t>
  </si>
  <si>
    <t>Đồng ống thẳng Taisei 19.50x1.95x3.0</t>
  </si>
  <si>
    <t>DOTTS2000160298</t>
  </si>
  <si>
    <t>Đồng ống thẳng Taisei 20.00x1.60x2.98</t>
  </si>
  <si>
    <t>DOTTS200015530</t>
  </si>
  <si>
    <t>Đồng ống thẳng Taisei 20.00x1.55x3.0</t>
  </si>
  <si>
    <t>DOTTS210015030</t>
  </si>
  <si>
    <t>Đồng ống thẳng taisei 21.00x1.50x3.0</t>
  </si>
  <si>
    <t>DOTTS215016030</t>
  </si>
  <si>
    <t>Đồng ống thẳng Taisei 21.50x1.60x3.0</t>
  </si>
  <si>
    <t>DOTTS220016530</t>
  </si>
  <si>
    <t>Đồng ống thẳng Taisei 22.00x1.65x3.0</t>
  </si>
  <si>
    <t>DOTTS220017030</t>
  </si>
  <si>
    <t>Đồng ống thẳng Taisei 22.00x1.70x3.0</t>
  </si>
  <si>
    <t>DOTTS2200180313</t>
  </si>
  <si>
    <t>Đồng ống thẳng Taisei 22.00x1.80x3.13</t>
  </si>
  <si>
    <t>DOTTS240018030</t>
  </si>
  <si>
    <t>Đồng ống thẳng taisei 24.00x1.80x3.0</t>
  </si>
  <si>
    <t>DOTTS250017030</t>
  </si>
  <si>
    <t>Đồng ống thẳng Taisei 25.00x1.70x3.0</t>
  </si>
  <si>
    <t>DOTTS250017530</t>
  </si>
  <si>
    <t>Đồng ống thẳng Taisei 25.00x1.75x3.0</t>
  </si>
  <si>
    <t>DOTTS250020030</t>
  </si>
  <si>
    <t>Đồng ống thẳng Taisei 25.00x2.00x3.0</t>
  </si>
  <si>
    <t>DOTTS254012029</t>
  </si>
  <si>
    <t>DOTTS265022030</t>
  </si>
  <si>
    <t>Đồng ống thẳng Taisei 26.50x2.2x3.0</t>
  </si>
  <si>
    <t>DOTTS265026030</t>
  </si>
  <si>
    <t>Đồng ống thẳng Taisei 26.50x2.6x3.0</t>
  </si>
  <si>
    <t>DOTTS280021030</t>
  </si>
  <si>
    <t>Đồng ống thẳng taisei 28.00x2.10x3.0</t>
  </si>
  <si>
    <t>DOTTS290022030</t>
  </si>
  <si>
    <t>Đồng ống thẳng Taisei 29.00x2.20x3.0</t>
  </si>
  <si>
    <t>DOTTS290022530</t>
  </si>
  <si>
    <t>Đồng ống thẳng Taisei 29.00x2.25x3.0</t>
  </si>
  <si>
    <t>DOTTS2900230300</t>
  </si>
  <si>
    <t>Đồng ống thẳng Taisei 29.00x2.30x3.0</t>
  </si>
  <si>
    <t>DOTTS2900230305</t>
  </si>
  <si>
    <t>Đồng ống thẳng Taisei 29.00x2.30x3.05</t>
  </si>
  <si>
    <t>DOTTS300028030</t>
  </si>
  <si>
    <t>Đồng ống thẳng Taisei 30.00x2.80x3.0</t>
  </si>
  <si>
    <t>DOTTS330026030</t>
  </si>
  <si>
    <t>Đồng ống thẳng Taisei 33.00x2.60x3.0</t>
  </si>
  <si>
    <t>ĐTSBANH</t>
  </si>
  <si>
    <t>DOLWCTS0500051</t>
  </si>
  <si>
    <t>Đồng ống LWC Taisei 5.00x0.51</t>
  </si>
  <si>
    <t>DOLWCTS0550051</t>
  </si>
  <si>
    <t>Đồng ống LWC Taisei 5.50x0.51</t>
  </si>
  <si>
    <t>DOLWCTS0635055</t>
  </si>
  <si>
    <t>Đồng ống LWC Taisei 06.35x0.55</t>
  </si>
  <si>
    <t>DOLWCTSKI0635051</t>
  </si>
  <si>
    <t>Đồng ống LWC Taisei KI 06.35x0.51</t>
  </si>
  <si>
    <t>DOLWCTS0635061</t>
  </si>
  <si>
    <t>Đồng ống LWC Taisei 06.35x0.61</t>
  </si>
  <si>
    <t>DOLWCTSKI0635061</t>
  </si>
  <si>
    <t>Đồng ống LWC Taisei KI 06.35x0.61</t>
  </si>
  <si>
    <t>DOLWCTS0635065</t>
  </si>
  <si>
    <t>Đồng ống LWC Taisei 06.35x0.65</t>
  </si>
  <si>
    <t>DOLWCTSKI0635055</t>
  </si>
  <si>
    <t>Đồng ống LWC Taisei KI 06.35x0.55</t>
  </si>
  <si>
    <t>DOLWCTSKI0635065</t>
  </si>
  <si>
    <t>Đồng ống LWC Taisei KI 06.35x0.65</t>
  </si>
  <si>
    <t>DOLWCTS0635071</t>
  </si>
  <si>
    <t>Đồng ống LWC Taisei 06.35x0.71</t>
  </si>
  <si>
    <t>DOLWCTSKI0635071</t>
  </si>
  <si>
    <t>Đồng ống LWC Taisei KI 06.35x0.71</t>
  </si>
  <si>
    <t>DOLWCTS0635081</t>
  </si>
  <si>
    <t>Đồng ống LWC Taisei 06.35x0.81</t>
  </si>
  <si>
    <t>DOLWCTSKI0635081</t>
  </si>
  <si>
    <t>Đồng ống LWC Taisei KI 06.35x0.81</t>
  </si>
  <si>
    <t>DOLWCTS0720060</t>
  </si>
  <si>
    <t>Đồng ống LWC Taisei 07.20x0.60</t>
  </si>
  <si>
    <t>DOLWCTS0952061</t>
  </si>
  <si>
    <t>Đồng ống LWC Taisei 09.52x0.61</t>
  </si>
  <si>
    <t>DOLWCTSKI0952061</t>
  </si>
  <si>
    <t>Đồng ống LWC Taisei KI 09.52x0.61</t>
  </si>
  <si>
    <t>DOLWCTS0952055</t>
  </si>
  <si>
    <t>Đồng ống LWC Taisei 09.52x0.55</t>
  </si>
  <si>
    <t>DOLWCTSKI0952055</t>
  </si>
  <si>
    <t>Đồng ống LWC Taisei KI 09.52x0.55</t>
  </si>
  <si>
    <t>DOLWCTS0952065</t>
  </si>
  <si>
    <t>Đồng ống LWC Taisei 09.52x0.65</t>
  </si>
  <si>
    <t>DOLWCTSKI0952065</t>
  </si>
  <si>
    <t>Đồng ống LWC Taisei KI 09.52x0.65</t>
  </si>
  <si>
    <t>DOLWCTS0952071</t>
  </si>
  <si>
    <t>Đồng ống LWC Taisei 09.52x0.71</t>
  </si>
  <si>
    <t>DOLWCTSKI0952071</t>
  </si>
  <si>
    <t>Đồng ống LWC Taisei KI 09.52x0.71</t>
  </si>
  <si>
    <t>DOLWCTS0952081</t>
  </si>
  <si>
    <t>Đồng ống LWC Taisei 09.52x0.81</t>
  </si>
  <si>
    <t>DOLWCTSKI0952081</t>
  </si>
  <si>
    <t>Đồng ống LWC Taisei KI 09.52x0.81</t>
  </si>
  <si>
    <t>DOLWCTS1270061</t>
  </si>
  <si>
    <t>Đồng ống LWC Taisei 12.70x0.61</t>
  </si>
  <si>
    <t>DOLWCTS1270065</t>
  </si>
  <si>
    <t>Đồng ống LWC Taisei 12.70x0.65</t>
  </si>
  <si>
    <t>DOLWCTSKI1270065</t>
  </si>
  <si>
    <t>Đồng ống LWC Taisei KI 12.70x0.65</t>
  </si>
  <si>
    <t>DOLWCTS1270071</t>
  </si>
  <si>
    <t>Đồng ống LWC Taisei 12.70x0.71</t>
  </si>
  <si>
    <t>DOLWCTSKI1270071</t>
  </si>
  <si>
    <t>Đồng ống LWC Taisei KI 12.70x0.71</t>
  </si>
  <si>
    <t>DOLWCTS1270081</t>
  </si>
  <si>
    <t>Đồng ống LWC Taisei 12.70x0.81</t>
  </si>
  <si>
    <t>DOLWCTS1588071</t>
  </si>
  <si>
    <t>Đồng ống LWC Taisei 15.88x0.71</t>
  </si>
  <si>
    <t>DOLWCTSKI1588071</t>
  </si>
  <si>
    <t>Đồng ống LWC Taisei KI 15.88x0.71</t>
  </si>
  <si>
    <t>DOLWCTS1588081</t>
  </si>
  <si>
    <t>Đồng ống LWC Taisei 15.88x0.81</t>
  </si>
  <si>
    <t>DOLWCTSKI1588081</t>
  </si>
  <si>
    <t>Đồng ống LWC Taisei KI 15.88x0.81</t>
  </si>
  <si>
    <t>DOLWCTS1588102</t>
  </si>
  <si>
    <t>Đồng ống LWC Taisei 15.88x1.02</t>
  </si>
  <si>
    <t>DOLWCTS1905081</t>
  </si>
  <si>
    <t>Đồng ống LWC Taisei 19.05x0.81</t>
  </si>
  <si>
    <t>J-Flex</t>
  </si>
  <si>
    <t>ĐJFLEXCUON</t>
  </si>
  <si>
    <t>JC06000GA15M</t>
  </si>
  <si>
    <t>Đồng ống PC J-Flex 06.00x0.61</t>
  </si>
  <si>
    <t>JC0600A0015M</t>
  </si>
  <si>
    <t>Đồng ống PC J-Flex 06.00x1.00</t>
  </si>
  <si>
    <t>JC06350EA15M</t>
  </si>
  <si>
    <t>Đồng ống PC J-Flex 06.35x0.51</t>
  </si>
  <si>
    <t>JC06350GA15M</t>
  </si>
  <si>
    <t>Đồng ống PC J-Flex 06.35x0.61</t>
  </si>
  <si>
    <t>JC06350GE15M</t>
  </si>
  <si>
    <t>Đồng ống PC J-Flex 06.35x0.65</t>
  </si>
  <si>
    <t>JC06350HA15M</t>
  </si>
  <si>
    <t>Đồng ống PC J-Flex 06.35x0.71</t>
  </si>
  <si>
    <t>JC06350IA15M</t>
  </si>
  <si>
    <t>Đồng ống PC J-Flex 06.35x0.81</t>
  </si>
  <si>
    <t>JC07940EE15M</t>
  </si>
  <si>
    <t>Đồng ống PC J-Flex 07.94x0.55</t>
  </si>
  <si>
    <t>JC07940GA15M</t>
  </si>
  <si>
    <t>Đồng ống PC J-Flex 07.94x0.61</t>
  </si>
  <si>
    <t>JC0800A0015M</t>
  </si>
  <si>
    <t>Đồng ống PC J-Flex 08.00x1.00</t>
  </si>
  <si>
    <t>JC0800AE015M</t>
  </si>
  <si>
    <t>Đồng ống PC J-Flex 08.00x1.50</t>
  </si>
  <si>
    <t>JC09520EA15M</t>
  </si>
  <si>
    <t>Đồng ống PC J-Flex 09.52x0.51</t>
  </si>
  <si>
    <t>JC09520GA15M</t>
  </si>
  <si>
    <t>Đồng ống PC J-Flex 09.52x0.61</t>
  </si>
  <si>
    <t>JC09520GE15M</t>
  </si>
  <si>
    <t>Đồng ống PC J-Flex 09.52x0.65</t>
  </si>
  <si>
    <t>JC09520HA15M</t>
  </si>
  <si>
    <t>Đồng ống PC J-Flex 09.52x0.71</t>
  </si>
  <si>
    <t>JC09520IA15M</t>
  </si>
  <si>
    <t>Đồng ống PC J-Flex 09.52x0.81</t>
  </si>
  <si>
    <t>JC1000A0015M</t>
  </si>
  <si>
    <t>Đồng ống PC J-Flex 10.00x1.00</t>
  </si>
  <si>
    <t>JC12700GA15M</t>
  </si>
  <si>
    <t>Đồng ống PC J-Flex 12.7x0.61</t>
  </si>
  <si>
    <t>JC12700GE15M</t>
  </si>
  <si>
    <t>Đồng ống PC J-Flex 12.7x0.65</t>
  </si>
  <si>
    <t>JC12700HA15M</t>
  </si>
  <si>
    <t>Đồng ống PC J-Flex 12.7x0.71</t>
  </si>
  <si>
    <t>JC12700IA15M</t>
  </si>
  <si>
    <t>Đồng ống PC J-Flex 12.7x0.81</t>
  </si>
  <si>
    <t>Đồng ống PC J-Flex 15.88x0.71</t>
  </si>
  <si>
    <t>JC15880HE15M</t>
  </si>
  <si>
    <t>Đồng ống PC J-Flex 15.88x0.75</t>
  </si>
  <si>
    <t>JC15880IA15M</t>
  </si>
  <si>
    <t>Đồng ống PC J-Flex 15.88x0.81</t>
  </si>
  <si>
    <t>JC1588A0015M</t>
  </si>
  <si>
    <t>Đồng ống PC J-Flex 15.88x1.00</t>
  </si>
  <si>
    <t>JC1588A0B15M</t>
  </si>
  <si>
    <t>Đồng ống PC J-Flex 15.88x1.02</t>
  </si>
  <si>
    <t>Đồng ống PC J-Flex 19.05x0.71</t>
  </si>
  <si>
    <t>JC19050IA15M</t>
  </si>
  <si>
    <t>Đồng ống PC J-Flex 19.05x0.81</t>
  </si>
  <si>
    <t>JC1905A0015M</t>
  </si>
  <si>
    <t>Đồng ống PC J-Flex 19.05x1.00</t>
  </si>
  <si>
    <t>JC1905A0B15M</t>
  </si>
  <si>
    <t>Đồng ống PC J-Flex 19.05x1.02</t>
  </si>
  <si>
    <t>ĐJFLEXCAY</t>
  </si>
  <si>
    <t>JT06400E0030</t>
  </si>
  <si>
    <t>Đồng ống thẳng J-Flex 06.40x0.50x3.0</t>
  </si>
  <si>
    <t>JT06500E0030</t>
  </si>
  <si>
    <t>Đồng ống thẳng J-Flex 06.50x0.50x3.0</t>
  </si>
  <si>
    <t>JT06500H0030</t>
  </si>
  <si>
    <t>Đồng ống thẳng J-Flex 06.50x0.70x3.0</t>
  </si>
  <si>
    <t>JT07000G0030</t>
  </si>
  <si>
    <t>Đồng ống thẳng J-Flex 07.00x0.60x3.0</t>
  </si>
  <si>
    <t>JT07500G0030</t>
  </si>
  <si>
    <t>Đồng ống thẳng J-Flex 07.50x0.60x3.0</t>
  </si>
  <si>
    <t>JT07500I0030</t>
  </si>
  <si>
    <t>Đồng ống thẳng J-Flex 07.50x0.80x3.0</t>
  </si>
  <si>
    <t>JT08500GI030</t>
  </si>
  <si>
    <t>Đồng ống thẳng J-Flex 08.50x0.68x3.0</t>
  </si>
  <si>
    <t>JT09000GA030</t>
  </si>
  <si>
    <t>Đồng ống thẳng J-Flex 09.00x0.61x3.0</t>
  </si>
  <si>
    <t>JT09000HA030</t>
  </si>
  <si>
    <t>Đồng ống thẳng J-Flex 09.00x0.71x3.0</t>
  </si>
  <si>
    <t>JT09000I0030</t>
  </si>
  <si>
    <t>Đồng ống thẳng J-Flex 09.00x0.80x3.0</t>
  </si>
  <si>
    <t>JT0900A00030</t>
  </si>
  <si>
    <t>Đồng ống thẳng J-Flex 09.00x1.00x3.0</t>
  </si>
  <si>
    <t>JT09500HI030</t>
  </si>
  <si>
    <t>Đồng ống thẳng J-Flex 09.50x0.78x3.0</t>
  </si>
  <si>
    <t>JT09500IA030</t>
  </si>
  <si>
    <t>Đồng ống thẳng J-Flex 09.50x0.81x3.0</t>
  </si>
  <si>
    <t>JT09600GE030</t>
  </si>
  <si>
    <t>Đồng ống thẳng J-Flex 09.60x0.65x3.0</t>
  </si>
  <si>
    <t>JT10000I002115</t>
  </si>
  <si>
    <t>Đồng ống thẳng J-Flex 10.00x0.80x2.115</t>
  </si>
  <si>
    <t>JT10000I0030</t>
  </si>
  <si>
    <t>Đồng ống thẳng J-Flex 10.00x0.80x3.0</t>
  </si>
  <si>
    <t>JT10000IE030</t>
  </si>
  <si>
    <t>Đồng ống thẳng J-Flex 10.00x0.85x3.0</t>
  </si>
  <si>
    <t>JT1050AA0030</t>
  </si>
  <si>
    <t>Đồng ống thẳng J-Flex 10.50x1.10x3.0</t>
  </si>
  <si>
    <t>JT11500IE030</t>
  </si>
  <si>
    <t>Đồng ống thẳng J-Flex 11.50x0.85x3.0</t>
  </si>
  <si>
    <t>JT11500K0030</t>
  </si>
  <si>
    <t>Đồng ống thẳng J-Flex 11.50x0.90x3.0</t>
  </si>
  <si>
    <t>JT12000II030</t>
  </si>
  <si>
    <t>Đồng ống thẳng J-Flex 12.00x0.88x3.0</t>
  </si>
  <si>
    <t>JT1200A00030</t>
  </si>
  <si>
    <t>Đồng ống thẳng J-Flex 12.00x1.00x3.0</t>
  </si>
  <si>
    <t>JT1250AC0030</t>
  </si>
  <si>
    <t>Đồng ống thẳng J-Flex 12.50x1.30x3.0</t>
  </si>
  <si>
    <t>JT1350A0E030</t>
  </si>
  <si>
    <t>Đồng ống thẳng J-Flex 13.50x1.05x3.0</t>
  </si>
  <si>
    <t>JT1350AA0030</t>
  </si>
  <si>
    <t>Đồng ống thẳng J-Flex 13.50x1.10x3.0</t>
  </si>
  <si>
    <t>JT1400AA0030</t>
  </si>
  <si>
    <t>Đồng ống thẳng J-Flex 14.00x1.10x3.0</t>
  </si>
  <si>
    <t>JT1400AB0030</t>
  </si>
  <si>
    <t>Đồng ống thẳng J-Flex 14.00x1.20x3.0</t>
  </si>
  <si>
    <t>JT1550AB0030</t>
  </si>
  <si>
    <t>Đồng ống thẳng J-Flex 15.50x1.20x3.0</t>
  </si>
  <si>
    <t>JT1550AC0030</t>
  </si>
  <si>
    <t>Đồng ống thẳng J-Flex 15.50x1.30x3.0</t>
  </si>
  <si>
    <t>JT15880EA0396</t>
  </si>
  <si>
    <t>Đồng ống thẳng J-Flex 15.88x0.51x3.960</t>
  </si>
  <si>
    <t>JT15880EA058</t>
  </si>
  <si>
    <t>Đồng ống thẳng J-Flex 15.88x0.51x5.8</t>
  </si>
  <si>
    <t>JT15880GA058</t>
  </si>
  <si>
    <t>Đồng ống thẳng J-Flex 15.88x0.61x5.8</t>
  </si>
  <si>
    <t>JT15880IA058</t>
  </si>
  <si>
    <t>Đồng ống thẳng J-Flex 15.88x0.81x5.8</t>
  </si>
  <si>
    <t>JT1600AC0030</t>
  </si>
  <si>
    <t>Đồng ống thẳng J-Flex 16.00x1.30x3.0</t>
  </si>
  <si>
    <t>JT1700AC0030</t>
  </si>
  <si>
    <t>Đồng ống thẳng J-Flex 17.00x1.30x3.0</t>
  </si>
  <si>
    <t>JT1800AE0030</t>
  </si>
  <si>
    <t>Đồng ống thẳng J-Flex 18.00x1.50x3.0</t>
  </si>
  <si>
    <t>JT1800AG0030</t>
  </si>
  <si>
    <t>Đồng ống thẳng J-Flex 18.00x1.60x3.0</t>
  </si>
  <si>
    <t>JT1900AD0030</t>
  </si>
  <si>
    <t>Đồng ống thẳng J-Flex 19.00x1.40x3.0</t>
  </si>
  <si>
    <t>JT1905A00029</t>
  </si>
  <si>
    <t>Đồng ống thẳng J-Flex 19.05x1.00</t>
  </si>
  <si>
    <t>JT1950AG0030</t>
  </si>
  <si>
    <t>Đồng ống thẳng J-Flex 19.50x1.60x3.0</t>
  </si>
  <si>
    <t>JT2000AG0030</t>
  </si>
  <si>
    <t>Đồng ống thẳng J-Flex 20.00x1.60x3.0</t>
  </si>
  <si>
    <t>JT2000AG0031</t>
  </si>
  <si>
    <t>Đồng ống thẳng J-Flex 20.00x1.60x3.1</t>
  </si>
  <si>
    <t>JT2000B00030</t>
  </si>
  <si>
    <t>Đồng ống thẳng J-Flex 20.00x2.00x3.0</t>
  </si>
  <si>
    <t>JT2100AE0030</t>
  </si>
  <si>
    <t>Đồng ống thẳng J-Flex 21.00x1.50x3.0</t>
  </si>
  <si>
    <t>JT2150AH0030</t>
  </si>
  <si>
    <t>Đồng ống thẳng J-Flex 21.50x1.70x3.0</t>
  </si>
  <si>
    <t>JT2200AH0030</t>
  </si>
  <si>
    <t>Đồng ống thẳng J-Flex 22.00x1.70x3.0</t>
  </si>
  <si>
    <t>JT22220GA029</t>
  </si>
  <si>
    <t>Đồng ống thẳng J-Flex 22.22x0.61</t>
  </si>
  <si>
    <t>JT22220HA029</t>
  </si>
  <si>
    <t>Đồng ống thẳng J-Flex 22.22x0.71</t>
  </si>
  <si>
    <t>JT22220IA029</t>
  </si>
  <si>
    <t>Đồng ống thẳng J-Flex 22.22x0.81</t>
  </si>
  <si>
    <t>JT2222A0B029</t>
  </si>
  <si>
    <t>Đồng ống thẳng J-Flex 22.22x1.02</t>
  </si>
  <si>
    <t>JT2222ABB029</t>
  </si>
  <si>
    <t>Đồng ống thẳng J-Flex 22.22x1.22</t>
  </si>
  <si>
    <t>JT2300BA0030</t>
  </si>
  <si>
    <t>Đồng ống thẳng J-Flex 23.00x2.10x3.0</t>
  </si>
  <si>
    <t>JT2350BE0030</t>
  </si>
  <si>
    <t>Đồng ống thẳng J-Flex 23.50x2.50x3.0</t>
  </si>
  <si>
    <t>JT2400AI0030</t>
  </si>
  <si>
    <t>Đồng ống thẳng J-Flex 24.00x1.80x3.0</t>
  </si>
  <si>
    <t>JT2500AE0031</t>
  </si>
  <si>
    <t>Đồng ống thẳng J-Flex 25.00x1.50x3.1</t>
  </si>
  <si>
    <t>JT2500AI0030</t>
  </si>
  <si>
    <t>Đồng ống thẳng J-Flex 25.00x1.80x3.0</t>
  </si>
  <si>
    <t>JT2500AK0030</t>
  </si>
  <si>
    <t>Đồng ống thẳng J-Flex 25.00x1.90x3.0</t>
  </si>
  <si>
    <t>JT2500B00030</t>
  </si>
  <si>
    <t>Đồng ống thẳng J-Flex 25.00x2.00x3.0</t>
  </si>
  <si>
    <t>JT25400HA029</t>
  </si>
  <si>
    <t>Đồng ống thẳng J-Flex 25.4x0.71</t>
  </si>
  <si>
    <t>JT25400IA029</t>
  </si>
  <si>
    <t>Đồng ống thẳng J-Flex 25.4x0.81</t>
  </si>
  <si>
    <t>JT2540A0B029</t>
  </si>
  <si>
    <t>Đồng ống thẳng J-Flex 25.4x1.02</t>
  </si>
  <si>
    <t>JT2650BHE030</t>
  </si>
  <si>
    <t>Đồng ống thẳng J-Flex 26.50x2.75x3.0</t>
  </si>
  <si>
    <t>JT2700BG0030</t>
  </si>
  <si>
    <t>Đồng ống thẳng J-Flex 27.00x2.60x3.0</t>
  </si>
  <si>
    <t>JT2800B00030</t>
  </si>
  <si>
    <t>Đồng ống thẳng J-Flex 28.00x2.00x3.0</t>
  </si>
  <si>
    <t>JT2800BA0030</t>
  </si>
  <si>
    <t>Đồng ống thẳng J-Flex 28.00x2.10x3.0</t>
  </si>
  <si>
    <t>JT2858ABH029</t>
  </si>
  <si>
    <t>Đồng ống thẳng J-Flex 28.58x1.27</t>
  </si>
  <si>
    <t>JT28580HA029</t>
  </si>
  <si>
    <t>Đồng ống thẳng J-Flex 28.58x0.71</t>
  </si>
  <si>
    <t>JT28580IA029</t>
  </si>
  <si>
    <t>Đồng ống thẳng J-Flex 28.58x0.81</t>
  </si>
  <si>
    <t>JT2858A0B029</t>
  </si>
  <si>
    <t>Đồng ống thẳng J-Flex 28.58x1.02</t>
  </si>
  <si>
    <t>JT2858ABB029</t>
  </si>
  <si>
    <t>Đồng ống thẳng J-Flex 28.58x1.22</t>
  </si>
  <si>
    <t>JT2900BC0030</t>
  </si>
  <si>
    <t>Đồng ống thẳng J-Flex 29.00x2.30x3.0</t>
  </si>
  <si>
    <t>JT2900CA0030</t>
  </si>
  <si>
    <t>Đồng ống thẳng J-Flex 29.00x3.10x3.0</t>
  </si>
  <si>
    <t>JT3000B00030</t>
  </si>
  <si>
    <t>Đồng ống thẳng J-Flex 30.00x2.00x3.0</t>
  </si>
  <si>
    <t>JT3000BI0030</t>
  </si>
  <si>
    <t>Đồng ống thẳng J-Flex 30.00x2.80x3.0</t>
  </si>
  <si>
    <t>JT3050BD0030</t>
  </si>
  <si>
    <t>Đồng ống thẳng J-Flex 30.50x2.40x3.0</t>
  </si>
  <si>
    <t>JT31750HA029</t>
  </si>
  <si>
    <t>Đồng ống thẳng J-Flex 31.75x0.71</t>
  </si>
  <si>
    <t>JT31750IA029</t>
  </si>
  <si>
    <t>Đồng ống thẳng J-Flex 31.75x0.81</t>
  </si>
  <si>
    <t>JT3175A0B029</t>
  </si>
  <si>
    <t>Đồng ống thẳng J-Flex 31.75x1.02</t>
  </si>
  <si>
    <t>JT3175ABB029</t>
  </si>
  <si>
    <t>Đồng ống thẳng J-Flex 31.75x1.22</t>
  </si>
  <si>
    <t>JT3300BG0030</t>
  </si>
  <si>
    <t>Đồng ống thẳng J-Flex 33.00x2.60x3.0</t>
  </si>
  <si>
    <t>JT3400CB0030</t>
  </si>
  <si>
    <t>Đồng ống thẳng J-Flex 34.00x3.20x3.0</t>
  </si>
  <si>
    <t>JT34930IA029</t>
  </si>
  <si>
    <t>Đồng ống thẳng J-Flex 34.93x0.81</t>
  </si>
  <si>
    <t>JT3493A0B029</t>
  </si>
  <si>
    <t>Đồng ống thẳng J-Flex 34.93x1.02</t>
  </si>
  <si>
    <t>JT3493ABB029</t>
  </si>
  <si>
    <t>Đồng ống thẳng J-Flex 34.93x1.22</t>
  </si>
  <si>
    <t>JT3493ADC029</t>
  </si>
  <si>
    <t>Đồng ống thẳng J-Flex 34.93x1.43</t>
  </si>
  <si>
    <t>JT3810A0B029</t>
  </si>
  <si>
    <t>Đồng ống thẳng J-Flex 38.10x1.02</t>
  </si>
  <si>
    <t>JT4128A0B029</t>
  </si>
  <si>
    <t>Đồng ống thẳng J-Flex 41.28x1.02</t>
  </si>
  <si>
    <t>JT4128ABB029</t>
  </si>
  <si>
    <t>Đồng ống thẳng J-Flex 41.28x1.22</t>
  </si>
  <si>
    <t>JT4128ADC029</t>
  </si>
  <si>
    <t>Đồng ống thẳng J-Flex 41.28x1.43</t>
  </si>
  <si>
    <t>ĐJFLEXBANH</t>
  </si>
  <si>
    <t>JW01940GALWC</t>
  </si>
  <si>
    <t>Đồng ống LWC J-Flex 01.94x0.61</t>
  </si>
  <si>
    <t>JW04760EALWC</t>
  </si>
  <si>
    <t>Đồng ống LWC J-Flex 04.76x0.51</t>
  </si>
  <si>
    <t>JW05000E0LWC</t>
  </si>
  <si>
    <t>Đồng ống LWC J-Flex 05.00x0.50</t>
  </si>
  <si>
    <t>JW05000EALWC</t>
  </si>
  <si>
    <t>Đồng ống LWC J-Flex 05.00x0.51</t>
  </si>
  <si>
    <t>JW06350EALWC</t>
  </si>
  <si>
    <t>Đồng ống LWC J-Flex 06.35x0.51</t>
  </si>
  <si>
    <t>JW06350EELWC</t>
  </si>
  <si>
    <t>Đồng ống LWC J-Flex 06.35x0.55</t>
  </si>
  <si>
    <t>JW06350GALWC</t>
  </si>
  <si>
    <t>Đồng ống LWC J-Flex 06.35x0.61</t>
  </si>
  <si>
    <t>JW06350GELWC</t>
  </si>
  <si>
    <t>Đồng ống LWC J-Flex 06.35x0.65</t>
  </si>
  <si>
    <t>JW06350GELWCKI</t>
  </si>
  <si>
    <t>Đồng ống LWC J-Flex không in 06.35x0.65</t>
  </si>
  <si>
    <t>JW06350HALWC</t>
  </si>
  <si>
    <t>Đồng ống LWC J-Flex 06.35x0.71</t>
  </si>
  <si>
    <t>JW06350HELWC</t>
  </si>
  <si>
    <t>Đồng ống LWC J-Flex 06.35x0.75</t>
  </si>
  <si>
    <t>JW06350IALWC</t>
  </si>
  <si>
    <t>Đồng ống LWC J-Flex 06.35x0.81</t>
  </si>
  <si>
    <t>JW06500EELWC</t>
  </si>
  <si>
    <t>Đồng ống LWC J-Flex 06.50x0.55</t>
  </si>
  <si>
    <t>JW07940EALWC</t>
  </si>
  <si>
    <t>Đồng ống LWC J-Flex 07.94x0.51</t>
  </si>
  <si>
    <t>JW07940EELWC</t>
  </si>
  <si>
    <t>Đồng ống LWC J-Flex 07.94x0.55</t>
  </si>
  <si>
    <t>JW07940GALWC</t>
  </si>
  <si>
    <t>Đồng ống LWC J-Flex 07.94x0.61</t>
  </si>
  <si>
    <t>JW07940GELWC</t>
  </si>
  <si>
    <t>Đồng ống LWC J-Flex 07.94x0.65</t>
  </si>
  <si>
    <t>JW07940HALWC</t>
  </si>
  <si>
    <t>Đồng ống LWC J-Flex 07.94x0.71</t>
  </si>
  <si>
    <t>JW07940HELWC</t>
  </si>
  <si>
    <t>Đồng ống LWC J-Flex 07.94x0.75</t>
  </si>
  <si>
    <t>JW07940IALWC</t>
  </si>
  <si>
    <t>Đồng ống LWC J-Flex 07.94x0.81</t>
  </si>
  <si>
    <t>JW09520EALWC</t>
  </si>
  <si>
    <t>Đồng ống LWC J-Flex 09.52x0.51</t>
  </si>
  <si>
    <t>JW09520EELWC</t>
  </si>
  <si>
    <t>Đồng ống LWC J-Flex 09.52x0.55</t>
  </si>
  <si>
    <t>JW09520GALWC</t>
  </si>
  <si>
    <t>Đồng ống LWC J-Flex 09.52x0.61</t>
  </si>
  <si>
    <t>JW09520GALWCKI</t>
  </si>
  <si>
    <t>Đồng ống LWC J-Flex không in 09.52x0.61</t>
  </si>
  <si>
    <t>JW09520GELWC</t>
  </si>
  <si>
    <t>Đồng ống LWC J-Flex 09.52x0.65</t>
  </si>
  <si>
    <t>JW09520GELWCKI</t>
  </si>
  <si>
    <t>Đồng ống LWC J-Flex không in 09.52x0.65</t>
  </si>
  <si>
    <t>JW09520HALWC</t>
  </si>
  <si>
    <t>Đồng ống LWC J-Flex 09.52x0.71</t>
  </si>
  <si>
    <t>JW09520HALWCKI</t>
  </si>
  <si>
    <t>Đồng ống LWC J-Flex không in 09.52x0.71</t>
  </si>
  <si>
    <t>JW09520HELWC</t>
  </si>
  <si>
    <t>Đồng ống LWC J-Flex 09.52x0.75</t>
  </si>
  <si>
    <t>JW09520IALWC</t>
  </si>
  <si>
    <t>Đồng ống LWC J-Flex 09.52x0.81</t>
  </si>
  <si>
    <t>JW12700EALWC</t>
  </si>
  <si>
    <t>Đồng ống LWC J-Flex 12.7x0.51</t>
  </si>
  <si>
    <t>JW12700EELWC</t>
  </si>
  <si>
    <t>Đồng ống LWC J-Flex 12.7x0.55</t>
  </si>
  <si>
    <t>JW12700GALWC</t>
  </si>
  <si>
    <t>Đồng ống LWC J-Flex 12.7x0.61</t>
  </si>
  <si>
    <t>JW12700GELWC</t>
  </si>
  <si>
    <t>Đồng ống LWC J-Flex 12.7x0.65</t>
  </si>
  <si>
    <t>JW12700HALWC</t>
  </si>
  <si>
    <t>Đồng ống LWC J-Flex 12.7x0.71</t>
  </si>
  <si>
    <t>JW12700HALWCKI</t>
  </si>
  <si>
    <t>Đồng ống LWC J-Flex không in 12.7x0.71</t>
  </si>
  <si>
    <t>JW12700HELWC</t>
  </si>
  <si>
    <t>Đồng ống LWC J-Flex 12.7x0.75</t>
  </si>
  <si>
    <t>JW12700IALWC</t>
  </si>
  <si>
    <t>Đồng ống LWC J-Flex 12.7x0.81</t>
  </si>
  <si>
    <t>JW12700IALWCKI</t>
  </si>
  <si>
    <t>Đồng ống LWC J-Flex không in 12.7x0.81</t>
  </si>
  <si>
    <t>JW15880EALWC</t>
  </si>
  <si>
    <t>Đồng ống LWC J-Flex 15.88x0.51</t>
  </si>
  <si>
    <t>JW15880EELWC</t>
  </si>
  <si>
    <t>Đồng ống LWC J-Flex 15.88x0.55</t>
  </si>
  <si>
    <t>JW15880GALWC</t>
  </si>
  <si>
    <t>Đồng ống LWC J-Flex 15.88x0.61</t>
  </si>
  <si>
    <t>JW15880GELWC</t>
  </si>
  <si>
    <t>Đồng ống LWC J-Flex 15.88x0.65</t>
  </si>
  <si>
    <t>JW15880HALWC</t>
  </si>
  <si>
    <t>Đồng ống LWC J-Flex 15.88x0.71</t>
  </si>
  <si>
    <t>JW15880HELWC</t>
  </si>
  <si>
    <t>Đồng ống LWC J-Flex 15.88x0.75</t>
  </si>
  <si>
    <t>JW15880IALWC</t>
  </si>
  <si>
    <t>Đồng ống LWC J-Flex 15.88x0.81</t>
  </si>
  <si>
    <t>JW15880IALWCKI</t>
  </si>
  <si>
    <t>Đồng ống LWC J-Flex không in 15.88x0.81</t>
  </si>
  <si>
    <t>JW1588A0BLWC</t>
  </si>
  <si>
    <t>Đồng ống LWC J-Flex 15.88x1.02</t>
  </si>
  <si>
    <t>JW19050HALWC</t>
  </si>
  <si>
    <t>Đồng ống LWC J-Flex 19.05x0.71</t>
  </si>
  <si>
    <t>JW19050HELWC</t>
  </si>
  <si>
    <t>Đồng ống LWC J-Flex 19.05x0.75</t>
  </si>
  <si>
    <t>JW19050IALWC</t>
  </si>
  <si>
    <t>Đồng ống LWC J-Flex 19.05x0.81</t>
  </si>
  <si>
    <t>JW1905A0BLWC</t>
  </si>
  <si>
    <t>Đồng ống LWC J-Flex 19.05x1.02</t>
  </si>
  <si>
    <t>Ống đồng Toàn Phát luồn xốp Taisei</t>
  </si>
  <si>
    <t>DONGKHAC</t>
  </si>
  <si>
    <t>ODLBOTS0610061</t>
  </si>
  <si>
    <t>Ống đồng luồn bảo ôn Taisei (6+10)x0.61</t>
  </si>
  <si>
    <t>ODLBOTS0612061</t>
  </si>
  <si>
    <t>Ống đồng luồn bảo ôn Taisei (6+12)x0.61</t>
  </si>
  <si>
    <t>ODLBOTS0610071</t>
  </si>
  <si>
    <t>Ống đồng luồn bảo ôn Taisei (6+10)x0.71</t>
  </si>
  <si>
    <t>ODLBOTS0612071</t>
  </si>
  <si>
    <t>Ống đồng luồn bảo ôn Taisei (6+12)x0.71</t>
  </si>
  <si>
    <t>ODLBOTS0616071</t>
  </si>
  <si>
    <t>Ống đồng luồn bảo ôn Taisei (6+16)x0.71</t>
  </si>
  <si>
    <t>ODLBOTS1016071</t>
  </si>
  <si>
    <t>Ống đồng luồn bảo ôn Taisei (10+16)x0.71</t>
  </si>
  <si>
    <t>ODLBOTS0610081</t>
  </si>
  <si>
    <t>Ống đồng luồn bảo ôn Taisei (6+10)x0.81</t>
  </si>
  <si>
    <t>ODLBOTS0612081</t>
  </si>
  <si>
    <t>Ống đồng luồn bảo ôn Taisei (6+12)x0.81</t>
  </si>
  <si>
    <t>ODLBOTS0616081</t>
  </si>
  <si>
    <t>Ống đồng luồn bảo ôn Taisei (6+16)x0.81</t>
  </si>
  <si>
    <t>ODLBOTS1016081</t>
  </si>
  <si>
    <t>Ống đồng luồn bảo ôn Taisei (10+16)x0.81</t>
  </si>
  <si>
    <t>Ống đồng Hailiang luồn xốp Taisei</t>
  </si>
  <si>
    <t>ODLBOTSHL0610061</t>
  </si>
  <si>
    <t>Ống đồng Hailiang luồn bảo ôn Taisei (6+10)x0.61</t>
  </si>
  <si>
    <t>ODLBOTSHL0612061</t>
  </si>
  <si>
    <t>Ống đồng Hailiang luồn bảo ôn Taisei (6+12)x0.61</t>
  </si>
  <si>
    <t>ODLBOTSHL0610071</t>
  </si>
  <si>
    <t>Ống đồng Hailiang luồn bảo ôn Taisei (6+10)x0.71</t>
  </si>
  <si>
    <t>ODLBOTSHL0612071</t>
  </si>
  <si>
    <t>Ống đồng Hailiang luồn bảo ôn Taisei (6+12)x0.71</t>
  </si>
  <si>
    <t>ODLBOTSHL0616071</t>
  </si>
  <si>
    <t>Ống đồng Hailiang luồn bảo ôn Taisei (6+16)x0.71</t>
  </si>
  <si>
    <t>ODLBOTSHL1016071</t>
  </si>
  <si>
    <t>Ống đồng Hailiang luồn bảo ôn Taisei (10+16)x0.71</t>
  </si>
  <si>
    <t>ODLBOTSHL0610081</t>
  </si>
  <si>
    <t>Ống đồng Hailiang luồn bảo ôn Taisei (6+10)x0.81</t>
  </si>
  <si>
    <t>ODLBOTSHL0612081</t>
  </si>
  <si>
    <t>Ống đồng Hailiang luồn bảo ôn Taisei (6+12)x0.81</t>
  </si>
  <si>
    <t>ODLBOTSHL0616081</t>
  </si>
  <si>
    <t>Ống đồng Hailiang luồn bảo ôn Taisei (6+16)x0.81</t>
  </si>
  <si>
    <t>ODLBOTSHL1016081</t>
  </si>
  <si>
    <t>Ống đồng Hailiang luồn bảo ôn Taisei (10+16)x0.81</t>
  </si>
  <si>
    <t>2. NHÓM BẢO ÔN</t>
  </si>
  <si>
    <t>Superlon Malaysia</t>
  </si>
  <si>
    <t>SUP-OTD</t>
  </si>
  <si>
    <t>XBOS006X6</t>
  </si>
  <si>
    <t>Ống cao su lưu hóa Superlon 06X6 (250S/T)</t>
  </si>
  <si>
    <t>XBOS010X6</t>
  </si>
  <si>
    <t>Ống cao su lưu hóa Superlon 10X6 (200S/T)</t>
  </si>
  <si>
    <t>XBOS012X6</t>
  </si>
  <si>
    <t>Ống cao su lưu hóa Superlon 13X6 (150S/T)</t>
  </si>
  <si>
    <t>XBOS016X6</t>
  </si>
  <si>
    <t>Ống cao su lưu hóa Superlon 16X6 (120S/T)</t>
  </si>
  <si>
    <t>XBOS019X6</t>
  </si>
  <si>
    <t>Ống cao su lưu hóa Superlon 19X6 (100S/T)</t>
  </si>
  <si>
    <t>XBOS022X6</t>
  </si>
  <si>
    <t>Ống cao su lưu hóa Superlon 22X6 (90S/T)</t>
  </si>
  <si>
    <t>XBOS025X6</t>
  </si>
  <si>
    <t>Ống cao su lưu hóa Superlon 25X6 (80S/T)</t>
  </si>
  <si>
    <t>XBOS028X6</t>
  </si>
  <si>
    <t>Ống cao su lưu hóa Superlon 28X6 (72S/T)</t>
  </si>
  <si>
    <t>XBOS032X6</t>
  </si>
  <si>
    <t>Ống cao su lưu hóa Superlon 32X6 (56S/T)</t>
  </si>
  <si>
    <t>XBOS035X6</t>
  </si>
  <si>
    <t>Ống cao su lưu hóa Superlon 35X6 (48S/T)</t>
  </si>
  <si>
    <t>XBOS038X6</t>
  </si>
  <si>
    <t>Ống cao su lưu hóa Superlon 38X6 (42S/T)</t>
  </si>
  <si>
    <t>XBOS006X10.195</t>
  </si>
  <si>
    <t>Ống cao su lưu hóa Superlon 006X10(195S/T)</t>
  </si>
  <si>
    <t>XBOS006X10</t>
  </si>
  <si>
    <t>Ống cao su lưu hóa Superlon 6X10 (156S/T)</t>
  </si>
  <si>
    <t>XBOS010X10.140</t>
  </si>
  <si>
    <t>Ống cao su lưu hóa Superlon 010X10(140S/T)</t>
  </si>
  <si>
    <t>XBOS010X10</t>
  </si>
  <si>
    <t>Ống cao su lưu hóa Superlon 10X10 (120S/T)</t>
  </si>
  <si>
    <t>SUP-OIB</t>
  </si>
  <si>
    <t>XBOS013X10.120</t>
  </si>
  <si>
    <t>Ống cao su lưu hóa Superlon 013X10.(120S/T)</t>
  </si>
  <si>
    <t>XBOS013X10.105</t>
  </si>
  <si>
    <t>Ống cao su lưu hóa Superlon 13X10 (105S/T)</t>
  </si>
  <si>
    <t>SUP-ODI</t>
  </si>
  <si>
    <t>XBOS013X10</t>
  </si>
  <si>
    <t>Ống cao su lưu hóa Superlon 13X10 (100S/T)</t>
  </si>
  <si>
    <t>XBOS016X10.100</t>
  </si>
  <si>
    <t>Ống cao su lưu hóa Superlon 016X10(100S/T)</t>
  </si>
  <si>
    <t>XBOS016X10</t>
  </si>
  <si>
    <t>Ống cao su lưu hóa Superlon 16X10 (90S/T)</t>
  </si>
  <si>
    <t>XBOS019X10.080</t>
  </si>
  <si>
    <t>Ống cao su lưu hóa Superlon 019X10(80S/T)</t>
  </si>
  <si>
    <t>XBOS019X10</t>
  </si>
  <si>
    <t>Ống cao su lưu hóa Superlon 19X10 (72S/T)</t>
  </si>
  <si>
    <t>XBOS022X10.072</t>
  </si>
  <si>
    <t>Ống cao su lưu hóa Superlon 022X10.(72S/T)</t>
  </si>
  <si>
    <t>XBOS022X10.067</t>
  </si>
  <si>
    <t>Ống cao su lưu hóa Superlon 22X10 (67S/T)</t>
  </si>
  <si>
    <t>XBOS022X10</t>
  </si>
  <si>
    <t>Ống cao su lưu hóa Superlon 22X10 (64S/T)</t>
  </si>
  <si>
    <t>XBOS025X10.063</t>
  </si>
  <si>
    <t>Ống cao su lưu hóa Superlon 025X10(63S/T)</t>
  </si>
  <si>
    <t>XBOS025X10</t>
  </si>
  <si>
    <t>Ống cao su lưu hóa Superlon 25X10 (56S/T)</t>
  </si>
  <si>
    <t>XBOS028X10</t>
  </si>
  <si>
    <t>Ống cao su lưu hóa Superlon 28X10 (49S/T)</t>
  </si>
  <si>
    <t>XBOS032X10</t>
  </si>
  <si>
    <t>Ống cao su lưu hóa Superlon 32X10 (42S/T)</t>
  </si>
  <si>
    <t>XBOS035X10</t>
  </si>
  <si>
    <t>Ống cao su lưu hóa Superlon 35X10 (36S/T)</t>
  </si>
  <si>
    <t>XBOS038X10</t>
  </si>
  <si>
    <t>Ống cao su lưu hóa Superlon 38X10 (34S/T)</t>
  </si>
  <si>
    <t>XBOS042X10</t>
  </si>
  <si>
    <t>Ống cao su lưu hóa Superlon 42X10 (30S/T)</t>
  </si>
  <si>
    <t>XBOS048X10</t>
  </si>
  <si>
    <t>Ống cao su lưu hóa Superlon 48X10 (28S/T)</t>
  </si>
  <si>
    <t>XBOS051X10</t>
  </si>
  <si>
    <t>Ống cao su lưu hóa Superlon 51X10 (24S/T)</t>
  </si>
  <si>
    <t>XBOS054X10.022</t>
  </si>
  <si>
    <t>Ống cao su lưu hóa Superlon 54X10 (22S/T)</t>
  </si>
  <si>
    <t>XBOS054X10</t>
  </si>
  <si>
    <t>Ống cao su lưu hóa Superlon 54X10 (21S/T)</t>
  </si>
  <si>
    <t>XBOS057X10</t>
  </si>
  <si>
    <t>Ống cao su lưu hóa Superlon 57X10 (21S/T)</t>
  </si>
  <si>
    <t>XBOS060X10</t>
  </si>
  <si>
    <t>Ống cao su lưu hóa Superlon 60X10 (20S/T)</t>
  </si>
  <si>
    <t>XBOS064X10</t>
  </si>
  <si>
    <t>Ống cao su lưu hóa Superlon 64X10 (20S/T)</t>
  </si>
  <si>
    <t>XBOS067X10</t>
  </si>
  <si>
    <t>Ống cao su lưu hóa Superlon 67X10 (18S/T)</t>
  </si>
  <si>
    <t>XBOS073X10</t>
  </si>
  <si>
    <t>Ống cao su lưu hóa Superlon 73X10 (18S/T)</t>
  </si>
  <si>
    <t>XBOS076X10</t>
  </si>
  <si>
    <t>Ống cao su lưu hóa Superlon 76X10 (18S/T)</t>
  </si>
  <si>
    <t>XBOS079X10</t>
  </si>
  <si>
    <t>Ống cao su lưu hóa Superlon 79X10 (16S/T)</t>
  </si>
  <si>
    <t>XBOS089X10</t>
  </si>
  <si>
    <t>Ống cao su lưu hóa Superlon 89X10 (16S/T)</t>
  </si>
  <si>
    <t>XBOS102X10</t>
  </si>
  <si>
    <t>Ống cao su lưu hóa Superlon 102X10 (14S/T)</t>
  </si>
  <si>
    <t>XBOS105X10</t>
  </si>
  <si>
    <t>Ống cao su lưu hóa Superlon 105X10 (14S/T)</t>
  </si>
  <si>
    <t>XBOS108X10</t>
  </si>
  <si>
    <t>Ống cao su lưu hóa Superlon 108X10 (14S/T)</t>
  </si>
  <si>
    <t>XBOS114X10</t>
  </si>
  <si>
    <t>Ống cao su lưu hóa Superlon 114X10 (14S/T)</t>
  </si>
  <si>
    <t>XBOS127X10</t>
  </si>
  <si>
    <t>Ống cao su lưu hóa Superlon 127X10 (10S/T)</t>
  </si>
  <si>
    <t>XBOS127X10.012</t>
  </si>
  <si>
    <t>Ống cao su lưu hóa Superlon 127X10 (12S/T)</t>
  </si>
  <si>
    <t>XBOS130X10</t>
  </si>
  <si>
    <t>Ống cao su lưu hóa Superlon 130X10 (10S/T)</t>
  </si>
  <si>
    <t>XBOS133X10</t>
  </si>
  <si>
    <t>Ống cao su lưu hóa Superlon 133X10 (10S/T)</t>
  </si>
  <si>
    <t>XBOS140X10</t>
  </si>
  <si>
    <t>Ống cao su lưu hóa Superlon 140X10 (10S/T)</t>
  </si>
  <si>
    <t>XBOS152X10</t>
  </si>
  <si>
    <t>Ống cao su lưu hóa Superlon 152X10 (10S/T)</t>
  </si>
  <si>
    <t>XBOS159X10</t>
  </si>
  <si>
    <t>Ống cao su lưu hóa Superlon 159X10(9S/T)</t>
  </si>
  <si>
    <t>XBOS165X10</t>
  </si>
  <si>
    <t>Ống cao su lưu hóa Superlon 165X10(9S/T)</t>
  </si>
  <si>
    <t>XBOS006X13.120</t>
  </si>
  <si>
    <t>Ống cao su lưu hóa Superlon 006X13(120S/T)</t>
  </si>
  <si>
    <t>XBOS006X13</t>
  </si>
  <si>
    <t>Ống cao su lưu hóa Superlon 6X13 (110S/T)</t>
  </si>
  <si>
    <t>XBOS010X13.100</t>
  </si>
  <si>
    <t>Ống cao su lưu hóa Superlon 010X13(100S/T)</t>
  </si>
  <si>
    <t>XBOS010X13</t>
  </si>
  <si>
    <t>Ống cao su lưu hóa Superlon 10X13 (90S/T)</t>
  </si>
  <si>
    <t>XBOS013X13.080</t>
  </si>
  <si>
    <t>Ống cao su lưu hóa Superlon 013X13(80S/T)</t>
  </si>
  <si>
    <t>XBOS013X13</t>
  </si>
  <si>
    <t>Ống cao su lưu hóa Superlon 13X13 (72S/T)</t>
  </si>
  <si>
    <t>XBOS016X13.070</t>
  </si>
  <si>
    <t>Ống cao su lưu hóa Superlon 016X13(70S/T)</t>
  </si>
  <si>
    <t>XBOS016X13</t>
  </si>
  <si>
    <t>Ống cao su lưu hóa Superlon 16X13 (63S/T)</t>
  </si>
  <si>
    <t>XBOS019X13.064</t>
  </si>
  <si>
    <t>Ống cao su lưu hóa Superlon 019X13(64S/T)</t>
  </si>
  <si>
    <t>XBOS019X13</t>
  </si>
  <si>
    <t>Ống cao su lưu hóa Superlon 19X13 (56S/T)</t>
  </si>
  <si>
    <t>XBOS022X13.056</t>
  </si>
  <si>
    <t>Ống cao su lưu hóa Superlon 022X13(56S/T)</t>
  </si>
  <si>
    <t>XBOS022X13</t>
  </si>
  <si>
    <t>Ống cao su lưu hóa Superlon 22X13 (48S/T)</t>
  </si>
  <si>
    <t>XBOS025X13</t>
  </si>
  <si>
    <t>Ống cao su lưu hóa Superlon 25X13 (42S/T)</t>
  </si>
  <si>
    <t>XBOS028X13</t>
  </si>
  <si>
    <t>Ống cao su lưu hóa Superlon 28X13 (36S/T)</t>
  </si>
  <si>
    <t>XBOS032X13</t>
  </si>
  <si>
    <t>Ống cao su lưu hóa Superlon 32X13 (30S/T)</t>
  </si>
  <si>
    <t>XBOS035X13</t>
  </si>
  <si>
    <t>Ống cao su lưu hóa Superlon 35X13 (30S/T)</t>
  </si>
  <si>
    <t>XBOS038X13.026</t>
  </si>
  <si>
    <t>Ống cao su lưu hóa Superlon 38X13 (26S/T)</t>
  </si>
  <si>
    <t>XBOS038X13</t>
  </si>
  <si>
    <t>Ống cao su lưu hóa Superlon 38X13 (25S/T)</t>
  </si>
  <si>
    <t>XBOS042X13</t>
  </si>
  <si>
    <t>Ống cao su lưu hóa Superlon 42X13 (25S/T)</t>
  </si>
  <si>
    <t>XBOS048X13</t>
  </si>
  <si>
    <t>Ống cao su lưu hóa Superlon 48X13 (20S/T)</t>
  </si>
  <si>
    <t>XBOS051X13</t>
  </si>
  <si>
    <t>Ống cao su lưu hóa Superlon 51X13 (20S/T)</t>
  </si>
  <si>
    <t>XBOS054X13</t>
  </si>
  <si>
    <t>Ống cao su lưu hóa Superlon 54X13 (20S/T)</t>
  </si>
  <si>
    <t>XBOS057X13</t>
  </si>
  <si>
    <t>Ống cao su lưu hóa Superlon 57X13 (20S/T)</t>
  </si>
  <si>
    <t>XBOS060X13</t>
  </si>
  <si>
    <t>Ống cao su lưu hóa Superlon 60X13 (18S/T)</t>
  </si>
  <si>
    <t>XBOS064X13</t>
  </si>
  <si>
    <t>Ống cao su lưu hóa Superlon 64X13 (15S/T)</t>
  </si>
  <si>
    <t>XBOS067X13</t>
  </si>
  <si>
    <t>Ống cao su lưu hóa Superlon 67X13 (15S/T)</t>
  </si>
  <si>
    <t>XBOS073X13.014</t>
  </si>
  <si>
    <t>Ống cao su lưu hóa Superlon 73X13 (14S/T)</t>
  </si>
  <si>
    <t>XBOS073X13</t>
  </si>
  <si>
    <t>Ống cao su lưu hóa Superlon 73X13 (13S/T)</t>
  </si>
  <si>
    <t>XBOS076X13.014</t>
  </si>
  <si>
    <t>Ống cao su lưu hóa Superlon 76X13 (14S/T)</t>
  </si>
  <si>
    <t>XBOS076X13</t>
  </si>
  <si>
    <t>Ống cao su lưu hóa Superlon 76X13 (12S/T)</t>
  </si>
  <si>
    <t>XBOS079X13</t>
  </si>
  <si>
    <t>Ống cao su lưu hóa Superlon 79X13 (12S/T)</t>
  </si>
  <si>
    <t>XBOS089X13</t>
  </si>
  <si>
    <t>Ống cao su lưu hóa Superlon 89X13 (12S/T)</t>
  </si>
  <si>
    <t>XBOS102X13</t>
  </si>
  <si>
    <t>Ống cao su lưu hóa Superlon 102X13 (12S/T)</t>
  </si>
  <si>
    <t>XBOS105X13</t>
  </si>
  <si>
    <t>Ống cao su lưu hóa Superlon 105X13 (12S/T)</t>
  </si>
  <si>
    <t>XBOS108X13</t>
  </si>
  <si>
    <t>Ống cao su lưu hóa Superlon 108X13 (12S/T)</t>
  </si>
  <si>
    <t>XBOS114X13</t>
  </si>
  <si>
    <t>Ống cao su lưu hóa Superlon 114X13 (12S/T)</t>
  </si>
  <si>
    <t>XBOS127X13</t>
  </si>
  <si>
    <t>Ống cao su lưu hóa Superlon 127X13 (9S/T)</t>
  </si>
  <si>
    <t>XBOS130X13</t>
  </si>
  <si>
    <t>Ống cao su lưu hóa Superlon 130X13 (9S/T)</t>
  </si>
  <si>
    <t>XBOS133X13</t>
  </si>
  <si>
    <t>Ống cao su lưu hóa Superlon 133X13 (9S/T)</t>
  </si>
  <si>
    <t>XBOS140X13</t>
  </si>
  <si>
    <t>Ống cao su lưu hóa Superlon 140X13 (9S/T)</t>
  </si>
  <si>
    <t>XBOS152X13</t>
  </si>
  <si>
    <t>Ống cao su lưu hóa Superlon 152X13 (9S/T)</t>
  </si>
  <si>
    <t>XBOS159X13</t>
  </si>
  <si>
    <t>Ống cao su lưu hóa Superlon 159X13(9S/T)</t>
  </si>
  <si>
    <t>XBOS165X13</t>
  </si>
  <si>
    <t>Ống cao su lưu hóa Superlon 165X13(9S/T)</t>
  </si>
  <si>
    <t>XBOS006X19</t>
  </si>
  <si>
    <t>Ống cao su lưu hóa Superlon 6X19 (49S/T)</t>
  </si>
  <si>
    <t>XBOS010X19</t>
  </si>
  <si>
    <t>Ống cao su lưu hóa Superlon 10X19 (42S/T)</t>
  </si>
  <si>
    <t>XBOS013X19</t>
  </si>
  <si>
    <t>Ống cao su lưu hóa Superlon 13X19 (36S/T)</t>
  </si>
  <si>
    <t>XBOS016X19</t>
  </si>
  <si>
    <t>Ống cao su lưu hóa Superlon 16X19 (36S/T)</t>
  </si>
  <si>
    <t>XBOS019X19</t>
  </si>
  <si>
    <t>Ống cao su lưu hóa Superlon 19X19 (30S/T)</t>
  </si>
  <si>
    <t>XBOS022X19.027</t>
  </si>
  <si>
    <t>Ống cao su lưu hóa Superlon 22X19 (27S/T)</t>
  </si>
  <si>
    <t>XBOS022X19</t>
  </si>
  <si>
    <t>Ống cao su lưu hóa Superlon 22X19 (25S/T)</t>
  </si>
  <si>
    <t>XBOS025X19.024</t>
  </si>
  <si>
    <t>Ống cao su lưu hóa Superlon 25X19 (24S/T)</t>
  </si>
  <si>
    <t>XBOS025X19</t>
  </si>
  <si>
    <t>Ống cao su lưu hóa Superlon 25X19 (20S/T)</t>
  </si>
  <si>
    <t>XBOS028X19.024</t>
  </si>
  <si>
    <t>Ống cao su lưu hóa Superlon 28X19 (24S/T)</t>
  </si>
  <si>
    <t>XBOS028X19</t>
  </si>
  <si>
    <t>Ống cao su lưu hóa Superlon 28X19 (20S/T)</t>
  </si>
  <si>
    <t>XBOS032X19</t>
  </si>
  <si>
    <t>Ống cao su lưu hóa Superlon 32X19 (20S/T)</t>
  </si>
  <si>
    <t>XBOS035X19</t>
  </si>
  <si>
    <t>Ống cao su lưu hóa Superlon 35X19 (16S/T)</t>
  </si>
  <si>
    <t>XBOS038X19</t>
  </si>
  <si>
    <t>Ống cao su lưu hóa Superlon 38X19 (16S/T)</t>
  </si>
  <si>
    <t>XBOS042X19</t>
  </si>
  <si>
    <t>Ống cao su lưu hóa Superlon 42X19 (16S/T)</t>
  </si>
  <si>
    <t>XBOS048X19</t>
  </si>
  <si>
    <t>Ống cao su lưu hóa Superlon 48X19 (15S/T)</t>
  </si>
  <si>
    <t>XBOS051X19</t>
  </si>
  <si>
    <t>Ống cao su lưu hóa Superlon 51X19 (12S/T)</t>
  </si>
  <si>
    <t>XBOS054X19</t>
  </si>
  <si>
    <t>Ống cao su lưu hóa Superlon 54X19 (12S/T)</t>
  </si>
  <si>
    <t>XBOS057X19</t>
  </si>
  <si>
    <t>Ống cao su lưu hóa Superlon 57X19 (12S/T)</t>
  </si>
  <si>
    <t>XBOS060X19</t>
  </si>
  <si>
    <t>Ống cao su lưu hóa Superlon 60X19 (12S/T)</t>
  </si>
  <si>
    <t>XBOS064X19</t>
  </si>
  <si>
    <t>Ống cao su lưu hóa Superlon 64X19 (9S/T)</t>
  </si>
  <si>
    <t>XBOS067X19</t>
  </si>
  <si>
    <t>Ống cao su lưu hóa Superlon 67X19 (9S/T)</t>
  </si>
  <si>
    <t>XBOS073X19</t>
  </si>
  <si>
    <t>Ống cao su lưu hóa Superlon 73X19 (9S/T)</t>
  </si>
  <si>
    <t>XBOS076X19</t>
  </si>
  <si>
    <t>Ống cao su lưu hóa Superlon 76X19 (8S/T)</t>
  </si>
  <si>
    <t>XBOS079X19</t>
  </si>
  <si>
    <t>Ống cao su lưu hóa Superlon 79X19 (8S/T)</t>
  </si>
  <si>
    <t>XBOS089X19</t>
  </si>
  <si>
    <t>Ống cao su lưu hóa Superlon 89X19 (8S/T)</t>
  </si>
  <si>
    <t>XBOS102X19</t>
  </si>
  <si>
    <t>Ống cao su lưu hóa Superlon 102X19 (6S/T)</t>
  </si>
  <si>
    <t>XBOS105X19</t>
  </si>
  <si>
    <t>Ống cao su lưu hóa Superlon 105X19 (6S/T)</t>
  </si>
  <si>
    <t>XBOS108X19</t>
  </si>
  <si>
    <t>Ống cao su lưu hóa Superlon 108X19 (6S/T)</t>
  </si>
  <si>
    <t>XBOS114X19</t>
  </si>
  <si>
    <t>Ống cao su lưu hóa Superlon 114X19 (6S/T)</t>
  </si>
  <si>
    <t>XBOS127X19</t>
  </si>
  <si>
    <t>Ống cao su lưu hóa Superlon 127X19 (6S/T)</t>
  </si>
  <si>
    <t>XBOS130X19</t>
  </si>
  <si>
    <t>Ống cao su lưu hóa Superlon 130X19 (6S/T)</t>
  </si>
  <si>
    <t>XBOS133X19</t>
  </si>
  <si>
    <t>Ống cao su lưu hóa Superlon 133X19 (6S/T)</t>
  </si>
  <si>
    <t>XBOS140X19</t>
  </si>
  <si>
    <t>Ống cao su lưu hóa Superlon 140X19 (6S/T)</t>
  </si>
  <si>
    <t>XBOS152X19</t>
  </si>
  <si>
    <t>Ống cao su lưu hóa Superlon 152X19 (6S/T)</t>
  </si>
  <si>
    <t>XBOS159X19</t>
  </si>
  <si>
    <t>Ống cao su lưu hóa Superlon 159X19 (6S/T)</t>
  </si>
  <si>
    <t>XBOS165X19</t>
  </si>
  <si>
    <t>Ống cao su lưu hóa Superlon 165X19 (6S/T)</t>
  </si>
  <si>
    <t>XBOS006X25.032</t>
  </si>
  <si>
    <t>Ống cao su lưu hóa Superlon 6X25 (32S/T)</t>
  </si>
  <si>
    <t>XBOS006X25</t>
  </si>
  <si>
    <t>Ống cao su lưu hóa Superlon 6X25 (30S/T)</t>
  </si>
  <si>
    <t>XBOS010X25</t>
  </si>
  <si>
    <t>Ống cao su lưu hóa Superlon 10X25 (30S/T)</t>
  </si>
  <si>
    <t>XBOS013X25.025</t>
  </si>
  <si>
    <t>Ống cao su lưu hóa Superlon 13X25 (25S/T)</t>
  </si>
  <si>
    <t>XBOS013X25</t>
  </si>
  <si>
    <t>Ống cao su lưu hóa Superlon 13X25 (24S/T)</t>
  </si>
  <si>
    <t>XBOS016X25.023</t>
  </si>
  <si>
    <t>Ống cao su lưu hóa Superlon 16X25 (23S/T)</t>
  </si>
  <si>
    <t>XBOS016X25</t>
  </si>
  <si>
    <t>Ống cao su lưu hóa Superlon 16X25 (20S/T)</t>
  </si>
  <si>
    <t>XBOS019X25</t>
  </si>
  <si>
    <t>Ống cao su lưu hóa Superlon 19X25 (20S/T)</t>
  </si>
  <si>
    <t>XBOS022X25</t>
  </si>
  <si>
    <t>Ống cao su lưu hóa Superlon 22X25 (18S/T)</t>
  </si>
  <si>
    <t>XBOS025X25.017</t>
  </si>
  <si>
    <t>Ống cao su lưu hóa Superlon 25X25 (17S/T)</t>
  </si>
  <si>
    <t>XBOS025X25</t>
  </si>
  <si>
    <t>Ống cao su lưu hóa Superlon 25X25 (16S/T)</t>
  </si>
  <si>
    <t>XBOS028X25</t>
  </si>
  <si>
    <t>Ống cao su lưu hóa Superlon 28X25 (16S/T)</t>
  </si>
  <si>
    <t>XBOS032X25.016</t>
  </si>
  <si>
    <t>Ống cao su lưu hóa Superlon 32X25 (16S/T)</t>
  </si>
  <si>
    <t>XBOS032X25</t>
  </si>
  <si>
    <t>Ống cao su lưu hóa Superlon 32X25 (15S/T)</t>
  </si>
  <si>
    <t>XBOS035X25</t>
  </si>
  <si>
    <t>Ống cao su lưu hóa Superlon 35X25 (12S/T)</t>
  </si>
  <si>
    <t>XBOS038X25</t>
  </si>
  <si>
    <t>Ống cao su lưu hóa Superlon 38X25 (12S/T)</t>
  </si>
  <si>
    <t>XBOS042X25</t>
  </si>
  <si>
    <t>Ống cao su lưu hóa Superlon 42X25 (12S/T)</t>
  </si>
  <si>
    <t>XBOS048X25</t>
  </si>
  <si>
    <t>Ống cao su lưu hóa Superlon 48X25 (10S/T)</t>
  </si>
  <si>
    <t>XBOS051X25</t>
  </si>
  <si>
    <t>Ống cao su lưu hóa Superlon 51X25 (9S/T)</t>
  </si>
  <si>
    <t>XBOS054X25</t>
  </si>
  <si>
    <t>Ống cao su lưu hóa Superlon 54X25 (9S/T)</t>
  </si>
  <si>
    <t>XBOS057X25</t>
  </si>
  <si>
    <t>Ống cao su lưu hóa Superlon 57X25 (9S/T)</t>
  </si>
  <si>
    <t>XBOS060X25</t>
  </si>
  <si>
    <t>Ống cao su lưu hóa Superlon 60X25 (9S/T)</t>
  </si>
  <si>
    <t>XBOS064X25</t>
  </si>
  <si>
    <t>Ống cao su lưu hóa Superlon 64X25 (8S/T)</t>
  </si>
  <si>
    <t>XBOS067X25</t>
  </si>
  <si>
    <t>Ống cao su lưu hóa Superlon 67X25 (8S/T)</t>
  </si>
  <si>
    <t>XBOS073X25</t>
  </si>
  <si>
    <t>Ống cao su lưu hóa Superlon 73X25 (8S/T)</t>
  </si>
  <si>
    <t>XBOS076X25</t>
  </si>
  <si>
    <t>Ống cao su lưu hóa Superlon 76X25 (8S/T)</t>
  </si>
  <si>
    <t>XBOS079X25</t>
  </si>
  <si>
    <t>Ống cao su lưu hóa Superlon 79X25 (6S/T)</t>
  </si>
  <si>
    <t>XBOS089X25</t>
  </si>
  <si>
    <t>Ống cao su lưu hóa Superlon 89X25 (6S/T)</t>
  </si>
  <si>
    <t>XBOS102X25</t>
  </si>
  <si>
    <t>Ống cao su lưu hóa Superlon 102X25 (6S/T)</t>
  </si>
  <si>
    <t>XBOS105X25</t>
  </si>
  <si>
    <t>Ống cao su lưu hóa Superlon 105X25 (5S/T)</t>
  </si>
  <si>
    <t>XBOS108X25</t>
  </si>
  <si>
    <t>Ống cao su lưu hóa Superlon 108X25 (5S/T)</t>
  </si>
  <si>
    <t>XBOS114X25</t>
  </si>
  <si>
    <t>Ống cao su lưu hóa Superlon 114X25 (4S/T)</t>
  </si>
  <si>
    <t>XBOS127X25</t>
  </si>
  <si>
    <t>Ống cao su lưu hóa Superlon 127X25 (4S/T)</t>
  </si>
  <si>
    <t>XBOS130X25</t>
  </si>
  <si>
    <t>Ống cao su lưu hóa Superlon 130X25 (3S/T)</t>
  </si>
  <si>
    <t>XBOS133X25</t>
  </si>
  <si>
    <t>Ống cao su lưu hóa Superlon 133X25 (3S/T)</t>
  </si>
  <si>
    <t>XBOS140X25</t>
  </si>
  <si>
    <t>Ống cao su lưu hóa Superlon 140X25 (3S/T)</t>
  </si>
  <si>
    <t>XBOS152X25</t>
  </si>
  <si>
    <t>Ống cao su lưu hóa Superlon 152X25 (3S/T)</t>
  </si>
  <si>
    <t>XBOS159X25</t>
  </si>
  <si>
    <t>Ống cao su lưu hóa Superlon 159X25 (3S/T)</t>
  </si>
  <si>
    <t>XBOS165X25</t>
  </si>
  <si>
    <t>Ống cao su lưu hóa Superlon 165X25 (3S/T)</t>
  </si>
  <si>
    <t>XBOS010X32.015</t>
  </si>
  <si>
    <t>Ống cao su lưu hóa Superlon 10X32 (15S/T)</t>
  </si>
  <si>
    <t>XBOS013X32</t>
  </si>
  <si>
    <t>Ống cao su lưu hóa Superlon 13X32 (12S/T)</t>
  </si>
  <si>
    <t>XBOS016X32</t>
  </si>
  <si>
    <t>Ống cao su lưu hóa Superlon 16X32 (12S/T)</t>
  </si>
  <si>
    <t>XBOS019X32</t>
  </si>
  <si>
    <t>Ống cao su lưu hóa Superlon 19X32 (12S/T)</t>
  </si>
  <si>
    <t>XBOS022X32.011</t>
  </si>
  <si>
    <t>Ống cao su lưu hóa Superlon 22X32 (11S/T)</t>
  </si>
  <si>
    <t>XBOS022X32</t>
  </si>
  <si>
    <t>Ống cao su lưu hóa Superlon 22X32 (9S/T)</t>
  </si>
  <si>
    <t>XBOS025X32.011</t>
  </si>
  <si>
    <t>Ống cao su lưu hóa Superlon 25X32 (11S/T)</t>
  </si>
  <si>
    <t>XBOS025X32</t>
  </si>
  <si>
    <t>Ống cao su lưu hóa Superlon 25X32 (9S/T)</t>
  </si>
  <si>
    <t>XBOS028X32</t>
  </si>
  <si>
    <t>Ống cao su lưu hóa Superlon 28X32 (9S/T)</t>
  </si>
  <si>
    <t>XBOS032X32</t>
  </si>
  <si>
    <t>Ống cao su lưu hóa Superlon 32X32 (9S/T)</t>
  </si>
  <si>
    <t>XBOS035X32</t>
  </si>
  <si>
    <t>Ống cao su lưu hóa Superlon 35X32 (9S/T)</t>
  </si>
  <si>
    <t>XBOS038X32</t>
  </si>
  <si>
    <t>Ống cao su lưu hóa Superlon 38X32 (9S/T)</t>
  </si>
  <si>
    <t>XBOS042X32</t>
  </si>
  <si>
    <t>Ống cao su lưu hóa Superlon 42X32 (9S/T)</t>
  </si>
  <si>
    <t>XBOS048X32</t>
  </si>
  <si>
    <t>Ống cao su lưu hóa Superlon 48X32 (8S/T)</t>
  </si>
  <si>
    <t>XBOS051X32</t>
  </si>
  <si>
    <t>Ống cao su lưu hóa Superlon 51X32 (8S/T)</t>
  </si>
  <si>
    <t>XBOS054X32</t>
  </si>
  <si>
    <t>Ống cao su lưu hóa Superlon 54X32 (8S/T)</t>
  </si>
  <si>
    <t>XBOS057X32</t>
  </si>
  <si>
    <t>Ống cao su lưu hóa Superlon 57X32 (6S/T)</t>
  </si>
  <si>
    <t>XBOS060X32</t>
  </si>
  <si>
    <t>Ống cao su lưu hóa Superlon 60X32 (6S/T)</t>
  </si>
  <si>
    <t>XBOS064X32</t>
  </si>
  <si>
    <t>Ống cao su lưu hóa Superlon 64X32 (6S/T)</t>
  </si>
  <si>
    <t>XBOS067X32</t>
  </si>
  <si>
    <t>Ống cao su lưu hóa Superlon 67X32 (6S/T)</t>
  </si>
  <si>
    <t>XBOS073X32</t>
  </si>
  <si>
    <t>Ống cao su lưu hóa Superlon 73X32 (6S/T)</t>
  </si>
  <si>
    <t>XBOS076X32</t>
  </si>
  <si>
    <t>Ống cao su lưu hóa Superlon 76X32 (4S/T)</t>
  </si>
  <si>
    <t>XBOS079X32</t>
  </si>
  <si>
    <t>Ống cao su lưu hóa Superlon 79X32 (4S/T)</t>
  </si>
  <si>
    <t>XBOS089X32</t>
  </si>
  <si>
    <t>Ống cao su lưu hóa Superlon 89X32 (4S/T)</t>
  </si>
  <si>
    <t>XBOS102X32</t>
  </si>
  <si>
    <t>Ống cao su lưu hóa Superlon 102X32 (4S/T)</t>
  </si>
  <si>
    <t>XBOS105X32</t>
  </si>
  <si>
    <t>Ống cao su lưu hóa Superlon 105X32 (4S/T)</t>
  </si>
  <si>
    <t>XBOS108X32</t>
  </si>
  <si>
    <t>Ống cao su lưu hóa Superlon 108X32 (4S/T)</t>
  </si>
  <si>
    <t>XBOS114X32</t>
  </si>
  <si>
    <t>Ống cao su lưu hóa Superlon 114X32 (4S/T)</t>
  </si>
  <si>
    <t>XBOS127X32</t>
  </si>
  <si>
    <t>Ống cao su lưu hóa Superlon 127X32 (3S/T)</t>
  </si>
  <si>
    <t>XBOS130X32</t>
  </si>
  <si>
    <t>Ống cao su lưu hóa Superlon 130X32 (3S/T)</t>
  </si>
  <si>
    <t>XBOS133X32</t>
  </si>
  <si>
    <t>Ống cao su lưu hóa Superlon 133X32 (3S/T)</t>
  </si>
  <si>
    <t>XBOS140X32</t>
  </si>
  <si>
    <t>Ống cao su lưu hóa Superlon 140X32 (3S/T)</t>
  </si>
  <si>
    <t>XBOS152X32</t>
  </si>
  <si>
    <t>Ống cao su lưu hóa Superlon 152X32 (3S/T)</t>
  </si>
  <si>
    <t>XBOS159X32</t>
  </si>
  <si>
    <t>Ống cao su lưu hóa Superlon 159X32 (3S/T)</t>
  </si>
  <si>
    <t>XBOS165X32</t>
  </si>
  <si>
    <t>Ống cao su lưu hóa Superlon 165X32 (3S/T)</t>
  </si>
  <si>
    <t>XBOS013X38.010</t>
  </si>
  <si>
    <t>Ống cao su lưu hóa Superlon 13X38 (10S/T)</t>
  </si>
  <si>
    <t>XBOS013X38</t>
  </si>
  <si>
    <t>Ống cao su lưu hóa Superlon 013X38 (10S/T)</t>
  </si>
  <si>
    <t>XBOS016X38</t>
  </si>
  <si>
    <t>Ống cao su lưu hóa Superlon 16X38 (9S/T)</t>
  </si>
  <si>
    <t>XBOS019X38</t>
  </si>
  <si>
    <t>Ống cao su lưu hóa Superlon 19X38 (9S/T)</t>
  </si>
  <si>
    <t>XBOS022X38</t>
  </si>
  <si>
    <t>Ống cao su lưu hóa Superlon 22X38 (9S/T)</t>
  </si>
  <si>
    <t>XBOS025X38</t>
  </si>
  <si>
    <t>Ống cao su lưu hóa Superlon 25X38 (9S/T)</t>
  </si>
  <si>
    <t>XBOS028X38</t>
  </si>
  <si>
    <t>Ống cao su lưu hóa Superlon 28X38 (9S/T)</t>
  </si>
  <si>
    <t>XBOS032X38</t>
  </si>
  <si>
    <t>Ống cao su lưu hóa Superlon 32X38 (9S/T)</t>
  </si>
  <si>
    <t>XBOS035X38</t>
  </si>
  <si>
    <t>Ống cao su lưu hóa Superlon 35X38 (9S/T)</t>
  </si>
  <si>
    <t>XBOS038X38</t>
  </si>
  <si>
    <t>Ống cao su lưu hóa Superlon 38X38 (8S/T)</t>
  </si>
  <si>
    <t>XBOS042X38</t>
  </si>
  <si>
    <t>Ống cao su lưu hóa Superlon 42X38 (8S/T)</t>
  </si>
  <si>
    <t>XBOS048X38</t>
  </si>
  <si>
    <t>Ống cao su lưu hóa Superlon 48X38 (6S/T)</t>
  </si>
  <si>
    <t>XBOS051X38</t>
  </si>
  <si>
    <t>Ống cao su lưu hóa Superlon 51X38 (6S/T)</t>
  </si>
  <si>
    <t>XBOS054X38</t>
  </si>
  <si>
    <t>Ống cao su lưu hóa Superlon 54X38 (6S/T)</t>
  </si>
  <si>
    <t>XBOS057X38</t>
  </si>
  <si>
    <t>Ống cao su lưu hóa Superlon 57X38 (6S/T)</t>
  </si>
  <si>
    <t>XBOS060X38</t>
  </si>
  <si>
    <t>Ống cao su lưu hóa Superlon 60X38 (6S/T)</t>
  </si>
  <si>
    <t>XBOS064X38</t>
  </si>
  <si>
    <t>Ống cao su lưu hóa Superlon 64X38 (6S/T)</t>
  </si>
  <si>
    <t>XBOS067X38</t>
  </si>
  <si>
    <t>Ống cao su lưu hóa Superlon 67X38 (6S/T)</t>
  </si>
  <si>
    <t>XBOS073X38</t>
  </si>
  <si>
    <t>Ống cao su lưu hóa Superlon 73X38 (4S/T)</t>
  </si>
  <si>
    <t>XBOS076X38</t>
  </si>
  <si>
    <t>Ống cao su lưu hóa Superlon 76X38 (4S/T)</t>
  </si>
  <si>
    <t>XBOS079X38</t>
  </si>
  <si>
    <t>Ống cao su lưu hóa Superlon 79X38 (4S/T)</t>
  </si>
  <si>
    <t>XBOS089X38</t>
  </si>
  <si>
    <t>Ống cao su lưu hóa Superlon 89X38 (4S/T)</t>
  </si>
  <si>
    <t>XBOS102X38</t>
  </si>
  <si>
    <t>Ống cao su lưu hóa Superlon 102X38 (3S/T)</t>
  </si>
  <si>
    <t>XBOS105X38</t>
  </si>
  <si>
    <t>Ống cao su lưu hóa Superlon 105X38 (3S/T)</t>
  </si>
  <si>
    <t>XBOS108X38</t>
  </si>
  <si>
    <t>Ống cao su lưu hóa Superlon 108X38 (3S/T)</t>
  </si>
  <si>
    <t>XBOS114X38</t>
  </si>
  <si>
    <t>Ống cao su lưu hóa Superlon 114X38 (4S/T)</t>
  </si>
  <si>
    <t>XBOS127X38</t>
  </si>
  <si>
    <t>Ống cao su lưu hóa Superlon 127X38 (3S/T)</t>
  </si>
  <si>
    <t>XBOS130X38</t>
  </si>
  <si>
    <t>Ống cao su lưu hóa Superlon 130X38 (3S/T)</t>
  </si>
  <si>
    <t>XBOS133X38</t>
  </si>
  <si>
    <t>Ống cao su lưu hóa Superlon 133X38 (3S/T)</t>
  </si>
  <si>
    <t>XBOS140X38</t>
  </si>
  <si>
    <t>Ống cao su lưu hóa Superlon 140X38 (3S/T)</t>
  </si>
  <si>
    <t>XBOS152X38</t>
  </si>
  <si>
    <t>Ống cao su lưu hóa Superlon 152X38 (3S/T)</t>
  </si>
  <si>
    <t>XBOS013X51</t>
  </si>
  <si>
    <t>Ống cao su lưu hóa Superlon 13X51 (6S/T)</t>
  </si>
  <si>
    <t>XBOS016X51</t>
  </si>
  <si>
    <t>Ống cao su lưu hóa Superlon 16X51 (6S/T)</t>
  </si>
  <si>
    <t>XBOS019X51</t>
  </si>
  <si>
    <t>Ống cao su lưu hóa Superlon 19X51 (6S/T)</t>
  </si>
  <si>
    <t>XBOS022X51</t>
  </si>
  <si>
    <t>Ống cao su lưu hóa Superlon 22X51 (6S/T)</t>
  </si>
  <si>
    <t>XBOS025X51</t>
  </si>
  <si>
    <t>Ống cao su lưu hóa Superlon 25X51 (6S/T)</t>
  </si>
  <si>
    <t>XBOS028X51</t>
  </si>
  <si>
    <t>Ống cao su lưu hóa Superlon 28X51 (6S/T)</t>
  </si>
  <si>
    <t>XBOS032X51</t>
  </si>
  <si>
    <t>Ống cao su lưu hóa Superlon 32X51 (4S/T)</t>
  </si>
  <si>
    <t>XBOS035X51</t>
  </si>
  <si>
    <t>Ống cao su lưu hóa Superlon 35X51 (4S/T)</t>
  </si>
  <si>
    <t>XBOS038X51</t>
  </si>
  <si>
    <t>Ống cao su lưu hóa Superlon 38X51 (4S/T)</t>
  </si>
  <si>
    <t>XBOS042X51</t>
  </si>
  <si>
    <t>Ống cao su lưu hóa Superlon 42X51 (4S/T)</t>
  </si>
  <si>
    <t>XBOS048X51</t>
  </si>
  <si>
    <t>Ống cao su lưu hóa Superlon 48X51 (4S/T)</t>
  </si>
  <si>
    <t>XBOS051X51</t>
  </si>
  <si>
    <t>Ống cao su lưu hóa Superlon 51X51 (4S/T)</t>
  </si>
  <si>
    <t>XBOS054X51</t>
  </si>
  <si>
    <t>Ống cao su lưu hóa Superlon 54X51 (4S/T)</t>
  </si>
  <si>
    <t>XBOS057X51</t>
  </si>
  <si>
    <t>Ống cao su lưu hóa Superlon 57X51 (4S/T)</t>
  </si>
  <si>
    <t>XBOS060X51</t>
  </si>
  <si>
    <t>Ống cao su lưu hóa Superlon 60X51 (3S/T)</t>
  </si>
  <si>
    <t>XBOS064X51</t>
  </si>
  <si>
    <t>Ống cao su lưu hóa Superlon 64X51 (3S/T)</t>
  </si>
  <si>
    <t>XBOS067X51</t>
  </si>
  <si>
    <t>Ống cao su lưu hóa Superlon 67X51 (3S/T)</t>
  </si>
  <si>
    <t>XBOS073X51</t>
  </si>
  <si>
    <t>Ống cao su lưu hóa Superlon 73X51(3S/T)</t>
  </si>
  <si>
    <t>XBOS076X51</t>
  </si>
  <si>
    <t>Ống cao su lưu hóa Superlon 76X51 (3S/T)</t>
  </si>
  <si>
    <t>XBOS079X51</t>
  </si>
  <si>
    <t>Ống cao su lưu hóa Superlon 79X51(3S/T)</t>
  </si>
  <si>
    <t>XBOS089X51</t>
  </si>
  <si>
    <t>Ống cao su lưu hóa Superlon 89X51 (3S/T)</t>
  </si>
  <si>
    <t>XBOS102X51</t>
  </si>
  <si>
    <t>Ống cao su lưu hóa Superlon 102X51(2S/T)</t>
  </si>
  <si>
    <t>XBOS105X51</t>
  </si>
  <si>
    <t>Ống cao su lưu hóa Superlon 105X51(2S/T)</t>
  </si>
  <si>
    <t>XBOS108X51</t>
  </si>
  <si>
    <t>Ống cao su lưu hóa Superlon 108X51(2S/T)</t>
  </si>
  <si>
    <t>XBOS114X51</t>
  </si>
  <si>
    <t>Ống cao su lưu hóa Superlon 114X51 (2S/T)</t>
  </si>
  <si>
    <t>XBOS127X51</t>
  </si>
  <si>
    <t>Ống cao su lưu hóa Superlon 127X51(2S/T)</t>
  </si>
  <si>
    <t>Superlon Việt Nam</t>
  </si>
  <si>
    <t>XBOSVN006X6</t>
  </si>
  <si>
    <t>XBOSVN010X6</t>
  </si>
  <si>
    <t>XBOSVN012X6</t>
  </si>
  <si>
    <t>XBOSVN016X6</t>
  </si>
  <si>
    <t>XBOSVN019X6</t>
  </si>
  <si>
    <t>XBOSVN022X6</t>
  </si>
  <si>
    <t>XBOSVN025X6</t>
  </si>
  <si>
    <t>XBOSVN028X6</t>
  </si>
  <si>
    <t>XBOSVN032X6</t>
  </si>
  <si>
    <t>XBOSVN035X6</t>
  </si>
  <si>
    <t>XBOSVN038X6</t>
  </si>
  <si>
    <t>XBOSVN006X10.195</t>
  </si>
  <si>
    <t>XBOSVN006X10</t>
  </si>
  <si>
    <t>XBOSVN010X10.140</t>
  </si>
  <si>
    <t>XBOSVN010X10</t>
  </si>
  <si>
    <t>XBOSVN013X10.120</t>
  </si>
  <si>
    <t>XBOSVN013X10.105</t>
  </si>
  <si>
    <t>XBOSVN013X10</t>
  </si>
  <si>
    <t>XBOSVN016X10.100</t>
  </si>
  <si>
    <t>XBOSVN016X10</t>
  </si>
  <si>
    <t>XBOSVN019X10.080</t>
  </si>
  <si>
    <t>XBOSVN019X10</t>
  </si>
  <si>
    <t>XBOSVN022X10.072</t>
  </si>
  <si>
    <t>XBOSVN022X10.067</t>
  </si>
  <si>
    <t>XBOSVN022X10</t>
  </si>
  <si>
    <t>XBOSVN025X10.063</t>
  </si>
  <si>
    <t>XBOSVN025X10</t>
  </si>
  <si>
    <t>XBOSVN028X10</t>
  </si>
  <si>
    <t>XBOSVN032X10</t>
  </si>
  <si>
    <t>XBOSVN035X10</t>
  </si>
  <si>
    <t>XBOSVN038X10</t>
  </si>
  <si>
    <t>XBOSVN042X10</t>
  </si>
  <si>
    <t>XBOSVN048X10</t>
  </si>
  <si>
    <t>XBOSVN051X10</t>
  </si>
  <si>
    <t>XBOSVN054X10.022</t>
  </si>
  <si>
    <t>XBOSVN054X10</t>
  </si>
  <si>
    <t>XBOSVN057X10</t>
  </si>
  <si>
    <t>XBOSVN060X10</t>
  </si>
  <si>
    <t>XBOSVN064X10</t>
  </si>
  <si>
    <t>XBOSVN067X10</t>
  </si>
  <si>
    <t>XBOSVN073X10</t>
  </si>
  <si>
    <t>XBOSVN076X10</t>
  </si>
  <si>
    <t>XBOSVN079X10</t>
  </si>
  <si>
    <t>XBOSVN089X10</t>
  </si>
  <si>
    <t>XBOSVN102X10</t>
  </si>
  <si>
    <t>XBOSVN105X10</t>
  </si>
  <si>
    <t>XBOSVN108X10</t>
  </si>
  <si>
    <t>XBOSVN114X10</t>
  </si>
  <si>
    <t>XBOSVN127X10</t>
  </si>
  <si>
    <t>XBOSVN127X10.012</t>
  </si>
  <si>
    <t>XBOSVN130X10</t>
  </si>
  <si>
    <t>XBOSVN133X10</t>
  </si>
  <si>
    <t>XBOSVN140X10</t>
  </si>
  <si>
    <t>XBOSVN152X10</t>
  </si>
  <si>
    <t>XBOSVN159X10</t>
  </si>
  <si>
    <t>XBOSVN165X10</t>
  </si>
  <si>
    <t>XBOSVN006X13.120</t>
  </si>
  <si>
    <t>XBOSVN006X13</t>
  </si>
  <si>
    <t>XBOSVN010X13.100</t>
  </si>
  <si>
    <t>XBOSVN010X13</t>
  </si>
  <si>
    <t>XBOSVN013X13.080</t>
  </si>
  <si>
    <t>XBOSVN013X13</t>
  </si>
  <si>
    <t>XBOSVN016X13.070</t>
  </si>
  <si>
    <t>XBOSVN016X13</t>
  </si>
  <si>
    <t>XBOSVN019X13.064</t>
  </si>
  <si>
    <t>XBOSVN019X13</t>
  </si>
  <si>
    <t>XBOSVN022X13.056</t>
  </si>
  <si>
    <t>XBOSVN022X13</t>
  </si>
  <si>
    <t>XBOSVN025X13</t>
  </si>
  <si>
    <t>XBOSVN028X13</t>
  </si>
  <si>
    <t>XBOSVN032X13</t>
  </si>
  <si>
    <t>XBOSVN035X13</t>
  </si>
  <si>
    <t>XBOSVN038X13.026</t>
  </si>
  <si>
    <t>XBOSVN038X13</t>
  </si>
  <si>
    <t>XBOSVN042X13</t>
  </si>
  <si>
    <t>XBOSVN048X13</t>
  </si>
  <si>
    <t>XBOSVN051X13</t>
  </si>
  <si>
    <t>XBOSVN054X13</t>
  </si>
  <si>
    <t>XBOSVN057X13</t>
  </si>
  <si>
    <t>XBOSVN060X13</t>
  </si>
  <si>
    <t>XBOSVN064X13</t>
  </si>
  <si>
    <t>XBOSVN067X13</t>
  </si>
  <si>
    <t>XBOSVN073X13.014</t>
  </si>
  <si>
    <t>XBOSVN073X13</t>
  </si>
  <si>
    <t>XBOSVN076X13.014</t>
  </si>
  <si>
    <t>XBOSVN076X13</t>
  </si>
  <si>
    <t>XBOSVN079X13</t>
  </si>
  <si>
    <t>XBOSVN089X13</t>
  </si>
  <si>
    <t>XBOSVN102X13</t>
  </si>
  <si>
    <t>XBOSVN105X13</t>
  </si>
  <si>
    <t>XBOSVN108X13</t>
  </si>
  <si>
    <t>XBOSVN114X13</t>
  </si>
  <si>
    <t>XBOSVN127X13</t>
  </si>
  <si>
    <t>XBOSVN130X13</t>
  </si>
  <si>
    <t>XBOSVN133X13</t>
  </si>
  <si>
    <t>XBOSVN140X13</t>
  </si>
  <si>
    <t>XBOSVN152X13</t>
  </si>
  <si>
    <t>XBOSVN159X13</t>
  </si>
  <si>
    <t>XBOSVN165X13</t>
  </si>
  <si>
    <t>XBOSVN006X19</t>
  </si>
  <si>
    <t>XBOSVN010X19</t>
  </si>
  <si>
    <t>XBOSVN013X19</t>
  </si>
  <si>
    <t>XBOSVN016X19</t>
  </si>
  <si>
    <t>XBOSVN019X19</t>
  </si>
  <si>
    <t>XBOSVN022X19.027</t>
  </si>
  <si>
    <t>XBOSVN022X19</t>
  </si>
  <si>
    <t>XBOSVN025X19.024</t>
  </si>
  <si>
    <t>XBOSVN025X19</t>
  </si>
  <si>
    <t>XBOSVN028X19.024</t>
  </si>
  <si>
    <t>XBOSVN028X19</t>
  </si>
  <si>
    <t>XBOSVN032X19</t>
  </si>
  <si>
    <t>XBOSVN035X19</t>
  </si>
  <si>
    <t>XBOSVN038X19</t>
  </si>
  <si>
    <t>XBOSVN042X19</t>
  </si>
  <si>
    <t>XBOSVN048X19</t>
  </si>
  <si>
    <t>XBOSVN051X19</t>
  </si>
  <si>
    <t>XBOSVN054X19</t>
  </si>
  <si>
    <t>XBOSVN057X19</t>
  </si>
  <si>
    <t>XBOSVN060X19</t>
  </si>
  <si>
    <t>XBOSVN064X19</t>
  </si>
  <si>
    <t>XBOSVN067X19</t>
  </si>
  <si>
    <t>XBOSVN073X19</t>
  </si>
  <si>
    <t>XBOSVN076X19</t>
  </si>
  <si>
    <t>XBOSVN079X19</t>
  </si>
  <si>
    <t>XBOSVN089X19</t>
  </si>
  <si>
    <t>XBOSVN102X19</t>
  </si>
  <si>
    <t>XBOSVN105X19</t>
  </si>
  <si>
    <t>XBOSVN108X19</t>
  </si>
  <si>
    <t>XBOSVN114X19</t>
  </si>
  <si>
    <t>XBOSVN127X19</t>
  </si>
  <si>
    <t>XBOSVN130X19</t>
  </si>
  <si>
    <t>XBOSVN133X19</t>
  </si>
  <si>
    <t>XBOSVN140X19</t>
  </si>
  <si>
    <t>XBOSVN152X19</t>
  </si>
  <si>
    <t>XBOSVN159X19</t>
  </si>
  <si>
    <t>XBOSVN165X19</t>
  </si>
  <si>
    <t>XBOSVN006X25.032</t>
  </si>
  <si>
    <t>XBOSVN006X25</t>
  </si>
  <si>
    <t>XBOSVN010X25</t>
  </si>
  <si>
    <t>XBOSVN013X25.025</t>
  </si>
  <si>
    <t>XBOSVN013X25</t>
  </si>
  <si>
    <t>XBOSVN016X25.023</t>
  </si>
  <si>
    <t>XBOSVN016X25</t>
  </si>
  <si>
    <t>XBOSVN019X25</t>
  </si>
  <si>
    <t>XBOSVN022X25</t>
  </si>
  <si>
    <t>XBOSVN025X25.017</t>
  </si>
  <si>
    <t>XBOSVN025X25</t>
  </si>
  <si>
    <t>XBOSVN028X25</t>
  </si>
  <si>
    <t>XBOSVN032X25.016</t>
  </si>
  <si>
    <t>XBOSVN032X25</t>
  </si>
  <si>
    <t>XBOSVN035X25</t>
  </si>
  <si>
    <t>XBOSVN038X25</t>
  </si>
  <si>
    <t>XBOSVN042X25</t>
  </si>
  <si>
    <t>XBOSVN048X25</t>
  </si>
  <si>
    <t>XBOSVN051X25</t>
  </si>
  <si>
    <t>XBOSVN054X25</t>
  </si>
  <si>
    <t>XBOSVN057X25</t>
  </si>
  <si>
    <t>XBOSVN060X25</t>
  </si>
  <si>
    <t>XBOSVN064X25</t>
  </si>
  <si>
    <t>XBOSVN067X25</t>
  </si>
  <si>
    <t>XBOSVN073X25</t>
  </si>
  <si>
    <t>XBOSVN076X25</t>
  </si>
  <si>
    <t>XBOSVN079X25</t>
  </si>
  <si>
    <t>XBOSVN089X25</t>
  </si>
  <si>
    <t>XBOSVN102X25</t>
  </si>
  <si>
    <t>XBOSVN105X25</t>
  </si>
  <si>
    <t>XBOSVN108X25</t>
  </si>
  <si>
    <t>XBOSVN114X25</t>
  </si>
  <si>
    <t>XBOSVN127X25</t>
  </si>
  <si>
    <t>XBOSVN130X25</t>
  </si>
  <si>
    <t>XBOSVN133X25</t>
  </si>
  <si>
    <t>XBOSVN140X25</t>
  </si>
  <si>
    <t>XBOSVN152X25</t>
  </si>
  <si>
    <t>XBOSVN159X25</t>
  </si>
  <si>
    <t>XBOSVN165X25</t>
  </si>
  <si>
    <t>XBOSVN010X32.015</t>
  </si>
  <si>
    <t>XBOSVN013X32</t>
  </si>
  <si>
    <t>XBOSVN016X32</t>
  </si>
  <si>
    <t>XBOSVN019X32</t>
  </si>
  <si>
    <t>XBOSVN022X32.011</t>
  </si>
  <si>
    <t>XBOSVN022X32</t>
  </si>
  <si>
    <t>XBOSVN025X32.011</t>
  </si>
  <si>
    <t>XBOSVN025X32</t>
  </si>
  <si>
    <t>XBOSVN028X32</t>
  </si>
  <si>
    <t>XBOSVN032X32</t>
  </si>
  <si>
    <t>XBOSVN035X32</t>
  </si>
  <si>
    <t>XBOSVN038X32</t>
  </si>
  <si>
    <t>XBOSVN042X32</t>
  </si>
  <si>
    <t>XBOSVN048X32</t>
  </si>
  <si>
    <t>XBOSVN051X32</t>
  </si>
  <si>
    <t>XBOSVN054X32</t>
  </si>
  <si>
    <t>XBOSVN057X32</t>
  </si>
  <si>
    <t>XBOSVN060X32</t>
  </si>
  <si>
    <t>XBOSVN064X32</t>
  </si>
  <si>
    <t>XBOSVN067X32</t>
  </si>
  <si>
    <t>XBOSVN073X32</t>
  </si>
  <si>
    <t>XBOSVN076X32</t>
  </si>
  <si>
    <t>XBOSVN079X32</t>
  </si>
  <si>
    <t>XBOSVN089X32</t>
  </si>
  <si>
    <t>XBOSVN102X32</t>
  </si>
  <si>
    <t>XBOSVN105X32</t>
  </si>
  <si>
    <t>XBOSVN108X32</t>
  </si>
  <si>
    <t>XBOSVN114X32</t>
  </si>
  <si>
    <t>XBOSVN127X32</t>
  </si>
  <si>
    <t>XBOSVN130X32</t>
  </si>
  <si>
    <t>XBOSVN133X32</t>
  </si>
  <si>
    <t>XBOSVN140X32</t>
  </si>
  <si>
    <t>XBOSVN152X32</t>
  </si>
  <si>
    <t>XBOSVN159X32</t>
  </si>
  <si>
    <t>XBOSVN165X32</t>
  </si>
  <si>
    <t>XBOSVN013X38.010</t>
  </si>
  <si>
    <t>XBOSVN013X38</t>
  </si>
  <si>
    <t>XBOSVN016X38</t>
  </si>
  <si>
    <t>XBOSVN019X38</t>
  </si>
  <si>
    <t>XBOSVN022X38</t>
  </si>
  <si>
    <t>XBOSVN025X38</t>
  </si>
  <si>
    <t>XBOSVN028X38</t>
  </si>
  <si>
    <t>XBOSVN032X38</t>
  </si>
  <si>
    <t>XBOSVN035X38</t>
  </si>
  <si>
    <t>XBOSVN038X38</t>
  </si>
  <si>
    <t>XBOSVN042X38</t>
  </si>
  <si>
    <t>XBOSVN048X38</t>
  </si>
  <si>
    <t>XBOSVN051X38</t>
  </si>
  <si>
    <t>XBOSVN054X38</t>
  </si>
  <si>
    <t>XBOSVN057X38</t>
  </si>
  <si>
    <t>XBOSVN060X38</t>
  </si>
  <si>
    <t>XBOSVN064X38</t>
  </si>
  <si>
    <t>XBOSVN067X38</t>
  </si>
  <si>
    <t>XBOSVN073X38</t>
  </si>
  <si>
    <t>XBOSVN076X38</t>
  </si>
  <si>
    <t>XBOSVN079X38</t>
  </si>
  <si>
    <t>XBOSVN089X38</t>
  </si>
  <si>
    <t>XBOSVN102X38</t>
  </si>
  <si>
    <t>XBOSVN105X38</t>
  </si>
  <si>
    <t>XBOSVN108X38</t>
  </si>
  <si>
    <t>XBOSVN114X38</t>
  </si>
  <si>
    <t>XBOSVN127X38</t>
  </si>
  <si>
    <t>XBOSVN130X38</t>
  </si>
  <si>
    <t>XBOSVN133X38</t>
  </si>
  <si>
    <t>XBOSVN140X38</t>
  </si>
  <si>
    <t>XBOSVN152X38</t>
  </si>
  <si>
    <t>XBOSVN013X51</t>
  </si>
  <si>
    <t>XBOSVN016X51</t>
  </si>
  <si>
    <t>XBOSVN019X51</t>
  </si>
  <si>
    <t>XBOSVN022X51</t>
  </si>
  <si>
    <t>XBOSVN025X51</t>
  </si>
  <si>
    <t>XBOSVN028X51</t>
  </si>
  <si>
    <t>XBOSVN032X51</t>
  </si>
  <si>
    <t>XBOSVN035X51</t>
  </si>
  <si>
    <t>XBOSVN038X51</t>
  </si>
  <si>
    <t>XBOSVN042X51</t>
  </si>
  <si>
    <t>XBOSVN048X51</t>
  </si>
  <si>
    <t>XBOSVN051X51</t>
  </si>
  <si>
    <t>XBOSVN054X51</t>
  </si>
  <si>
    <t>XBOSVN057X51</t>
  </si>
  <si>
    <t>XBOSVN060X51</t>
  </si>
  <si>
    <t>XBOSVN064X51</t>
  </si>
  <si>
    <t>XBOSVN067X51</t>
  </si>
  <si>
    <t>XBOSVN073X51</t>
  </si>
  <si>
    <t>XBOSVN076X51</t>
  </si>
  <si>
    <t>XBOSVN079X51</t>
  </si>
  <si>
    <t>XBOSVN089X51</t>
  </si>
  <si>
    <t>XBOSVN102X51</t>
  </si>
  <si>
    <t>XBOSVN105X51</t>
  </si>
  <si>
    <t>XBOSVN108X51</t>
  </si>
  <si>
    <t>XBOSVN114X51</t>
  </si>
  <si>
    <t>XBOSVN127X51</t>
  </si>
  <si>
    <t>Superlon Class 0 Malaysia</t>
  </si>
  <si>
    <t>XBOS006X10C0</t>
  </si>
  <si>
    <t>Ống cao su lưu hóa Superlon Class 0 Malaysia 06X10 (156S/T)</t>
  </si>
  <si>
    <t>XBOS010X10C0</t>
  </si>
  <si>
    <t>Ống cao su lưu hóa Superlon Class 0 Malaysia 10X10 (120S/T)</t>
  </si>
  <si>
    <t>XBOS013X10C0</t>
  </si>
  <si>
    <t>Ống cao su lưu hóa Superlon Class 0 Malaysia 13X10 (100S/T)</t>
  </si>
  <si>
    <t>XBOS016X10C0</t>
  </si>
  <si>
    <t>Ống cao su lưu hóa Superlon Class 0 Malaysia 16X10 (90S/T)</t>
  </si>
  <si>
    <t>XBOS019X10C0</t>
  </si>
  <si>
    <t>Ống cao su lưu hóa Superlon Class 0 Malaysia 19X10 (72S/T)</t>
  </si>
  <si>
    <t>XBOS022X10C0</t>
  </si>
  <si>
    <t>Ống cao su lưu hóa Superlon Class 0 Malaysia 22X10 (64S/T)</t>
  </si>
  <si>
    <t>XBOS025X10C0</t>
  </si>
  <si>
    <t>Ống cao su lưu hóa Superlon Class 0 Malaysia 25X10 (56S/T)</t>
  </si>
  <si>
    <t>XBOS028X10C0</t>
  </si>
  <si>
    <t>Ống cao su lưu hóa Superlon Class 0 Malaysia 28X10 (49S/T)</t>
  </si>
  <si>
    <t>XBOS032X10C0</t>
  </si>
  <si>
    <t>Ống cao su lưu hóa Superlon Class 0 Malaysia 32X10 (42S/T)</t>
  </si>
  <si>
    <t>XBOS035X10C0</t>
  </si>
  <si>
    <t>Ống cao su lưu hóa Superlon Class 0 Malaysia 35X10 (36S/T)</t>
  </si>
  <si>
    <t>XBOS038X10C0</t>
  </si>
  <si>
    <t>Ống cao su lưu hóa Superlon Class 0 Malaysia 38X10 (34S/T)</t>
  </si>
  <si>
    <t>XBOS042X10C0</t>
  </si>
  <si>
    <t>Ống cao su lưu hóa Superlon Class 0 Malaysia 42X10 (30S/T)</t>
  </si>
  <si>
    <t>XBOS048X10C0</t>
  </si>
  <si>
    <t>Ống cao su lưu hóa Superlon Class 0 Malaysia 48X10 (28S/T)</t>
  </si>
  <si>
    <t>XBOS051X10C0</t>
  </si>
  <si>
    <t>Ống cao su lưu hóa Superlon Class 0 Malaysia 51X10 (24S/T)</t>
  </si>
  <si>
    <t>XBOS054X10C0</t>
  </si>
  <si>
    <t>Ống cao su lưu hóa Superlon Class 0 Malaysia 54X10 (21S/T)</t>
  </si>
  <si>
    <t>XBOS060X10C0</t>
  </si>
  <si>
    <t>Ống cao su lưu hóa Superlon Class 0 Malaysia 60X10 (20S/T)</t>
  </si>
  <si>
    <t>XBOS067X10C0</t>
  </si>
  <si>
    <t>Ống cao su lưu hóa Superlon Class 0 Malaysia 67X10 (18S/T)</t>
  </si>
  <si>
    <t>XBOS073X10C0</t>
  </si>
  <si>
    <t>Ống cao su lưu hóa Superlon Class 0 Malaysia 73X10 (18S/T)</t>
  </si>
  <si>
    <t>XBOS076X10C0</t>
  </si>
  <si>
    <t>Ống cao su lưu hóa Superlon Class 0 Malaysia 76X10 (18S/T)</t>
  </si>
  <si>
    <t>XBOS079X10C0</t>
  </si>
  <si>
    <t>Ống cao su lưu hóa Superlon Class 0 Malaysia 79X10 (16S/T)</t>
  </si>
  <si>
    <t>XBOS089X10C0</t>
  </si>
  <si>
    <t>Ống cao su lưu hóa Superlon Class 0 Malaysia 89X10 (16S/T)</t>
  </si>
  <si>
    <t>XBOS102X10C0</t>
  </si>
  <si>
    <t>Ống cao su lưu hóa Superlon Class 0 Malaysia 102X10 (14S/T)</t>
  </si>
  <si>
    <t>XBOS105X10C0</t>
  </si>
  <si>
    <t>Ống cao su lưu hóa Superlon Class 0 Malaysia 105X10 (14S/T)</t>
  </si>
  <si>
    <t>XBOS108X10C0</t>
  </si>
  <si>
    <t>Ống cao su lưu hóa Superlon Class 0 Malaysia 108X10 (14S/T)</t>
  </si>
  <si>
    <t>XBOS114X10C0</t>
  </si>
  <si>
    <t>Ống cao su lưu hóa Superlon Class 0 Malaysia 114X10 (14S/T)</t>
  </si>
  <si>
    <t>XBOS127X10C0</t>
  </si>
  <si>
    <t>Ống cao su lưu hóa Superlon Class 0 Malaysia 127X10 (10S/T)</t>
  </si>
  <si>
    <t>XBOS130X10C0</t>
  </si>
  <si>
    <t>Ống cao su lưu hóa Superlon Class 0 Malaysia 130X10 (10S/T)</t>
  </si>
  <si>
    <t>XBOS133X10C0</t>
  </si>
  <si>
    <t>Ống cao su lưu hóa Superlon Class 0 Malaysia 133X10 (10S/T)</t>
  </si>
  <si>
    <t>XBOS140X10C0</t>
  </si>
  <si>
    <t>Ống cao su lưu hóa Superlon Class 0 Malaysia 140X10 (10S/T)</t>
  </si>
  <si>
    <t>XBOS152X10C0</t>
  </si>
  <si>
    <t>Ống cao su lưu hóa Superlon Class 0 Malaysia 152X10 (3S/T)</t>
  </si>
  <si>
    <t>XBOS159X10C0</t>
  </si>
  <si>
    <t>Ống cao su lưu hóa Superlon Class 0 Malaysia 159X10 (3S/T)</t>
  </si>
  <si>
    <t>XBOS165X10C0</t>
  </si>
  <si>
    <t>Ống cao su lưu hóa Superlon Class 0 Malaysia 165X10 (3S/T)</t>
  </si>
  <si>
    <t>XBOS006X13C0</t>
  </si>
  <si>
    <t>Ống cao su lưu hóa Superlon Class 0 Malaysia 06X13 (110S/T)</t>
  </si>
  <si>
    <t>XBOS010X13C0</t>
  </si>
  <si>
    <t>Ống cao su lưu hóa Superlon Class 0 Malaysia 10X13 (90S/T)</t>
  </si>
  <si>
    <t>XBOS013X13C0</t>
  </si>
  <si>
    <t>Ống cao su lưu hóa Superlon Class 0 Malaysia 13X13 (72S/T)</t>
  </si>
  <si>
    <t>XBOS016X13C0</t>
  </si>
  <si>
    <t>Ống cao su lưu hóa Superlon Class 0 Malaysia 16X13 (63S/T)</t>
  </si>
  <si>
    <t>XBOS019X13C0</t>
  </si>
  <si>
    <t>Ống cao su lưu hóa Superlon Class 0 Malaysia 19X13 (56S/T)</t>
  </si>
  <si>
    <t>XBOS022X13C0</t>
  </si>
  <si>
    <t>Ống cao su lưu hóa Superlon Class 0 Malaysia 22X13 (48S/T)</t>
  </si>
  <si>
    <t>XBOS025X13C0</t>
  </si>
  <si>
    <t>Ống cao su lưu hóa Superlon Class 0 Malaysia 25X13 (42S/T)</t>
  </si>
  <si>
    <t>XBOS028X13C0</t>
  </si>
  <si>
    <t>Ống cao su lưu hóa Superlon Class 0 Malaysia 28X13 (36S/T)</t>
  </si>
  <si>
    <t>XBOS032X13C0</t>
  </si>
  <si>
    <t>Ống cao su lưu hóa Superlon Class 0 Malaysia 32X13 (30S/T)</t>
  </si>
  <si>
    <t>XBOS035X13C0</t>
  </si>
  <si>
    <t>Ống cao su lưu hóa Superlon Class 0 Malaysia 35X13 (30S/T)</t>
  </si>
  <si>
    <t>XBOS038X13C0</t>
  </si>
  <si>
    <t>Ống cao su lưu hóa Superlon Class 0 Malaysia 38X13 (25S/T)</t>
  </si>
  <si>
    <t>XBOS042X13C0</t>
  </si>
  <si>
    <t>Ống cao su lưu hóa Superlon Class 0 Malaysia 42X13 (25S/T)</t>
  </si>
  <si>
    <t>XBOS048X13C0</t>
  </si>
  <si>
    <t>Ống cao su lưu hóa Superlon Class 0 Malaysia 48X13 (20S/T)</t>
  </si>
  <si>
    <t>XBOS051X13C0</t>
  </si>
  <si>
    <t>Ống cao su lưu hóa Superlon Class 0 Malaysia 51X13 (20S/T)</t>
  </si>
  <si>
    <t>XBOS054X13C0</t>
  </si>
  <si>
    <t>Ống cao su lưu hóa Superlon Class 0 Malaysia 54X13 (20S/T)</t>
  </si>
  <si>
    <t>XBOS060X13C0</t>
  </si>
  <si>
    <t>Ống cao su lưu hóa Superlon Class 0 Malaysia 60X13 (18S/T)</t>
  </si>
  <si>
    <t>XBOS067X13C0</t>
  </si>
  <si>
    <t>Ống cao su lưu hóa Superlon Class 0 Malaysia 67X13 (15S/T)</t>
  </si>
  <si>
    <t>XBOS073X13C0</t>
  </si>
  <si>
    <t>Ống cao su lưu hóa Superlon Class 0 Malaysia 73X13 (13S/T)</t>
  </si>
  <si>
    <t>XBOS076X13C0</t>
  </si>
  <si>
    <t>Ống cao su lưu hóa Superlon Class 0 Malaysia 76X13 (12S/T)</t>
  </si>
  <si>
    <t>XBOS079X13C0</t>
  </si>
  <si>
    <t>Ống cao su lưu hóa Superlon Class 0 Malaysia 79X13 (12S/T)</t>
  </si>
  <si>
    <t>XBOS089X13C0</t>
  </si>
  <si>
    <t>Ống cao su lưu hóa Superlon Class 0 Malaysia 89X13 (12S/T)</t>
  </si>
  <si>
    <t>XBOS102X13C0</t>
  </si>
  <si>
    <t>Ống cao su lưu hóa Superlon Class 0 Malaysia 102X13 (12S/T)</t>
  </si>
  <si>
    <t>XBOS105X13C0</t>
  </si>
  <si>
    <t>Ống cao su lưu hóa Superlon Class 0 Malaysia 105X13 (12S/T)</t>
  </si>
  <si>
    <t>XBOS108X13C0</t>
  </si>
  <si>
    <t>Ống cao su lưu hóa Superlon Class 0 Malaysia 108X13 (12S/T)</t>
  </si>
  <si>
    <t>XBOS114X13C0</t>
  </si>
  <si>
    <t>Ống cao su lưu hóa Superlon Class 0 Malaysia 114X13 (12S/T)</t>
  </si>
  <si>
    <t>XBOS127X13C0</t>
  </si>
  <si>
    <t>Ống cao su lưu hóa Superlon Class 0 Malaysia 127X13 (9S/T)</t>
  </si>
  <si>
    <t>XBOS130X13C0</t>
  </si>
  <si>
    <t>Ống cao su lưu hóa Superlon Class 0 Malaysia 130X13 (9S/T)</t>
  </si>
  <si>
    <t>XBOS133X13C0</t>
  </si>
  <si>
    <t>Ống cao su lưu hóa Superlon Class 0 Malaysia 133X13 (9S/T)</t>
  </si>
  <si>
    <t>XBOS140X13C0</t>
  </si>
  <si>
    <t>Ống cao su lưu hóa Superlon Class 0 Malaysia 140X13 (8S/T)</t>
  </si>
  <si>
    <t>XBOS152X13C0</t>
  </si>
  <si>
    <t>Ống cao su lưu hóa Superlon Class 0 Malaysia 152X13 (6S/T)</t>
  </si>
  <si>
    <t>XBOS159X13C0</t>
  </si>
  <si>
    <t>Ống cao su lưu hóa Superlon Class 0 Malaysia 159X13 (3S/T)</t>
  </si>
  <si>
    <t>XBOS165X13C0</t>
  </si>
  <si>
    <t>Ống cao su lưu hóa Superlon Class 0 Malaysia 165X13 (3S/T)</t>
  </si>
  <si>
    <t>XBOS006X19C0</t>
  </si>
  <si>
    <t>Ống cao su lưu hóa Superlon Class 0 Malaysia 06X19 (49S/T)</t>
  </si>
  <si>
    <t>XBOS010X19C0</t>
  </si>
  <si>
    <t>Ống cao su lưu hóa Superlon Class 0 Malaysia 10X19 (42S/T)</t>
  </si>
  <si>
    <t>XBOS013X19C0</t>
  </si>
  <si>
    <t>Ống cao su lưu hóa Superlon Class 0 Malaysia 13X19 (36S/T)</t>
  </si>
  <si>
    <t>XBOS016X19C0</t>
  </si>
  <si>
    <t>Ống cao su lưu hóa Superlon Class 0 Malaysia 16X19 (36S/T)</t>
  </si>
  <si>
    <t>XBOS019X19C0</t>
  </si>
  <si>
    <t>Ống cao su lưu hóa Superlon Class 0 Malaysia 19X19 (30S/T)</t>
  </si>
  <si>
    <t>XBOS022X19C0</t>
  </si>
  <si>
    <t>Ống cao su lưu hóa Superlon Class 0 Malaysia 22X19 (25S/T)</t>
  </si>
  <si>
    <t>XBOS025X19C0</t>
  </si>
  <si>
    <t>Ống cao su lưu hóa Superlon Class 0 Malaysia 25X19 (20S/T)</t>
  </si>
  <si>
    <t>XBOS028X19C0</t>
  </si>
  <si>
    <t>Ống cao su lưu hóa Superlon Class 0 Malaysia 28X19 (20S/T)</t>
  </si>
  <si>
    <t>XBOS032X19C0</t>
  </si>
  <si>
    <t>Ống cao su lưu hóa Superlon Class 0 Malaysia 32X19 (20S/T)</t>
  </si>
  <si>
    <t>XBOS035X19C0</t>
  </si>
  <si>
    <t>Ống cao su lưu hóa Superlon Class 0 Malaysia 35X19 (16S/T)</t>
  </si>
  <si>
    <t>XBOS038X19C0</t>
  </si>
  <si>
    <t>Ống cao su lưu hóa Superlon Class 0 Malaysia 38X19 (16S/T)</t>
  </si>
  <si>
    <t>XBOS042X19C0</t>
  </si>
  <si>
    <t>Ống cao su lưu hóa Superlon Class 0 Malaysia 42X19 (16S/T)</t>
  </si>
  <si>
    <t>XBOS048X19C0</t>
  </si>
  <si>
    <t>Ống cao su lưu hóa Superlon Class 0 Malaysia 48X19 (15S/T)</t>
  </si>
  <si>
    <t>XBOS051X19C0</t>
  </si>
  <si>
    <t>Ống cao su lưu hóa Superlon Class 0 Malaysia 51X19 (12S/T)</t>
  </si>
  <si>
    <t>XBOS054X19C0</t>
  </si>
  <si>
    <t>Ống cao su lưu hóa Superlon Class 0 Malaysia 54X19 (12S/T)</t>
  </si>
  <si>
    <t>XBOS060X19C0</t>
  </si>
  <si>
    <t>Ống cao su lưu hóa Superlon Class 0 Malaysia 60X19 (12S/T)</t>
  </si>
  <si>
    <t>XBOS067X19C0</t>
  </si>
  <si>
    <t>Ống cao su lưu hóa Superlon Class 0 Malaysia 67X19 (9S/T)</t>
  </si>
  <si>
    <t>XBOS073X19C0</t>
  </si>
  <si>
    <t>Ống cao su lưu hóa Superlon Class 0 Malaysia 73X19 (9S/T)</t>
  </si>
  <si>
    <t>XBOS076X19C0</t>
  </si>
  <si>
    <t>Ống cao su lưu hóa Superlon Class 0 Malaysia 76X19 (8S/T)</t>
  </si>
  <si>
    <t>XBOS079X19C0</t>
  </si>
  <si>
    <t>Ống cao su lưu hóa Superlon Class 0 Malaysia 79X19 (8S/T)</t>
  </si>
  <si>
    <t>XBOS089X19C0</t>
  </si>
  <si>
    <t>Ống cao su lưu hóa Superlon Class 0 Malaysia 89X19 (8S/T)</t>
  </si>
  <si>
    <t>XBOS102X19C0</t>
  </si>
  <si>
    <t>Ống cao su lưu hóa Superlon Class 0 Malaysia 102X19 (6S/T)</t>
  </si>
  <si>
    <t>XBOS105X19C0</t>
  </si>
  <si>
    <t>Ống cao su lưu hóa Superlon Class 0 Malaysia 105X19 (6S/T)</t>
  </si>
  <si>
    <t>XBOS108X19C0</t>
  </si>
  <si>
    <t>Ống cao su lưu hóa Superlon Class 0 Malaysia 108X19 (6S/T)</t>
  </si>
  <si>
    <t>XBOS114X19C0</t>
  </si>
  <si>
    <t>Ống cao su lưu hóa Superlon Class 0 Malaysia 114X19 (6S/T)</t>
  </si>
  <si>
    <t>XBOS127X19C0</t>
  </si>
  <si>
    <t>Ống cao su lưu hóa Superlon Class 0 Malaysia 127X19 (6S/T)</t>
  </si>
  <si>
    <t>XBOS130X19C0</t>
  </si>
  <si>
    <t>Ống cao su lưu hóa Superlon Class 0 Malaysia 130X19 (6S/T)</t>
  </si>
  <si>
    <t>XBOS133X19C0</t>
  </si>
  <si>
    <t>Ống cao su lưu hóa Superlon Class 0 Malaysia 133X19 (6S/T)</t>
  </si>
  <si>
    <t>XBOS140X19C0</t>
  </si>
  <si>
    <t>Ống cao su lưu hóa Superlon Class 0 Malaysia 140X19 (6S/T)</t>
  </si>
  <si>
    <t>XBOS152X19C0</t>
  </si>
  <si>
    <t>Ống cao su lưu hóa Superlon Class 0 Malaysia 152X19 (6S/T)</t>
  </si>
  <si>
    <t>XBOS159X19C0</t>
  </si>
  <si>
    <t>Ống cao su lưu hóa Superlon Class 0 Malaysia 159X19 (3S/T)</t>
  </si>
  <si>
    <t>XBOS165X19C0</t>
  </si>
  <si>
    <t>Ống cao su lưu hóa Superlon Class 0 Malaysia 165X19 (3S/T)</t>
  </si>
  <si>
    <t>XBOS006X25C0</t>
  </si>
  <si>
    <t>Ống cao su lưu hóa Superlon Class 0 Malaysia 06X25 (30S/T)</t>
  </si>
  <si>
    <t>XBOS010X25C0</t>
  </si>
  <si>
    <t>Ống cao su lưu hóa Superlon Class 0 Malaysia 10X25 (30S/T)</t>
  </si>
  <si>
    <t>XBOS013X25C0</t>
  </si>
  <si>
    <t>Ống cao su lưu hóa Superlon Class 0 Malaysia 13X25 (24S/T)</t>
  </si>
  <si>
    <t>XBOS016X25C0</t>
  </si>
  <si>
    <t>Ống cao su lưu hóa Superlon Class 0 Malaysia 16X25 (20S/T)</t>
  </si>
  <si>
    <t>XBOS019X25C0</t>
  </si>
  <si>
    <t>Ống cao su lưu hóa Superlon Class 0 Malaysia 19X25 (20S/T)</t>
  </si>
  <si>
    <t>XBOS022X25C0</t>
  </si>
  <si>
    <t>Ống cao su lưu hóa Superlon Class 0 Malaysia 22X25 (18S/T)</t>
  </si>
  <si>
    <t>XBOS025X25C0</t>
  </si>
  <si>
    <t>Ống cao su lưu hóa Superlon Class 0 Malaysia 25X25 (16S/T)</t>
  </si>
  <si>
    <t>XBOS028X25C0</t>
  </si>
  <si>
    <t>Ống cao su lưu hóa Superlon Class 0 Malaysia 28X25 (16S/T)</t>
  </si>
  <si>
    <t>XBOS032X25C0</t>
  </si>
  <si>
    <t>Ống cao su lưu hóa Superlon Class 0 Malaysia 32X25 (15S/T)</t>
  </si>
  <si>
    <t>XBOS035X25C0</t>
  </si>
  <si>
    <t>Ống cao su lưu hóa Superlon Class 0 Malaysia 35X25 (12S/T)</t>
  </si>
  <si>
    <t>XBOS038X25C0</t>
  </si>
  <si>
    <t>Ống cao su lưu hóa Superlon Class 0 Malaysia 38X25 (12S/T)</t>
  </si>
  <si>
    <t>XBOS042X25C0</t>
  </si>
  <si>
    <t>Ống cao su lưu hóa Superlon Class 0 Malaysia 42X25 (12S/T)</t>
  </si>
  <si>
    <t>XBOS048X25C0</t>
  </si>
  <si>
    <t>Ống cao su lưu hóa Superlon Class 0 Malaysia 48X25 (10S/T)</t>
  </si>
  <si>
    <t>XBOS051X25C0</t>
  </si>
  <si>
    <t>Ống cao su lưu hóa Superlon Class 0 Malaysia 51X25 (9S/T)</t>
  </si>
  <si>
    <t>XBOS054X25C0</t>
  </si>
  <si>
    <t>Ống cao su lưu hóa Superlon Class 0 Malaysia 54X25 (9S/T)</t>
  </si>
  <si>
    <t>XBOS060X25C0</t>
  </si>
  <si>
    <t>Ống cao su lưu hóa Superlon Class 0 Malaysia 60X25 (9S/T)</t>
  </si>
  <si>
    <t>XBOS067X25C0</t>
  </si>
  <si>
    <t>Ống cao su lưu hóa Superlon Class 0 Malaysia 67X25 (8S/T)</t>
  </si>
  <si>
    <t>XBOS073X25C0</t>
  </si>
  <si>
    <t>Ống cao su lưu hóa Superlon Class 0 Malaysia 73X25 (8S/T)</t>
  </si>
  <si>
    <t>XBOS076X25C0</t>
  </si>
  <si>
    <t>Ống cao su lưu hóa Superlon Class 0 Malaysia 76X25 (8S/T)</t>
  </si>
  <si>
    <t>XBOS079X25C0</t>
  </si>
  <si>
    <t>Ống cao su lưu hóa Superlon Class 0 Malaysia 79X25 (6S/T)</t>
  </si>
  <si>
    <t>XBOS089X25C0</t>
  </si>
  <si>
    <t>Ống cao su lưu hóa Superlon Class 0 Malaysia 89X25 (6S/T)</t>
  </si>
  <si>
    <t>XBOS102X25C0</t>
  </si>
  <si>
    <t>Ống cao su lưu hóa Superlon Class 0 Malaysia 102X25 (6S/T)</t>
  </si>
  <si>
    <t>XBOS105X25C0</t>
  </si>
  <si>
    <t>Ống cao su lưu hóa Superlon Class 0 Malaysia 105X25 (5S/T)</t>
  </si>
  <si>
    <t>XBOS108X25C0</t>
  </si>
  <si>
    <t>Ống cao su lưu hóa Superlon Class 0 Malaysia 108X25 (5S/T)</t>
  </si>
  <si>
    <t>XBOS114X25C0</t>
  </si>
  <si>
    <t>Ống cao su lưu hóa Superlon Class 0 Malaysia 114X25 (4S/T)</t>
  </si>
  <si>
    <t>XBOS127X25C0</t>
  </si>
  <si>
    <t>Ống cao su lưu hóa Superlon Class 0 Malaysia 127X25 (4S/T)</t>
  </si>
  <si>
    <t>XBOS130X25C0</t>
  </si>
  <si>
    <t>Ống cao su lưu hóa Superlon Class 0 Malaysia 130X25 (3S/T)</t>
  </si>
  <si>
    <t>XBOS133X25C0</t>
  </si>
  <si>
    <t>Ống cao su lưu hóa Superlon Class 0 Malaysia 133X25 (3S/T)</t>
  </si>
  <si>
    <t>XBOS140X25C0</t>
  </si>
  <si>
    <t>Ống cao su lưu hóa Superlon Class 0 Malaysia 140X25 (3S/T)</t>
  </si>
  <si>
    <t>XBOS152X25C0</t>
  </si>
  <si>
    <t>Ống cao su lưu hóa Superlon Class 0 Malaysia 152X25 (S/T)</t>
  </si>
  <si>
    <t>XBOS159X25C0</t>
  </si>
  <si>
    <t>Ống cao su lưu hóa Superlon Class 0 Malaysia 159X25 (S/T)</t>
  </si>
  <si>
    <t>XBOS165X25C0</t>
  </si>
  <si>
    <t>Ống cao su lưu hóa Superlon Class 0 Malaysia 165X25 (S/T)</t>
  </si>
  <si>
    <t>XBOS016X32C0</t>
  </si>
  <si>
    <t>Ống cao su lưu hóa Superlon Class 0 Malaysia 16X32 (12S/T)</t>
  </si>
  <si>
    <t>XBOS019X32C0</t>
  </si>
  <si>
    <t>Ống cao su lưu hóa Superlon Class 0 Malaysia 19X32 (12S/T)</t>
  </si>
  <si>
    <t>XBOS022X32C0</t>
  </si>
  <si>
    <t>Ống cao su lưu hóa Superlon Class 0 Malaysia 22X32 (9S/T)</t>
  </si>
  <si>
    <t>XBOS025X32C0</t>
  </si>
  <si>
    <t>Ống cao su lưu hóa Superlon Class 0 Malaysia 25X32 (9S/T)</t>
  </si>
  <si>
    <t>XBOS028X32C0</t>
  </si>
  <si>
    <t>Ống cao su lưu hóa Superlon Class 0 Malaysia 28X32 (9S/T)</t>
  </si>
  <si>
    <t>XBOS032X32C0</t>
  </si>
  <si>
    <t>Ống cao su lưu hóa Superlon Class 0 Malaysia 32X32 (9S/T)</t>
  </si>
  <si>
    <t>XBOS035X32C0</t>
  </si>
  <si>
    <t>Ống cao su lưu hóa Superlon Class 0 Malaysia 35X32 (9S/T)</t>
  </si>
  <si>
    <t>XBOS038X32C0</t>
  </si>
  <si>
    <t>Ống cao su lưu hóa Superlon Class 0 Malaysia 38X32 (9S/T)</t>
  </si>
  <si>
    <t>XBOS042X32C0</t>
  </si>
  <si>
    <t>Ống cao su lưu hóa Superlon Class 0 Malaysia 42X32 (9S/T)</t>
  </si>
  <si>
    <t>XBOS048X32C0</t>
  </si>
  <si>
    <t>Ống cao su lưu hóa Superlon Class 0 Malaysia 48X32 (8S/T)</t>
  </si>
  <si>
    <t>XBOS050X32C0</t>
  </si>
  <si>
    <t>Ống cao su lưu hóa Superlon Class 0 Malaysia 50X32 (8S/T)</t>
  </si>
  <si>
    <t>XBOS054X32C0</t>
  </si>
  <si>
    <t>Ống cao su lưu hóa Superlon Class 0 Malaysia 54X32 (8S/T)</t>
  </si>
  <si>
    <t>XBOS060X32C0</t>
  </si>
  <si>
    <t>Ống cao su lưu hóa Superlon Class 0 Malaysia 60X32 (6S/T)</t>
  </si>
  <si>
    <t>XBOS067X32C0</t>
  </si>
  <si>
    <t>Ống cao su lưu hóa Superlon Class 0 Malaysia 67X32 (6S/T)</t>
  </si>
  <si>
    <t>XBOS072X32C0</t>
  </si>
  <si>
    <t>Ống cao su lưu hóa Superlon Class 0 Malaysia 72X32 (6S/T)</t>
  </si>
  <si>
    <t>XBOS075X32C0</t>
  </si>
  <si>
    <t>Ống cao su lưu hóa Superlon Class 0 Malaysia 75X32 (4S/T)</t>
  </si>
  <si>
    <t>XBOS078X32C0</t>
  </si>
  <si>
    <t>Ống cao su lưu hóa Superlon Class 0 Malaysia 78X32 (4S/T)</t>
  </si>
  <si>
    <t>XBOS089X32C0</t>
  </si>
  <si>
    <t>Ống cao su lưu hóa Superlon Class 0 Malaysia 89X32 (4S/T)</t>
  </si>
  <si>
    <t>XBOS102X32C0</t>
  </si>
  <si>
    <t>Ống cao su lưu hóa Superlon Class 0 Malaysia 102X32 (S/T)</t>
  </si>
  <si>
    <t>XBOS105X32C0</t>
  </si>
  <si>
    <t>Ống cao su lưu hóa Superlon Class 0 Malaysia 105X32 (S/T)</t>
  </si>
  <si>
    <t>XBOS108X32C0</t>
  </si>
  <si>
    <t>Ống cao su lưu hóa Superlon Class 0 Malaysia 108X32 (S/T)</t>
  </si>
  <si>
    <t>XBOS114X32C0</t>
  </si>
  <si>
    <t>Ống cao su lưu hóa Superlon Class 0 Malaysia 114X32 (S/T)</t>
  </si>
  <si>
    <t>XBOS127X32C0</t>
  </si>
  <si>
    <t>Ống cao su lưu hóa Superlon Class 0 Malaysia 127X32 (S/T)</t>
  </si>
  <si>
    <t>XBOS130X32C0</t>
  </si>
  <si>
    <t>Ống cao su lưu hóa Superlon Class 0 Malaysia 130X32 (S/T)</t>
  </si>
  <si>
    <t>XBOS133X32C0</t>
  </si>
  <si>
    <t>Ống cao su lưu hóa Superlon Class 0 Malaysia 133X32 (S/T)</t>
  </si>
  <si>
    <t>XBOS140X32C0</t>
  </si>
  <si>
    <t>Ống cao su lưu hóa Superlon Class 0 Malaysia 140X32 (S/T)</t>
  </si>
  <si>
    <t>XBOS152X32C0</t>
  </si>
  <si>
    <t>Ống cao su lưu hóa Superlon Class 0 Malaysia 152X32 (S/T)</t>
  </si>
  <si>
    <t>XBOS159X32C0</t>
  </si>
  <si>
    <t>Ống cao su lưu hóa Superlon Class 0 Malaysia 159X32 (S/T)</t>
  </si>
  <si>
    <t>XBOS165X32C0</t>
  </si>
  <si>
    <t>Ống cao su lưu hóa Superlon Class 0 Malaysia 165X32 (S/T)</t>
  </si>
  <si>
    <t>XBOS016X38C0</t>
  </si>
  <si>
    <t>Ống cao su lưu hóa Superlon Class 0 Malaysia 16X38 (9S/T)</t>
  </si>
  <si>
    <t>XBOS019X38C0</t>
  </si>
  <si>
    <t>Ống cao su lưu hóa Superlon Class 0 Malaysia 19X38 (9S/T)</t>
  </si>
  <si>
    <t>XBOS022X38C0</t>
  </si>
  <si>
    <t>Ống cao su lưu hóa Superlon Class 0 Malaysia 22X38 (9S/T)</t>
  </si>
  <si>
    <t>XBOS025X38C0</t>
  </si>
  <si>
    <t>Ống cao su lưu hóa Superlon Class 0 Malaysia 25X38 (9S/T)</t>
  </si>
  <si>
    <t>XBOS028X38C0</t>
  </si>
  <si>
    <t>Ống cao su lưu hóa Superlon Class 0 Malaysia 28X38 (9S/T)</t>
  </si>
  <si>
    <t>XBOS032X38C0</t>
  </si>
  <si>
    <t>Ống cao su lưu hóa Superlon Class 0 Malaysia 32X38 (9S/T)</t>
  </si>
  <si>
    <t>XBOS035X38C0</t>
  </si>
  <si>
    <t>Ống cao su lưu hóa Superlon Class 0 Malaysia 35X38 (9S/T)</t>
  </si>
  <si>
    <t>XBOS038X38C0</t>
  </si>
  <si>
    <t>Ống cao su lưu hóa Superlon Class 0 Malaysia 38X38 (8S/T)</t>
  </si>
  <si>
    <t>XBOS042X38C0</t>
  </si>
  <si>
    <t>Ống cao su lưu hóa Superlon Class 0 Malaysia 42X38 (8S/T)</t>
  </si>
  <si>
    <t>XBOS048X38C0</t>
  </si>
  <si>
    <t>Ống cao su lưu hóa Superlon Class 0 Malaysia 48X38 (6S/T)</t>
  </si>
  <si>
    <t>XBOS050X38C0</t>
  </si>
  <si>
    <t>Ống cao su lưu hóa Superlon Class 0 Malaysia 50X38 (6S/T)</t>
  </si>
  <si>
    <t>XBOS054X38C0</t>
  </si>
  <si>
    <t>Ống cao su lưu hóa Superlon Class 0 Malaysia 54X38 (6S/T)</t>
  </si>
  <si>
    <t>XBOS060X38C0</t>
  </si>
  <si>
    <t>Ống cao su lưu hóa Superlon Class 0 Malaysia 60X38 (6S/T)</t>
  </si>
  <si>
    <t>XBOS066X38C0</t>
  </si>
  <si>
    <t>Ống cao su lưu hóa Superlon Class 0 Malaysia 66X38 (6S/T)</t>
  </si>
  <si>
    <t>XBOS072X38C0</t>
  </si>
  <si>
    <t>Ống cao su lưu hóa Superlon Class 0 Malaysia 72X38 (4S/T)</t>
  </si>
  <si>
    <t>XBOS075X38C0</t>
  </si>
  <si>
    <t>Ống cao su lưu hóa Superlon Class 0 Malaysia 75X38 (4S/T)</t>
  </si>
  <si>
    <t>XBOS078X38C0</t>
  </si>
  <si>
    <t>Ống cao su lưu hóa Superlon Class 0 Malaysia 78X38 (4S/T)</t>
  </si>
  <si>
    <t>XBOS089X38C0</t>
  </si>
  <si>
    <t>Ống cao su lưu hóa Superlon Class 0 Malaysia 89X38 (4S/T)</t>
  </si>
  <si>
    <t>XBOS102X38C0</t>
  </si>
  <si>
    <t>Ống cao su lưu hóa Superlon Class 0 Malaysia 102X38 (4S/T)</t>
  </si>
  <si>
    <t>XBOS105X38C0</t>
  </si>
  <si>
    <t>Ống cao su lưu hóa Superlon Class 0 Malaysia 105X38 (3S/T)</t>
  </si>
  <si>
    <t>XBOS108X38C0</t>
  </si>
  <si>
    <t>Ống cao su lưu hóa Superlon Class 0 Malaysia 108X38 (S/T)</t>
  </si>
  <si>
    <t>XBOS114X38C0</t>
  </si>
  <si>
    <t>Ống cao su lưu hóa Superlon Class 0 Malaysia 114X38 (S/T)</t>
  </si>
  <si>
    <t>XBOS127X38C0</t>
  </si>
  <si>
    <t>Ống cao su lưu hóa Superlon Class 0 Malaysia 127X38 (S/T)</t>
  </si>
  <si>
    <t>XBOS130X38C0</t>
  </si>
  <si>
    <t>Ống cao su lưu hóa Superlon Class 0 Malaysia 130X38 (S/T)</t>
  </si>
  <si>
    <t>XBOS133X38C0</t>
  </si>
  <si>
    <t>Ống cao su lưu hóa Superlon Class 0 Malaysia 133X38 (S/T)</t>
  </si>
  <si>
    <t>XBOS140X38C0</t>
  </si>
  <si>
    <t>Ống cao su lưu hóa Superlon Class 0 Malaysia 140X38 (S/T)</t>
  </si>
  <si>
    <t>XBOS152X38C0</t>
  </si>
  <si>
    <t>Ống cao su lưu hóa Superlon Class 0 Malaysia 152X38 (S/T)</t>
  </si>
  <si>
    <t>XBOS159X38C0</t>
  </si>
  <si>
    <t>Ống cao su lưu hóa Superlon Class 0 Malaysia 159X38 (S/T)</t>
  </si>
  <si>
    <t>XBOS165X38C0</t>
  </si>
  <si>
    <t>Ống cao su lưu hóa Superlon Class 0 Malaysia 165X38 (S/T)</t>
  </si>
  <si>
    <t>XBOS016X50C0</t>
  </si>
  <si>
    <t>Ống cao su lưu hóa Superlon Class 0 Malaysia 16X50 (6S/T)</t>
  </si>
  <si>
    <t>XBOS019X50C0</t>
  </si>
  <si>
    <t>Ống cao su lưu hóa Superlon Class 0 Malaysia 19X50 (6S/T)</t>
  </si>
  <si>
    <t>XBOS022X50C0</t>
  </si>
  <si>
    <t>Ống cao su lưu hóa Superlon Class 0 Malaysia 22X50 (6S/T)</t>
  </si>
  <si>
    <t>XBOS025X50C0</t>
  </si>
  <si>
    <t>Ống cao su lưu hóa Superlon Class 0 Malaysia 25X50 (6S/T)</t>
  </si>
  <si>
    <t>XBOS028X50C0</t>
  </si>
  <si>
    <t>Ống cao su lưu hóa Superlon Class 0 Malaysia 28X50 (6S/T)</t>
  </si>
  <si>
    <t>XBOS032X50C0</t>
  </si>
  <si>
    <t>Ống cao su lưu hóa Superlon Class 0 Malaysia 32X50 (4S/T)</t>
  </si>
  <si>
    <t>XBOS035X50C0</t>
  </si>
  <si>
    <t>Ống cao su lưu hóa Superlon Class 0 Malaysia 35X50 (4S/T)</t>
  </si>
  <si>
    <t>XBOS038X50C0</t>
  </si>
  <si>
    <t>Ống cao su lưu hóa Superlon Class 0 Malaysia 38X50 (4S/T)</t>
  </si>
  <si>
    <t>XBOS042X50C0</t>
  </si>
  <si>
    <t>Ống cao su lưu hóa Superlon Class 0 Malaysia 42X50 (4S/T)</t>
  </si>
  <si>
    <t>XBOS048X50C0</t>
  </si>
  <si>
    <t>Ống cao su lưu hóa Superlon Class 0 Malaysia 48X50 (4S/T)</t>
  </si>
  <si>
    <t>XBOS050X50C0</t>
  </si>
  <si>
    <t>Ống cao su lưu hóa Superlon Class 0 Malaysia 50X50 (4S/T)</t>
  </si>
  <si>
    <t>XBOS054X50C0</t>
  </si>
  <si>
    <t>Ống cao su lưu hóa Superlon Class 0 Malaysia 54X50 (4S/T)</t>
  </si>
  <si>
    <t>XBOS060X50C0</t>
  </si>
  <si>
    <t>Ống cao su lưu hóa Superlon Class 0 Malaysia 60X50 (3S/T)</t>
  </si>
  <si>
    <t>XBOS067X50C0</t>
  </si>
  <si>
    <t>Ống cao su lưu hóa Superlon Class 0 Malaysia 67X50 (3S/T)</t>
  </si>
  <si>
    <t>XBOS073X50C0</t>
  </si>
  <si>
    <t>Ống cao su lưu hóa Superlon Class 0 Malaysia 73X50 (3S/T)</t>
  </si>
  <si>
    <t>XBOS076X50C0</t>
  </si>
  <si>
    <t>Ống cao su lưu hóa Superlon Class 0 Malaysia 76X50 (3S/T)</t>
  </si>
  <si>
    <t>XBOS079X50C0</t>
  </si>
  <si>
    <t>Ống cao su lưu hóa Superlon Class 0 Malaysia 79X50 (3S/T)</t>
  </si>
  <si>
    <t>XBOS089X50C0</t>
  </si>
  <si>
    <t>Ống cao su lưu hóa Superlon Class 0 Malaysia 89X50 (2S/T)</t>
  </si>
  <si>
    <t>XBOS102X50C0</t>
  </si>
  <si>
    <t>Ống cao su lưu hóa Superlon Class 0 Malaysia 102X50 (S/T)</t>
  </si>
  <si>
    <t>XBOS105X50C0</t>
  </si>
  <si>
    <t>Ống cao su lưu hóa Superlon Class 0 Malaysia 105X50 (S/T)</t>
  </si>
  <si>
    <t>XBOS108X50C0</t>
  </si>
  <si>
    <t>Ống cao su lưu hóa Superlon Class 0 Malaysia 108X50 (S/T)</t>
  </si>
  <si>
    <t>XBOS114X50C0</t>
  </si>
  <si>
    <t>Ống cao su lưu hóa Superlon Class 0 Malaysia 114X50 (S/T)</t>
  </si>
  <si>
    <t>XBOS127X50C0</t>
  </si>
  <si>
    <t>Ống cao su lưu hóa Superlon Class 0 Malaysia 127X50 (S/T)</t>
  </si>
  <si>
    <t>XBOS130X50C0</t>
  </si>
  <si>
    <t>Ống cao su lưu hóa Superlon Class 0 Malaysia 130X50 (S/T)</t>
  </si>
  <si>
    <t>XBOS133X50C0</t>
  </si>
  <si>
    <t>Ống cao su lưu hóa Superlon Class 0 Malaysia 133X50 (S/T)</t>
  </si>
  <si>
    <t>XBOS140X50C0</t>
  </si>
  <si>
    <t>Ống cao su lưu hóa Superlon Class 0 Malaysia 140X50 (S/T)</t>
  </si>
  <si>
    <t>XBOS022X10 C0</t>
  </si>
  <si>
    <t>Ống cao su lưu hóa Superlon 22X10 Malaysia Class 0</t>
  </si>
  <si>
    <t>XBOS006X13 C0</t>
  </si>
  <si>
    <t>Ống cao su lưu hóa Superlon 6X13 Malaysia Class 0</t>
  </si>
  <si>
    <t>XBOS022X13 C0</t>
  </si>
  <si>
    <t>Ống cao su lưu hóa Superlon 22X13 Malaysia Class 0</t>
  </si>
  <si>
    <t>XBOS028X13 C0</t>
  </si>
  <si>
    <t>Ống cao su lưu hóa Superlon 28X13 Malaysia Class 0</t>
  </si>
  <si>
    <t>XBOS035X13 C0</t>
  </si>
  <si>
    <t>Ống cao su lưu hóa Superlon 35X13 Malaysia Class 0</t>
  </si>
  <si>
    <t>XBOS042X13 C0</t>
  </si>
  <si>
    <t>Ống cao su lưu hóa Superlon 42X13 Malaysia Class 0</t>
  </si>
  <si>
    <t>XBOSVN060x13C0</t>
  </si>
  <si>
    <t>Ống cao su lưu hóa Superlon 60X13 Malaysia Class 0 (18S/T)</t>
  </si>
  <si>
    <t>XBOS060X13 C0</t>
  </si>
  <si>
    <t>Ống cao su lưu hóa Superlon 60X13 Malaysia Class 0</t>
  </si>
  <si>
    <t>XBOS076X13 C0</t>
  </si>
  <si>
    <t>Ống cao su lưu hóa Superlon 76X13 Malaysia Class 0</t>
  </si>
  <si>
    <t>XBOS089X13 C0</t>
  </si>
  <si>
    <t>Ống cao su lưu hóa Superlon 89X13 Malaysia Class 0</t>
  </si>
  <si>
    <t>XBOS114X13 C0</t>
  </si>
  <si>
    <t>Ống cao su lưu hóa Superlon 114X13 Malaysia Class 0</t>
  </si>
  <si>
    <t>XBOSVN035X13C0</t>
  </si>
  <si>
    <t>Ống cao su lưu hóa Superlon Class 0 35X13 (30S/T)</t>
  </si>
  <si>
    <t>XBOSVN048X13C0</t>
  </si>
  <si>
    <t>Ống cao su lưu hóa Superlon Class 0 48X13 (20S/T)</t>
  </si>
  <si>
    <t>XBOS006X19 C0</t>
  </si>
  <si>
    <t>Ống cao su lưu hóa Superlon 6X19 Malaysia Class 0</t>
  </si>
  <si>
    <t>XBOS010X19 C0</t>
  </si>
  <si>
    <t>Ống cao su lưu hóa Superlon 10X19 Malaysia Class 0</t>
  </si>
  <si>
    <t>XBOS013X19 C0</t>
  </si>
  <si>
    <t>Ống cao su lưu hóa Superlon 13X19 Malaysia Class 0</t>
  </si>
  <si>
    <t>XBOS016X19 C0</t>
  </si>
  <si>
    <t>Ống cao su lưu hóa Superlon 16X19 Malaysia Class 0</t>
  </si>
  <si>
    <t>XBOS019X19 C0</t>
  </si>
  <si>
    <t>Ống cao su lưu hóa Superlon 19X19 Malaysia Class 0</t>
  </si>
  <si>
    <t>XBOS022X19 C0</t>
  </si>
  <si>
    <t>Ống cao su lưu hóa Superlon 22X19 Malaysia Class 0</t>
  </si>
  <si>
    <t>XBOS025X19 C0</t>
  </si>
  <si>
    <t>Ống cao su lưu hóa Superlon 25X19 Malaysia Class 0</t>
  </si>
  <si>
    <t>XBOS028X19 C0</t>
  </si>
  <si>
    <t>Ống cao su lưu hóa Superlon 28X19 Malaysia Class 0</t>
  </si>
  <si>
    <t>XBOS032X19 C0</t>
  </si>
  <si>
    <t>Ống cao su lưu hóa Superlon 32X19 Malaysia Class 0</t>
  </si>
  <si>
    <t>XBOS035X19 C0</t>
  </si>
  <si>
    <t>Ống cao su lưu hóa Superlon 35X19 Malaysia Class 0</t>
  </si>
  <si>
    <t>XBOS042X19 C0</t>
  </si>
  <si>
    <t>Ống cao su lưu hóa Superlon 42X19 Malaysia Class 0</t>
  </si>
  <si>
    <t>XBOSVN006X19C0</t>
  </si>
  <si>
    <t>Ống cao su lưu hóa Superlon Class 0 6X19 (49S/T)</t>
  </si>
  <si>
    <t>XBOSVN010X19C0</t>
  </si>
  <si>
    <t>Ống cao su lưu hóa Superlon Class 0 10X19 (42S/T)</t>
  </si>
  <si>
    <t>XBOSVN019X19C0</t>
  </si>
  <si>
    <t>Ống cao su lưu hóa Superlon Class 0 19X19 (30S/T)</t>
  </si>
  <si>
    <t>XBOS028X25 C0</t>
  </si>
  <si>
    <t>Ống cao su lưu hóa Superlon 28X25 Malaysia Class 0</t>
  </si>
  <si>
    <t>XBOS032X25 C0</t>
  </si>
  <si>
    <t>Ống cao su lưu hóa Superlon 32X25 Malaysia Class 0</t>
  </si>
  <si>
    <t>XBOS035X25 C0</t>
  </si>
  <si>
    <t>Ống cao su lưu hóa Superlon 35X25 Malaysia Class 0 (12S/T)</t>
  </si>
  <si>
    <t>XBOS042X25 C0</t>
  </si>
  <si>
    <t>Ống cao su lưu hóa Superlon 42X25 Malaysia Class 0 (12S/T)</t>
  </si>
  <si>
    <t>Armaflex</t>
  </si>
  <si>
    <t>ARMAFLEX-O</t>
  </si>
  <si>
    <t>XBOA006X06</t>
  </si>
  <si>
    <t>Ống cao su lưu hóa Armaflex Thái Lan 6X6</t>
  </si>
  <si>
    <t>XBOA010X06</t>
  </si>
  <si>
    <t>Ống cao su lưu hóa Armaflex Thái Lan 10X6</t>
  </si>
  <si>
    <t>XBOA012X06</t>
  </si>
  <si>
    <t>Ống cao su lưu hóa Armaflex Thái Lan 12X6</t>
  </si>
  <si>
    <t>XBOA015X06</t>
  </si>
  <si>
    <t>Ống cao su lưu hóa Armaflex Thái Lan 15X6</t>
  </si>
  <si>
    <t>XBOA020X06</t>
  </si>
  <si>
    <t>Ống cao su lưu hóa Armaflex Thái Lan 20X6</t>
  </si>
  <si>
    <t>XBOA022X06</t>
  </si>
  <si>
    <t>Ống cao su lưu hóa Armaflex Thái Lan 22X6</t>
  </si>
  <si>
    <t>XBOA025X06</t>
  </si>
  <si>
    <t>Ống cao su lưu hóa Armaflex Thái Lan 25X6</t>
  </si>
  <si>
    <t>XBOA028X06</t>
  </si>
  <si>
    <t>Ống cao su lưu hóa Armaflex Thái Lan 28X6</t>
  </si>
  <si>
    <t>XBOA006X09</t>
  </si>
  <si>
    <t>Ống cao su lưu hóa Armaflex Thái Lan 6X9</t>
  </si>
  <si>
    <t>XBOA010X09</t>
  </si>
  <si>
    <t>Ống cao su lưu hóa Armaflex Thái Lan 10X9</t>
  </si>
  <si>
    <t>XBOA012X09</t>
  </si>
  <si>
    <t>Ống cao su lưu hóa Armaflex Thái Lan 12X9</t>
  </si>
  <si>
    <t>XBOA015X09</t>
  </si>
  <si>
    <t>Ống cao su lưu hóa Armaflex Thái Lan 15X9</t>
  </si>
  <si>
    <t>XBOA020X09</t>
  </si>
  <si>
    <t>Ống cao su lưu hóa Armaflex Thái Lan 20X9</t>
  </si>
  <si>
    <t>XBOA022X09</t>
  </si>
  <si>
    <t>Ống cao su lưu hóa Armaflex Thái Lan 22X9</t>
  </si>
  <si>
    <t>XBOA025X09</t>
  </si>
  <si>
    <t>Ống cao su lưu hóa Armaflex Thái Lan 25X9</t>
  </si>
  <si>
    <t>XBOA028X09</t>
  </si>
  <si>
    <t>Ống cao su lưu hóa Armaflex Thái Lan 28X9</t>
  </si>
  <si>
    <t>XBOA032X09</t>
  </si>
  <si>
    <t>Ống cao su lưu hóa Armaflex Thái Lan 32X9</t>
  </si>
  <si>
    <t>XBOA035X09</t>
  </si>
  <si>
    <t>Ống cao su lưu hóa Armaflex Thái Lan 35X9</t>
  </si>
  <si>
    <t>XBOA038X09</t>
  </si>
  <si>
    <t>Ống cao su lưu hóa Armaflex Thái Lan 38X9</t>
  </si>
  <si>
    <t>XBOA045X09</t>
  </si>
  <si>
    <t>Ống cao su lưu hóa Armaflex Thái Lan 45X9</t>
  </si>
  <si>
    <t>XBOA048X09</t>
  </si>
  <si>
    <t>Ống cao su lưu hóa Armaflex Thái Lan 48X9</t>
  </si>
  <si>
    <t>XBOA050X09</t>
  </si>
  <si>
    <t>Ống cao su lưu hóa Armaflex Thái Lan 50X9</t>
  </si>
  <si>
    <t>XBOA054X09</t>
  </si>
  <si>
    <t>Ống cao su lưu hóa Armaflex Thái Lan 54X9</t>
  </si>
  <si>
    <t>XBOA057X09</t>
  </si>
  <si>
    <t>Ống cao su lưu hóa Armaflex Thái Lan 57X9</t>
  </si>
  <si>
    <t>XBOA060X09</t>
  </si>
  <si>
    <t>Ống cao su lưu hóa Armaflex Thái Lan 60X9</t>
  </si>
  <si>
    <t>XBOA006X13</t>
  </si>
  <si>
    <t>Ống cao su lưu hóa Armaflex Thái Lan 6X13</t>
  </si>
  <si>
    <t>XBOA010X13</t>
  </si>
  <si>
    <t>Ống cao su lưu hóa Armaflex Thái Lan 10X13</t>
  </si>
  <si>
    <t>XBOA015X13</t>
  </si>
  <si>
    <t>Ống cao su lưu hóa Armaflex Thái Lan 15X13</t>
  </si>
  <si>
    <t>XBOA022X13</t>
  </si>
  <si>
    <t>Ống cao su lưu hóa Armaflex Thái Lan 22X13</t>
  </si>
  <si>
    <t>XBOA028X13</t>
  </si>
  <si>
    <t>Ống cao su lưu hóa Armaflex Thái Lan 28X13</t>
  </si>
  <si>
    <t>XBOA032X13</t>
  </si>
  <si>
    <t>Ống cao su lưu hóa Armaflex Thái Lan 32X13</t>
  </si>
  <si>
    <t>XBOA038X13</t>
  </si>
  <si>
    <t>Ống cao su lưu hóa Armaflex Thái Lan 38X13</t>
  </si>
  <si>
    <t>XBOA045X13</t>
  </si>
  <si>
    <t>Ống cao su lưu hóa Armaflex Thái Lan 45X13</t>
  </si>
  <si>
    <t>XBOA048X13</t>
  </si>
  <si>
    <t>Ống cao su lưu hóa Armaflex Thái Lan 48X13</t>
  </si>
  <si>
    <t>XBOA050X13</t>
  </si>
  <si>
    <t>Ống cao su lưu hóa Armaflex Thái Lan 50X13</t>
  </si>
  <si>
    <t>XBOA054X13</t>
  </si>
  <si>
    <t>Ống cao su lưu hóa Armaflex Thái Lan 54X13</t>
  </si>
  <si>
    <t>XBOA067X13</t>
  </si>
  <si>
    <t>Ống cao su lưu hóa Armaflex Thái Lan 67X13</t>
  </si>
  <si>
    <t>XBOA076X13</t>
  </si>
  <si>
    <t>Ống cao su lưu hóa Armaflex Thái Lan 76X13</t>
  </si>
  <si>
    <t>XBOA080X13</t>
  </si>
  <si>
    <t>Ống cao su lưu hóa Armaflex Thái Lan 80X13</t>
  </si>
  <si>
    <t>XBOA089X13</t>
  </si>
  <si>
    <t>Ống cao su lưu hóa Armaflex Thái Lan 89X13</t>
  </si>
  <si>
    <t>XBOA108X13</t>
  </si>
  <si>
    <t>Ống cao su lưu hóa Armaflex Thái Lan 108X13</t>
  </si>
  <si>
    <t>XBOA114X13</t>
  </si>
  <si>
    <t>Ống cao su lưu hóa Armaflex Thái Lan 114X13</t>
  </si>
  <si>
    <t>XBOA006X19</t>
  </si>
  <si>
    <t>Ống cao su lưu hóa Armaflex Thái Lan 6X19</t>
  </si>
  <si>
    <t>XBOA010X19</t>
  </si>
  <si>
    <t>Ống cao su lưu hóa Armaflex Thái Lan 10X19</t>
  </si>
  <si>
    <t>XBOA015X19</t>
  </si>
  <si>
    <t>Ống cao su lưu hóa Armaflex Thái Lan 15X19</t>
  </si>
  <si>
    <t>XBOA020X19</t>
  </si>
  <si>
    <t>Ống cao su lưu hóa Armaflex Thái Lan 20X19</t>
  </si>
  <si>
    <t>XBOA025X19</t>
  </si>
  <si>
    <t>Ống cao su lưu hóa Armaflex Thái Lan 25X19</t>
  </si>
  <si>
    <t>XBOA035X19</t>
  </si>
  <si>
    <t>Ống cao su lưu hóa Armaflex Thái Lan 35X19</t>
  </si>
  <si>
    <t>XBOA038X19</t>
  </si>
  <si>
    <t>Ống cao su lưu hóa Armaflex Thái Lan 38X19</t>
  </si>
  <si>
    <t>XBOA042X19</t>
  </si>
  <si>
    <t>Ống cao su lưu hóa Armaflex Thái Lan 42X19</t>
  </si>
  <si>
    <t>XBOA048X19</t>
  </si>
  <si>
    <t>Ống cao su lưu hóa Armaflex Thái Lan 48X19</t>
  </si>
  <si>
    <t>XBOA050X19</t>
  </si>
  <si>
    <t>Ống cao su lưu hóa Armaflex Thái Lan 50X19</t>
  </si>
  <si>
    <t>XBOA054X19</t>
  </si>
  <si>
    <t>Ống cao su lưu hóa Armaflex Thái Lan 54X19</t>
  </si>
  <si>
    <t>XBOA060X19</t>
  </si>
  <si>
    <t>Ống cao su lưu hóa Armaflex Thái Lan 60X19</t>
  </si>
  <si>
    <t>XBOA067X19</t>
  </si>
  <si>
    <t>Ống cao su lưu hóa Armaflex Thái Lan 67X19</t>
  </si>
  <si>
    <t>XBOA076X19</t>
  </si>
  <si>
    <t>Ống cao su lưu hóa Armaflex Thái Lan 76X19</t>
  </si>
  <si>
    <t>XBOA080X19</t>
  </si>
  <si>
    <t>Ống cao su lưu hóa Armaflex Thái Lan 80X19</t>
  </si>
  <si>
    <t>XBOA089X19</t>
  </si>
  <si>
    <t>Ống cao su lưu hóa Armaflex Thái Lan 89X19</t>
  </si>
  <si>
    <t>XBOA108X19</t>
  </si>
  <si>
    <t>Ống cao su lưu hóa Armaflex Thái Lan 108X19</t>
  </si>
  <si>
    <t>XBOA114X19</t>
  </si>
  <si>
    <t>Ống cao su lưu hóa Armaflex Thái Lan 114X19</t>
  </si>
  <si>
    <t>XBOA140X19</t>
  </si>
  <si>
    <t>Ống cao su lưu hóa Armaflex Thái Lan 140X19</t>
  </si>
  <si>
    <t>XBOA010X25</t>
  </si>
  <si>
    <t>Ống cao su lưu hóa Armaflex Thái Lan 10X25</t>
  </si>
  <si>
    <t>XBOA012X25</t>
  </si>
  <si>
    <t>Ống cao su lưu hóa Armaflex Thái Lan 12X25</t>
  </si>
  <si>
    <t>XBOA015X25</t>
  </si>
  <si>
    <t>Ống cao su lưu hóa Armaflex Thái Lan 15X25</t>
  </si>
  <si>
    <t>XBOA020X25</t>
  </si>
  <si>
    <t>Ống cao su lưu hóa Armaflex Thái Lan 20X25</t>
  </si>
  <si>
    <t>XBOA022X25</t>
  </si>
  <si>
    <t>Ống cao su lưu hóa Armaflex Thái Lan 22X25</t>
  </si>
  <si>
    <t>XBOA025X25</t>
  </si>
  <si>
    <t>Ống cao su lưu hóa Armaflex Thái Lan 25X25</t>
  </si>
  <si>
    <t>XBOA028X25</t>
  </si>
  <si>
    <t>Ống cao su lưu hóa Armaflex Thái Lan 28X25</t>
  </si>
  <si>
    <t>XBOA032X25</t>
  </si>
  <si>
    <t>Ống cao su lưu hóa Armaflex Thái Lan 32X25</t>
  </si>
  <si>
    <t>XBOA035X25</t>
  </si>
  <si>
    <t>Ống cao su lưu hóa Armaflex Thái Lan 35X25</t>
  </si>
  <si>
    <t>XBOA038X25</t>
  </si>
  <si>
    <t>Ống cao su lưu hóa Armaflex Thái Lan 38X25</t>
  </si>
  <si>
    <t>XBOA042X25</t>
  </si>
  <si>
    <t>Ống cao su lưu hóa Armaflex Thái Lan 42X25</t>
  </si>
  <si>
    <t>XBOA048X25</t>
  </si>
  <si>
    <t>Ống cao su lưu hóa Armaflex Thái Lan 48X25</t>
  </si>
  <si>
    <t>XBOA050X25</t>
  </si>
  <si>
    <t>Ống cao su lưu hóa Armaflex Thái Lan 50X25</t>
  </si>
  <si>
    <t>XBOA054X25</t>
  </si>
  <si>
    <t>Ống cao su lưu hóa Armaflex Thái Lan 54X25</t>
  </si>
  <si>
    <t>XBOA060X25</t>
  </si>
  <si>
    <t>Ống cao su lưu hóa Armaflex Thái Lan 60X25</t>
  </si>
  <si>
    <t>XBOA067X25</t>
  </si>
  <si>
    <t>Ống cao su lưu hóa Armaflex Thái Lan 67X25</t>
  </si>
  <si>
    <t>XBOA076X25</t>
  </si>
  <si>
    <t>Ống cao su lưu hóa Armaflex Thái Lan 76X25</t>
  </si>
  <si>
    <t>XBOA080X25</t>
  </si>
  <si>
    <t>Ống cao su lưu hóa Armaflex Thái Lan 80X25</t>
  </si>
  <si>
    <t>XBOA108X25</t>
  </si>
  <si>
    <t>Ống cao su lưu hóa Armaflex Thái Lan 108X25</t>
  </si>
  <si>
    <t>XBOA114X25</t>
  </si>
  <si>
    <t>Ống cao su lưu hóa Armaflex Thái Lan 114X25</t>
  </si>
  <si>
    <t>XBOA140X25</t>
  </si>
  <si>
    <t>Ống cao su lưu hóa Armaflex Thái Lan 140X25</t>
  </si>
  <si>
    <t>XBOA168X25</t>
  </si>
  <si>
    <t>Ống cao su lưu hóa Armaflex Thái Lan 168X25</t>
  </si>
  <si>
    <t>XBOA010X32</t>
  </si>
  <si>
    <t>Ống cao su lưu hóa Armaflex Thái Lan 10X32</t>
  </si>
  <si>
    <t>XBOA012X32</t>
  </si>
  <si>
    <t>Ống cao su lưu hóa Armaflex Thái Lan 12X32</t>
  </si>
  <si>
    <t>XBOA015X32</t>
  </si>
  <si>
    <t>Ống cao su lưu hóa Armaflex Thái Lan 15X32</t>
  </si>
  <si>
    <t>XBOA020X32</t>
  </si>
  <si>
    <t>Ống cao su lưu hóa Armaflex Thái Lan 20X32</t>
  </si>
  <si>
    <t>XBOA022X32</t>
  </si>
  <si>
    <t>Ống cao su lưu hóa Armaflex Thái Lan 22X32</t>
  </si>
  <si>
    <t>XBOA025X32</t>
  </si>
  <si>
    <t>Ống cao su lưu hóa Armaflex Thái Lan 25X32</t>
  </si>
  <si>
    <t>XBOA032X32</t>
  </si>
  <si>
    <t>Ống cao su lưu hóa Armaflex Thái Lan 32X32</t>
  </si>
  <si>
    <t>XBOA035X32</t>
  </si>
  <si>
    <t>Ống cao su lưu hóa Armaflex Thái Lan 35X32</t>
  </si>
  <si>
    <t>XBOA038X32</t>
  </si>
  <si>
    <t>Ống cao su lưu hóa Armaflex Thái Lan 38X32</t>
  </si>
  <si>
    <t>XBOA042X32</t>
  </si>
  <si>
    <t>Ống cao su lưu hóa Armaflex Thái Lan 42X32</t>
  </si>
  <si>
    <t>XBOA048X32</t>
  </si>
  <si>
    <t>Ống cao su lưu hóa Armaflex Thái Lan 48X32</t>
  </si>
  <si>
    <t>XBOA050X32</t>
  </si>
  <si>
    <t>Ống cao su lưu hóa Armaflex Thái Lan 50X32</t>
  </si>
  <si>
    <t>XBOA054X32</t>
  </si>
  <si>
    <t>Ống cao su lưu hóa Armaflex Thái Lan 54X32</t>
  </si>
  <si>
    <t>XBOA060X32</t>
  </si>
  <si>
    <t>Ống cao su lưu hóa Armaflex Thái Lan 60X32</t>
  </si>
  <si>
    <t>XBOA067X32</t>
  </si>
  <si>
    <t>Ống cao su lưu hóa Armaflex Thái Lan 67X32</t>
  </si>
  <si>
    <t>XBOA076X32</t>
  </si>
  <si>
    <t>Ống cao su lưu hóa Armaflex Thái Lan 76X32</t>
  </si>
  <si>
    <t>XBOA080X32</t>
  </si>
  <si>
    <t>Ống cao su lưu hóa Armaflex Thái Lan 80X32</t>
  </si>
  <si>
    <t>XBOA089X32</t>
  </si>
  <si>
    <t>Ống cao su lưu hóa Armaflex Thái Lan 89X32</t>
  </si>
  <si>
    <t>XBOA108X32</t>
  </si>
  <si>
    <t>Ống cao su lưu hóa Armaflex Thái Lan 108X32</t>
  </si>
  <si>
    <t>XBOA114X32</t>
  </si>
  <si>
    <t>Ống cao su lưu hóa Armaflex Thái Lan 114X32</t>
  </si>
  <si>
    <t>XBOA140X32</t>
  </si>
  <si>
    <t>Ống cao su lưu hóa Armaflex Thái Lan 140X32</t>
  </si>
  <si>
    <t>XBOA168X32</t>
  </si>
  <si>
    <t>Ống cao su lưu hóa Armaflex Thái Lan 168X32</t>
  </si>
  <si>
    <t>XBOA015X38</t>
  </si>
  <si>
    <t>Ống cao su lưu hóa Armaflex Thái Lan 15X38</t>
  </si>
  <si>
    <t>XBOA020X38</t>
  </si>
  <si>
    <t>Ống cao su lưu hóa Armaflex Thái Lan 20X38</t>
  </si>
  <si>
    <t>XBOA022X38</t>
  </si>
  <si>
    <t>Ống cao su lưu hóa Armaflex Thái Lan 22X38</t>
  </si>
  <si>
    <t>XBOA025X38</t>
  </si>
  <si>
    <t>Ống cao su lưu hóa Armaflex Thái Lan 25X38</t>
  </si>
  <si>
    <t>XBOA028X38</t>
  </si>
  <si>
    <t>Ống cao su lưu hóa Armaflex Thái Lan 28X38</t>
  </si>
  <si>
    <t>XBOA032X38</t>
  </si>
  <si>
    <t>Ống cao su lưu hóa Armaflex Thái Lan 32X38</t>
  </si>
  <si>
    <t>XBOA038X38</t>
  </si>
  <si>
    <t>Ống cao su lưu hóa Armaflex Thái Lan 38X38</t>
  </si>
  <si>
    <t>XBOA042X38</t>
  </si>
  <si>
    <t>Ống cao su lưu hóa Armaflex Thái Lan 42X38</t>
  </si>
  <si>
    <t>XBOA054X38</t>
  </si>
  <si>
    <t>Ống cao su lưu hóa Armaflex Thái Lan 54X38</t>
  </si>
  <si>
    <t>XBOA067X38</t>
  </si>
  <si>
    <t>Ống cao su lưu hóa Armaflex Thái Lan 67X38</t>
  </si>
  <si>
    <t>XBOA076X38</t>
  </si>
  <si>
    <t>Ống cao su lưu hóa Armaflex Thái Lan 76X38</t>
  </si>
  <si>
    <t>XBOA080X38</t>
  </si>
  <si>
    <t>Ống cao su lưu hóa Armaflex Thái Lan 80X38</t>
  </si>
  <si>
    <t>XBOA108X38</t>
  </si>
  <si>
    <t>Ống cao su lưu hóa Armaflex Thái Lan 108X38</t>
  </si>
  <si>
    <t>XBOA140X38</t>
  </si>
  <si>
    <t>Ống cao su lưu hóa Armaflex Thái Lan 140X38</t>
  </si>
  <si>
    <t>XBOA168X38</t>
  </si>
  <si>
    <t>Ống cao su lưu hóa Armaflex Thái Lan 168X38</t>
  </si>
  <si>
    <t>XBOA020X50</t>
  </si>
  <si>
    <t>Ống cao su lưu hóa Armaflex Thái Lan 20X50</t>
  </si>
  <si>
    <t>XBOA022X50</t>
  </si>
  <si>
    <t>Ống cao su lưu hóa Armaflex Thái Lan 22X50</t>
  </si>
  <si>
    <t>XBOA025X50</t>
  </si>
  <si>
    <t>Ống cao su lưu hóa Armaflex Thái Lan 25X50</t>
  </si>
  <si>
    <t>XBOA028X50</t>
  </si>
  <si>
    <t>Ống cao su lưu hóa Armaflex Thái Lan 28X50</t>
  </si>
  <si>
    <t>XBOA032X50</t>
  </si>
  <si>
    <t>Ống cao su lưu hóa Armaflex Thái Lan 32X50</t>
  </si>
  <si>
    <t>XBOA035X50</t>
  </si>
  <si>
    <t>Ống cao su lưu hóa Armaflex Thái Lan 35X50</t>
  </si>
  <si>
    <t>XBOA042X50</t>
  </si>
  <si>
    <t>Ống cao su lưu hóa Armaflex Thái Lan 42X50</t>
  </si>
  <si>
    <t>XBOA048X50</t>
  </si>
  <si>
    <t>Ống cao su lưu hóa Armaflex Thái Lan 48X50</t>
  </si>
  <si>
    <t>XBOA050X50</t>
  </si>
  <si>
    <t>Ống cao su lưu hóa Armaflex Thái Lan 50X50</t>
  </si>
  <si>
    <t>XBOA054X50</t>
  </si>
  <si>
    <t>Ống cao su lưu hóa Armaflex Thái Lan 54X50</t>
  </si>
  <si>
    <t>XBOA060X50</t>
  </si>
  <si>
    <t>Ống cao su lưu hóa Armaflex Thái Lan 60X50</t>
  </si>
  <si>
    <t>XBOA067X50</t>
  </si>
  <si>
    <t>Ống cao su lưu hóa Armaflex Thái Lan 67X50</t>
  </si>
  <si>
    <t>XBOA076X50</t>
  </si>
  <si>
    <t>Ống cao su lưu hóa Armaflex Thái Lan 76X50</t>
  </si>
  <si>
    <t>XBOA080X50</t>
  </si>
  <si>
    <t>Ống cao su lưu hóa Armaflex Thái Lan 80X50</t>
  </si>
  <si>
    <t>XBOA108X50</t>
  </si>
  <si>
    <t>Ống cao su lưu hóa Armaflex Thái Lan 108X50</t>
  </si>
  <si>
    <t>XBOA114X50</t>
  </si>
  <si>
    <t>Ống cao su lưu hóa Armaflex Thái Lan 114X50</t>
  </si>
  <si>
    <t>XBOA140X50</t>
  </si>
  <si>
    <t>Ống cao su lưu hóa Armaflex Thái Lan 140X50</t>
  </si>
  <si>
    <t>XBOA168X50</t>
  </si>
  <si>
    <t>Ống cao su lưu hóa Armaflex Thái Lan 168X50</t>
  </si>
  <si>
    <t>Armaflex Class 0</t>
  </si>
  <si>
    <t>XBOA012X06C0</t>
  </si>
  <si>
    <t>Ống cao su lưu hóa Armaflex Thái Lan 12X6 Class 0 (143S/T)</t>
  </si>
  <si>
    <t>XBOA015X06C0</t>
  </si>
  <si>
    <t>Ống cao su lưu hóa Armaflex Thái Lan 15X6 Class 0 (132S/T)</t>
  </si>
  <si>
    <t>XBOA020X06C0</t>
  </si>
  <si>
    <t>Ống cao su lưu hóa Armaflex Thái Lan 20X6 Class 0 (110S/T)</t>
  </si>
  <si>
    <t>XBOA022X06C0</t>
  </si>
  <si>
    <t>Ống cao su lưu hóa Armaflex Thái Lan 22X6 Class 0 (90S/T)</t>
  </si>
  <si>
    <t>XBOA025X06C0</t>
  </si>
  <si>
    <t>Ống cao su lưu hóa Armaflex Thái Lan 25X6 Class 0 (72S/T)</t>
  </si>
  <si>
    <t>XBOA028X06C0</t>
  </si>
  <si>
    <t>Ống cao su lưu hóa Armaflex Thái Lan 28X6 Class 0 (72S/T)</t>
  </si>
  <si>
    <t>XBOA006X09C0</t>
  </si>
  <si>
    <t>Ống cao su lưu hóa Armaflex Thái Lan 6X9 Class 0 (156S/T)</t>
  </si>
  <si>
    <t>XBOA010X9C0</t>
  </si>
  <si>
    <t>Ống cao su lưu hóa Armaflex Thái Lan 10X9 Class 0 (132S/T)</t>
  </si>
  <si>
    <t>XBOA012X09C0</t>
  </si>
  <si>
    <t>Ống cao su lưu hóa Armaflex Thái Lan 12X9 Class 0 (110S/T)</t>
  </si>
  <si>
    <t>XBOA015X09C0</t>
  </si>
  <si>
    <t>Ống cao su lưu hóa Armaflex Thái Lan 15X9 Class 0 (90S/T)</t>
  </si>
  <si>
    <t>XBOA020X09C0</t>
  </si>
  <si>
    <t>Ống cao su lưu hóa Armaflex Thái Lan 20X9 Class 0 (72S/T)</t>
  </si>
  <si>
    <t>XBOA022X09C0</t>
  </si>
  <si>
    <t>Ống cao su lưu hóa Armaflex Thái Lan 22X9 Class 0 (64S/T)</t>
  </si>
  <si>
    <t>XBOA025X09C0</t>
  </si>
  <si>
    <t>Ống cao su lưu hóa Armaflex Thái Lan 25X9 Class 0 (54S/T)</t>
  </si>
  <si>
    <t>XBOA028X09C0</t>
  </si>
  <si>
    <t>Ống cao su lưu hóa Armaflex Thái Lan 28X9 Class 0 (49S/T)</t>
  </si>
  <si>
    <t>Ống cao su lưu hóa Armaflex Thái Lan 32X9 Class 0 (42S/T)</t>
  </si>
  <si>
    <t>XBOA035X09C0</t>
  </si>
  <si>
    <t>Ống cao su lưu hóa Armaflex Thái Lan 35X9 Class 0 (41S/T)</t>
  </si>
  <si>
    <t>XBOA042X09C0</t>
  </si>
  <si>
    <t>Ống cao su lưu hóa Armaflex Thái Lan 42X9 Class 0 (32S/T)</t>
  </si>
  <si>
    <t>XBOA045X09C0</t>
  </si>
  <si>
    <t>Ống cao su lưu hóa Armaflex Thái Lan 45X9 Class 0 (28S/T)</t>
  </si>
  <si>
    <t>XBOA048X09C0</t>
  </si>
  <si>
    <t>Ống cao su lưu hóa Armaflex Thái Lan 48X9 Class 0 (28S/T)</t>
  </si>
  <si>
    <t>XBOA054X09C0</t>
  </si>
  <si>
    <t>Ống cao su lưu hóa Armaflex Thái Lan 54X9 Class 0 (27S/T)</t>
  </si>
  <si>
    <t>XBOA057X09C0</t>
  </si>
  <si>
    <t>Ống cao su lưu hóa Armaflex Thái Lan 57X9 Class 0 (27S/T)</t>
  </si>
  <si>
    <t>XBOA060X9C0</t>
  </si>
  <si>
    <t>Ống cao su lưu hóa Armaflex Thái Lan 60X9 Class 0 (27S/T)</t>
  </si>
  <si>
    <t>XBOA076X09C0</t>
  </si>
  <si>
    <t>Ống cao su lưu hóa Armaflex Thái Lan 76X9 Class 0 (16S/T)</t>
  </si>
  <si>
    <t>XBOA006X13C0</t>
  </si>
  <si>
    <t>Ống cao su lưu hóa Armaflex Thái Lan 6X13 Class 0 (90S/T)</t>
  </si>
  <si>
    <t>XBOA010X13C0</t>
  </si>
  <si>
    <t>Ống cao su lưu hóa Armaflex Thái Lan 10X13 Class 0 (72S/T)</t>
  </si>
  <si>
    <t>XBOA012X13C0</t>
  </si>
  <si>
    <t>Ống cao su lưu hóa Armaflex Thái Lan 12X13 Class 0 (64S/T)</t>
  </si>
  <si>
    <t>XBOA015X13C0</t>
  </si>
  <si>
    <t>Ống cao su lưu hóa Armaflex Thái Lan 15X13 Class 0 (56S/T)</t>
  </si>
  <si>
    <t>XBOA020X13C0</t>
  </si>
  <si>
    <t>Ống cao su lưu hóa Armaflex Thái Lan 20X13 Class 0 (45S/T)</t>
  </si>
  <si>
    <t>XBOA022X13C0</t>
  </si>
  <si>
    <t>Ống cao su lưu hóa Armaflex Thái Lan 22X13 Class 0 (45S/T)</t>
  </si>
  <si>
    <t>XBOA025X13C0</t>
  </si>
  <si>
    <t>Ống cao su lưu hóa Armaflex Thái Lan 25X13 Class 0 (41S/T)</t>
  </si>
  <si>
    <t>Ống cao su lưu hóa Armaflex Thái Lan 28X13 Class 0 (36S/T)</t>
  </si>
  <si>
    <t>XBOA032X13C0</t>
  </si>
  <si>
    <t>Ống cao su lưu hóa Armaflex Thái Lan 32X13 Class 0 (30S/T)</t>
  </si>
  <si>
    <t>Ống cao su lưu hóa Armaflex Thái Lan 35X13 Class 0 (29S/T)</t>
  </si>
  <si>
    <t>XBOA042X13C0</t>
  </si>
  <si>
    <t>Ống cao su lưu hóa Armaflex Thái Lan 42X13 Class 0 (24S/T)</t>
  </si>
  <si>
    <t>XBOA045X13C0</t>
  </si>
  <si>
    <t>Ống cao su lưu hóa Armaflex Thái Lan 45X13 Class 0 (21S/T)</t>
  </si>
  <si>
    <t>XBOA048X13C0</t>
  </si>
  <si>
    <t>Ống cao su lưu hóa Armaflex Thái Lan 48X13 Class 0 (21S/T)</t>
  </si>
  <si>
    <t>XBOA054X13C0</t>
  </si>
  <si>
    <t>Ống cao su lưu hóa Armaflex Thái Lan 54X13 Class 0 (21S/T)</t>
  </si>
  <si>
    <t>XBOA057X13C0</t>
  </si>
  <si>
    <t>Ống cao su lưu hóa Armaflex Thái Lan 57X13 Class 0 (18S/T)</t>
  </si>
  <si>
    <t>Ống cao su lưu hóa Armaflex Thái Lan 60X13 Class 0 (18S/T)</t>
  </si>
  <si>
    <t>XBOA067X13C0</t>
  </si>
  <si>
    <t>Ống cao su lưu hóa Armaflex Thái Lan 67X13 Class 0 (15S/T)</t>
  </si>
  <si>
    <t>XBOA076X13C0</t>
  </si>
  <si>
    <t>Ống cao su lưu hóa Armaflex Thái Lan 76X13 Class 0 (16S/T)</t>
  </si>
  <si>
    <t>Ống cao su lưu hóa Armaflex Thái Lan 89X13 Class 0 (12S/T)</t>
  </si>
  <si>
    <t>XBOA108X13C0</t>
  </si>
  <si>
    <t>Ống cao su lưu hóa Armaflex Thái Lan 108X13 Class 0 (8S/T)</t>
  </si>
  <si>
    <t>XBOA114X13C0</t>
  </si>
  <si>
    <t>Ống cao su lưu hóa Armaflex Thái Lan 114X13 Class 0 (8S/T)</t>
  </si>
  <si>
    <t>XBOA125X13C0</t>
  </si>
  <si>
    <t>Ống cao su lưu hóa Armaflex Thái Lan 125X13 Class 0 (6S/T)</t>
  </si>
  <si>
    <t>XBOA133X13C0</t>
  </si>
  <si>
    <t>Ống cao su lưu hóa Armaflex Thái Lan 133X13 Class 0 (5S/T)</t>
  </si>
  <si>
    <t>XBOA140X13C0</t>
  </si>
  <si>
    <t>Ống cao su lưu hóa Armaflex Thái Lan 140X13 Class 0 (5S/T)</t>
  </si>
  <si>
    <t>XBOA006X19C0</t>
  </si>
  <si>
    <t>Ống cao su lưu hóa Armaflex Thái Lan 6X19 Class 0 (56S/T)</t>
  </si>
  <si>
    <t>XBOA010X19C0</t>
  </si>
  <si>
    <t>Ống cao su lưu hóa Armaflex Thái Lan 10X19 Class 0 (42S/T)</t>
  </si>
  <si>
    <t>Ống cao su lưu hóa Armaflex Thái Lan 12X19 Class 0 (42S/T)</t>
  </si>
  <si>
    <t>XBOA015X19C0</t>
  </si>
  <si>
    <t>Ống cao su lưu hóa Armaflex Thái Lan 15X19 Class 0 (35S/T)</t>
  </si>
  <si>
    <t>Ống cao su lưu hóa Armaflex Thái Lan 20X19 Class 0 (30S/T)</t>
  </si>
  <si>
    <t>XBOA022X19C0</t>
  </si>
  <si>
    <t>Ống cao su lưu hóa Armaflex Thái Lan 22X19 Class 0 (30S/T)</t>
  </si>
  <si>
    <t>XBOA025X19C0</t>
  </si>
  <si>
    <t>Ống cao su lưu hóa Armaflex Thái Lan 25X19 Class 0 (25S/T)</t>
  </si>
  <si>
    <t>Ống cao su lưu hóa Armaflex Thái Lan 28X19 Class 0 (25S/T)</t>
  </si>
  <si>
    <t>XBOA032X19C0</t>
  </si>
  <si>
    <t>Ống cao su lưu hóa Armaflex Thái Lan 32X19 Class 0 (20S/T)</t>
  </si>
  <si>
    <t>XBOA035X19C0</t>
  </si>
  <si>
    <t>Ống cao su lưu hóa Armaflex Thái Lan 35X19 Class 0 (20S/T)</t>
  </si>
  <si>
    <t>XBOA038X19C0</t>
  </si>
  <si>
    <t>Ống cao su lưu hóa Armaflex Thái Lan 38X19 Class 0 (18S/T)</t>
  </si>
  <si>
    <t>XBOA042X19C0</t>
  </si>
  <si>
    <t>Ống cao su lưu hóa Armaflex Thái Lan 42X19 Class 0 (18S/T)</t>
  </si>
  <si>
    <t>XBOA045X19C0</t>
  </si>
  <si>
    <t>Ống cao su lưu hóa Armaflex Thái Lan 45X19 Class 0 (15S/T)</t>
  </si>
  <si>
    <t>XBOA048X19C0</t>
  </si>
  <si>
    <t>Ống cao su lưu hóa Armaflex Thái Lan 48X19 Class 0 (15S/T)</t>
  </si>
  <si>
    <t>XBOA054X19C0</t>
  </si>
  <si>
    <t>Ống cao su lưu hóa Armaflex Thái Lan 54X19 Class 0 (15S/T)</t>
  </si>
  <si>
    <t>XBOA057X19C0</t>
  </si>
  <si>
    <t>Ống cao su lưu hóa Armaflex Thái Lan 57X19 Class 0 (14S/T)</t>
  </si>
  <si>
    <t>XBOA060X19C0</t>
  </si>
  <si>
    <t>Ống cao su lưu hóa Armaflex Thái Lan 60X19 Class 0 (12S/T)</t>
  </si>
  <si>
    <t>XBOA067X19C0</t>
  </si>
  <si>
    <t>Ống cao su lưu hóa Armaflex Thái Lan 67X19 Class 0 (11S/T)</t>
  </si>
  <si>
    <t>XBOA076X19C0</t>
  </si>
  <si>
    <t>Ống cao su lưu hóa Armaflex Thái Lan 76X19 Class 0 (8S/T)</t>
  </si>
  <si>
    <t>XBOA089X19C0</t>
  </si>
  <si>
    <t>Ống cao su lưu hóa Armaflex Thái Lan 89X19 Class 0 (6S/T)</t>
  </si>
  <si>
    <t>XBOA108X19C0</t>
  </si>
  <si>
    <t>Ống cao su lưu hóa Armaflex Thái Lan 108X19 Class 0 (5S/T)</t>
  </si>
  <si>
    <t>XBOA114X19C0</t>
  </si>
  <si>
    <t>Ống cao su lưu hóa Armaflex Thái Lan 114X19 Class 0 (5S/T)</t>
  </si>
  <si>
    <t>XBOA125X19C0</t>
  </si>
  <si>
    <t>Ống cao su lưu hóa Armaflex Thái Lan 125X19 Class 0 (3S/T)</t>
  </si>
  <si>
    <t>XBOA133X19C0</t>
  </si>
  <si>
    <t>Ống cao su lưu hóa Armaflex Thái Lan 133X19 Class 0 (3S/T)</t>
  </si>
  <si>
    <t>XBOA140X19C0</t>
  </si>
  <si>
    <t>Ống cao su lưu hóa Armaflex Thái Lan 140X19 Class 0 (3S/T)</t>
  </si>
  <si>
    <t>XBOA010X25C0</t>
  </si>
  <si>
    <t>Ống cao su lưu hóa Armaflex Thái Lan 10X25 Class 0 (27S/T)</t>
  </si>
  <si>
    <t>XBOA012X25C0</t>
  </si>
  <si>
    <t>Ống cao su lưu hóa Armaflex Thái Lan 12X25 Class 0 (24S/T)</t>
  </si>
  <si>
    <t>XBOA015X25C0</t>
  </si>
  <si>
    <t>Ống cao su lưu hóa Armaflex Thái Lan 15X25 Class 0 (20S/T)</t>
  </si>
  <si>
    <t>XBOA020X25C0</t>
  </si>
  <si>
    <t>Ống cao su lưu hóa Armaflex Thái Lan 20X25 Class 0 (18S/T)</t>
  </si>
  <si>
    <t>XBOA022X25C0</t>
  </si>
  <si>
    <t>Ống cao su lưu hóa Armaflex Thái Lan 22X25 Class 0 (18S/T)</t>
  </si>
  <si>
    <t>XBOA025X25C0</t>
  </si>
  <si>
    <t>Ống cao su lưu hóa Armaflex Thái Lan 25X25 Class 0 (16S/T)</t>
  </si>
  <si>
    <t>Ống cao su lưu hóa Armaflex Thái Lan 28X25 Class 0 (16S/T)</t>
  </si>
  <si>
    <t>XBOA032X25C0</t>
  </si>
  <si>
    <t>Ống cao su lưu hóa Armaflex Thái Lan 32X25 Class 0 (14S/T)</t>
  </si>
  <si>
    <t>Ống cao su lưu hóa Armaflex Thái Lan 35X25 Class 0 (15S/T)</t>
  </si>
  <si>
    <t>XBOA038X25C0</t>
  </si>
  <si>
    <t>Ống cao su lưu hóa Armaflex Thái Lan 38X25 Class 0 (12S/T)</t>
  </si>
  <si>
    <t>XBOA042X25C0</t>
  </si>
  <si>
    <t>Ống cao su lưu hóa Armaflex Thái Lan 42X25 Class 0 ((12S/1T)</t>
  </si>
  <si>
    <t>XBOA045X25C0</t>
  </si>
  <si>
    <t>Ống cao su lưu hóa Armaflex Thái Lan 45X25 Class 0 (12S/T)</t>
  </si>
  <si>
    <t>XBOA048X25C0</t>
  </si>
  <si>
    <t>Ống cao su lưu hóa Armaflex Thái Lan 48X25 Class 0 (10S/T)</t>
  </si>
  <si>
    <t>XBOA054X25C0</t>
  </si>
  <si>
    <t>Ống cao su lưu hóa Armaflex Thái Lan 54X25 Class 0 (10S/T)</t>
  </si>
  <si>
    <t>XBOA057X25C0</t>
  </si>
  <si>
    <t>Ống cao su lưu hóa Armaflex Thái Lan 57X25 Class 0 (8S/T)</t>
  </si>
  <si>
    <t>XBOA060X25C0</t>
  </si>
  <si>
    <t>Ống cao su lưu hóa Armaflex Thái Lan 60X25 Class 0 (10S/T)</t>
  </si>
  <si>
    <t>XBOA067X25C0</t>
  </si>
  <si>
    <t>Ống cao su lưu hóa Armaflex Thái Lan 67X25 Class 0 (8S/T)</t>
  </si>
  <si>
    <t>XBOA076X25C0</t>
  </si>
  <si>
    <t>Ống cao su lưu hóa Armaflex Thái Lan 76X25 Class 0 (8S/T)</t>
  </si>
  <si>
    <t>XBOA089X25C0</t>
  </si>
  <si>
    <t>Ống cao su lưu hóa Armaflex Thái Lan 89X25 Class 0 (8S/T)</t>
  </si>
  <si>
    <t>XBOA108X25C0</t>
  </si>
  <si>
    <t>Ống cao su lưu hóa Armaflex Thái Lan 108X25 Class 0 (4S/T)</t>
  </si>
  <si>
    <t>XBOA114X25C0</t>
  </si>
  <si>
    <t>Ống cao su lưu hóa Armaflex Thái Lan 114X25 Class 0 (3S/T)</t>
  </si>
  <si>
    <t>XBOA125X25C0</t>
  </si>
  <si>
    <t>Ống cao su lưu hóa Armaflex Thái Lan 125X25 Class 0 (3S/T)</t>
  </si>
  <si>
    <t>XBOA133X25C0</t>
  </si>
  <si>
    <t>Ống cao su lưu hóa Armaflex Thái Lan 133X25 Class 0 (2S/T)</t>
  </si>
  <si>
    <t>XBOA140X25C0</t>
  </si>
  <si>
    <t>Ống cao su lưu hóa Armaflex Thái Lan 140X25 Class 0 (2S/T)</t>
  </si>
  <si>
    <t>XBOA012X32C0</t>
  </si>
  <si>
    <t>Ống cao su lưu hóa Armaflex Thái Lan 12X32 Class 0 (16S/T)</t>
  </si>
  <si>
    <t>XBOA015X32C0</t>
  </si>
  <si>
    <t>Ống cao su lưu hóa Armaflex Thái Lan 15X32 Class 0 (16S/T)</t>
  </si>
  <si>
    <t>XBOA020X32C0</t>
  </si>
  <si>
    <t>Ống cao su lưu hóa Armaflex Thái Lan 20X32 Class 0 (12S/T)</t>
  </si>
  <si>
    <t>XBOA022X32C0</t>
  </si>
  <si>
    <t>Ống cao su lưu hóa Armaflex Thái Lan 22X32 Class 0 (12S/T)</t>
  </si>
  <si>
    <t>XBOA025X32C0</t>
  </si>
  <si>
    <t>Ống cao su lưu hóa Armaflex Thái Lan 25X32 Class 0 (12S/T)</t>
  </si>
  <si>
    <t>XBOA028X32C0</t>
  </si>
  <si>
    <t>Ống cao su lưu hóa Armaflex Thái Lan 28X32 Class 0 (11S/T)</t>
  </si>
  <si>
    <t>XBOA032X32C0</t>
  </si>
  <si>
    <t>Ống cao su lưu hóa Armaflex Thái Lan 32X32 Class 0 (10S/T)</t>
  </si>
  <si>
    <t>XBOA035X32C0</t>
  </si>
  <si>
    <t>Ống cao su lưu hóa Armaflex Thái Lan 35X32 Class 0 (9S/T)</t>
  </si>
  <si>
    <t>XBOA038X32C0</t>
  </si>
  <si>
    <t>Ống cao su lưu hóa Armaflex Thái Lan 38X32 Class 0 (8S/T)</t>
  </si>
  <si>
    <t>XBOA042X32C0</t>
  </si>
  <si>
    <t>Ống cao su lưu hóa Armaflex Thái Lan 42X32 Class 0 (8S/T)</t>
  </si>
  <si>
    <t>XBOA045X32C0</t>
  </si>
  <si>
    <t>Ống cao su lưu hóa Armaflex Thái Lan 45X32 Class 0 (6S/T)</t>
  </si>
  <si>
    <t>XBOA048X32C0</t>
  </si>
  <si>
    <t>Ống cao su lưu hóa Armaflex Thái Lan 48X32 Class 0 (6S/T)</t>
  </si>
  <si>
    <t>XBOA054X32C0</t>
  </si>
  <si>
    <t>Ống cao su lưu hóa Armaflex Thái Lan 54X32 Class 0 (5S/T)</t>
  </si>
  <si>
    <t>XBOA057X32C0</t>
  </si>
  <si>
    <t>Ống cao su lưu hóa Armaflex Thái Lan 57X32 Class 0 (5S/T)</t>
  </si>
  <si>
    <t>XBOA060X32C0</t>
  </si>
  <si>
    <t>Ống cao su lưu hóa Armaflex Thái Lan 60X32 Class 0 (5S/T)</t>
  </si>
  <si>
    <t>XBOA067X32C0</t>
  </si>
  <si>
    <t>Ống cao su lưu hóa Armaflex Thái Lan 67X32 Class 0 (4S/T)</t>
  </si>
  <si>
    <t>XBOA076X32C0</t>
  </si>
  <si>
    <t>Ống cao su lưu hóa Armaflex Thái Lan 76X32 Class 0 (4S/T)</t>
  </si>
  <si>
    <t>XBOA089X32C0</t>
  </si>
  <si>
    <t>Ống cao su lưu hóa Armaflex Thái Lan 89X32 Class 0 (4S/T)</t>
  </si>
  <si>
    <t>XBOA108X32C0</t>
  </si>
  <si>
    <t>Ống cao su lưu hóa Armaflex Thái Lan 108X32 Class 0 (3S/T)</t>
  </si>
  <si>
    <t>XBOA114X32C0</t>
  </si>
  <si>
    <t>Ống cao su lưu hóa Armaflex Thái Lan 114X32 Class 0 (2S/T)</t>
  </si>
  <si>
    <t>XBOA125X32C0</t>
  </si>
  <si>
    <t>Ống cao su lưu hóa Armaflex Thái Lan 125X32 Class 0 (2S/T)</t>
  </si>
  <si>
    <t>XBOA133X32C0</t>
  </si>
  <si>
    <t>Ống cao su lưu hóa Armaflex Thái Lan 133X32 Class 0 (2S/T)</t>
  </si>
  <si>
    <t>XBOA140X32C0</t>
  </si>
  <si>
    <t>Ống cao su lưu hóa Armaflex Thái Lan 140X32 Class 0 (2S/T)</t>
  </si>
  <si>
    <t>XBOA168X32C0</t>
  </si>
  <si>
    <t>Ống cao su lưu hóa Armaflex Thái Lan 168X32 Class 0 (2S/T)</t>
  </si>
  <si>
    <t>XBOA015X40C0</t>
  </si>
  <si>
    <t>Ống cao su lưu hóa Armaflex Thái Lan 15X40 Class 0 (11S/T)</t>
  </si>
  <si>
    <t>XBOA020X40C0</t>
  </si>
  <si>
    <t>Ống cao su lưu hóa Armaflex Thái Lan 20X40 Class 0 (9S/T)</t>
  </si>
  <si>
    <t>XBOA022X40C0</t>
  </si>
  <si>
    <t>Ống cao su lưu hóa Armaflex Thái Lan 22X40 Class 0 (9S/T)</t>
  </si>
  <si>
    <t>XBOA025X40C0</t>
  </si>
  <si>
    <t>Ống cao su lưu hóa Armaflex Thái Lan 25X40 Class 0 (9S/T)</t>
  </si>
  <si>
    <t>XBOA028X40C0</t>
  </si>
  <si>
    <t>Ống cao su lưu hóa Armaflex Thái Lan 28X40 Class 0 (8S/T)</t>
  </si>
  <si>
    <t>XBOA032X40C0</t>
  </si>
  <si>
    <t>Ống cao su lưu hóa Armaflex Thái Lan 32X40 Class 0 (8S/T)</t>
  </si>
  <si>
    <t>XBOA035X40C0</t>
  </si>
  <si>
    <t>Ống cao su lưu hóa Armaflex Thái Lan 35X40 Class 0 (6S/T)</t>
  </si>
  <si>
    <t>XBOA038X40C0</t>
  </si>
  <si>
    <t>Ống cao su lưu hóa Armaflex Thái Lan 38X40 Class 0 (6S/T)</t>
  </si>
  <si>
    <t>XBOA042X40C0</t>
  </si>
  <si>
    <t>Ống cao su lưu hóa Armaflex Thái Lan 42X40 Class 0 (6S/T)</t>
  </si>
  <si>
    <t>XBOA045X40C0</t>
  </si>
  <si>
    <t>Ống cao su lưu hóa Armaflex Thái Lan 45X40 Class 0 (6S/T)</t>
  </si>
  <si>
    <t>XBOA048X40C0</t>
  </si>
  <si>
    <t>Ống cao su lưu hóa Armaflex Thái Lan 48X40 Class 0 (6S/T)</t>
  </si>
  <si>
    <t>XBOA054X40C0</t>
  </si>
  <si>
    <t>Ống cao su lưu hóa Armaflex Thái Lan 54X40 Class 0 (5S/T)</t>
  </si>
  <si>
    <t>XBOA057X40C0</t>
  </si>
  <si>
    <t>Ống cao su lưu hóa Armaflex Thái Lan 57X40 Class 0 (5S/T)</t>
  </si>
  <si>
    <t>Ống cao su lưu hóa Armaflex Thái Lan 60X40 Class 0 (5S/T)</t>
  </si>
  <si>
    <t>XBOA067X40C0</t>
  </si>
  <si>
    <t>Ống cao su lưu hóa Armaflex Thái Lan 67X40 Class 0 (4S/T)</t>
  </si>
  <si>
    <t>XBOA076X40C0</t>
  </si>
  <si>
    <t>Ống cao su lưu hóa Armaflex Thái Lan 76X40 Class 0 (4S/T)</t>
  </si>
  <si>
    <t>XBOA089X40C0</t>
  </si>
  <si>
    <t>Ống cao su lưu hóa Armaflex Thái Lan 89X40 Class 0 (4S/T)</t>
  </si>
  <si>
    <t>XBOA108X40C0</t>
  </si>
  <si>
    <t>Ống cao su lưu hóa Armaflex Thái Lan 108X40 Class 0 (3S/T)</t>
  </si>
  <si>
    <t>XBOA114X40C0</t>
  </si>
  <si>
    <t>Ống cao su lưu hóa Armaflex Thái Lan 114X40 Class 0 (2S/T)</t>
  </si>
  <si>
    <t>XBOA125X40C0</t>
  </si>
  <si>
    <t>Ống cao su lưu hóa Armaflex Thái Lan 125X40 Class 0 (2S/T)</t>
  </si>
  <si>
    <t>XBOA140X40C0</t>
  </si>
  <si>
    <t>Ống cao su lưu hóa Armaflex Thái Lan 140X40 Class 0 (2S/T)</t>
  </si>
  <si>
    <t>XBOA168X40C0</t>
  </si>
  <si>
    <t>Ống cao su lưu hóa Armaflex Thái Lan 168X40 Class 0 (2S/T)</t>
  </si>
  <si>
    <t>XBOA020X50C0</t>
  </si>
  <si>
    <t>Ống cao su lưu hóa Armaflex Thái Lan 20X50 Class 0</t>
  </si>
  <si>
    <t>XBOA022X50C0</t>
  </si>
  <si>
    <t>Ống cao su lưu hóa Armaflex Thái Lan 22X50 Class 0</t>
  </si>
  <si>
    <t>XBOA025X50C0</t>
  </si>
  <si>
    <t>Ống cao su lưu hóa Armaflex Thái Lan 25X50 Class 0</t>
  </si>
  <si>
    <t>XBOA028X50C0</t>
  </si>
  <si>
    <t>Ống cao su lưu hóa Armaflex Thái Lan 28X50 Class 0</t>
  </si>
  <si>
    <t>XBOA032X50C0</t>
  </si>
  <si>
    <t>Ống cao su lưu hóa Armaflex Thái Lan 32X50 Class 0</t>
  </si>
  <si>
    <t>XBOA035X50C0</t>
  </si>
  <si>
    <t>Ống cao su lưu hóa Armaflex Thái Lan 35X50 Class 0</t>
  </si>
  <si>
    <t>XBOA038X50C0</t>
  </si>
  <si>
    <t>Ống cao su lưu hóa Armaflex Thái Lan 38X50 Class 0</t>
  </si>
  <si>
    <t>XBOA042X50C0</t>
  </si>
  <si>
    <t>Ống cao su lưu hóa Armaflex Thái Lan 42X50 Class 0</t>
  </si>
  <si>
    <t>XBOA045X50C0</t>
  </si>
  <si>
    <t>Ống cao su lưu hóa Armaflex Thái Lan 45X50 Class 0</t>
  </si>
  <si>
    <t>XBOA054X50C0</t>
  </si>
  <si>
    <t>Ống cao su lưu hóa Armaflex Thái Lan 54X50 Class 0</t>
  </si>
  <si>
    <t>XBOA057X50C0</t>
  </si>
  <si>
    <t>Ống cao su lưu hóa Armaflex Thái Lan 57X50 Class 0</t>
  </si>
  <si>
    <t>XBOA060X50C0</t>
  </si>
  <si>
    <t>Ống cao su lưu hóa Armaflex Thái Lan 60X50 Class 0</t>
  </si>
  <si>
    <t>XBOA067X50C0</t>
  </si>
  <si>
    <t>Ống cao su lưu hóa Armaflex Thái Lan 67X50 Class 0</t>
  </si>
  <si>
    <t>Ống cao su lưu hóa Armaflex Thái Lan 76X50 Class 0 (2S/T)</t>
  </si>
  <si>
    <t>Ống cao su lưu hóa Armaflex Thái Lan 89X50 Class 0 (2S/T)</t>
  </si>
  <si>
    <t>XBOA108X50C0</t>
  </si>
  <si>
    <t>Ống cao su lưu hóa Armaflex Thái Lan 108X50 Class 0</t>
  </si>
  <si>
    <t>XBOA114X50C0</t>
  </si>
  <si>
    <t>Ống cao su lưu hóa Armaflex Thái Lan 114X50 Class 0</t>
  </si>
  <si>
    <t>Armaflex Thái Lan</t>
  </si>
  <si>
    <t>XBOAF006X09</t>
  </si>
  <si>
    <t>Ống cao su lưu hóa Armaflex FRV Thái Lan 06X09</t>
  </si>
  <si>
    <t>XBOAF010X09</t>
  </si>
  <si>
    <t>Ống cao su lưu hóa Armaflex FRV Thái Lan 10X09</t>
  </si>
  <si>
    <t>XBOAF012X09</t>
  </si>
  <si>
    <t>Ống cao su lưu hóa Armaflex FRV Thái Lan 12X09</t>
  </si>
  <si>
    <t>XBOAF015X09</t>
  </si>
  <si>
    <t>Ống cao su lưu hóa Armaflex FRV Thái Lan 15X09</t>
  </si>
  <si>
    <t>XBOAF020X09</t>
  </si>
  <si>
    <t>Ống cao su lưu hóa Armaflex FRV Thái Lan 20X09</t>
  </si>
  <si>
    <t>XBOAF022X09</t>
  </si>
  <si>
    <t>Ống cao su lưu hóa Armaflex FRV Thái Lan 22X09</t>
  </si>
  <si>
    <t>XBOAF025X09</t>
  </si>
  <si>
    <t>Ống cao su lưu hóa Armaflex FRV Thái Lan 25X09</t>
  </si>
  <si>
    <t>XBOAF028X09</t>
  </si>
  <si>
    <t>Ống cao su lưu hóa Armaflex FRV Thái Lan 28X09</t>
  </si>
  <si>
    <t>XBOAF032X09</t>
  </si>
  <si>
    <t>Ống cao su lưu hóa Armaflex FRV Thái Lan 32X09</t>
  </si>
  <si>
    <t>XBOAF035X09</t>
  </si>
  <si>
    <t>Ống cao su lưu hóa Armaflex FRV Thái Lan 35X09</t>
  </si>
  <si>
    <t>XBOAF042X09</t>
  </si>
  <si>
    <t>Ống cao su lưu hóa Armaflex FRV Thái Lan 42X09</t>
  </si>
  <si>
    <t>XBOAF048X09</t>
  </si>
  <si>
    <t>Ống cao su lưu hóa Armaflex FRV Thái Lan 48X09</t>
  </si>
  <si>
    <t>XBOAF054X09</t>
  </si>
  <si>
    <t>Ống cao su lưu hóa Armaflex FRV Thái Lan 54X09</t>
  </si>
  <si>
    <t>XBOAF060X09</t>
  </si>
  <si>
    <t>Ống cao su lưu hóa Armaflex FRV Thái Lan 60X09</t>
  </si>
  <si>
    <t>XBOAF006X13</t>
  </si>
  <si>
    <t>Ống cao su lưu hóa Armaflex FRV Thái Lan 06X13</t>
  </si>
  <si>
    <t>XBOAF010X13</t>
  </si>
  <si>
    <t>Ống cao su lưu hóa Armaflex FRV Thái Lan 10X13</t>
  </si>
  <si>
    <t>XBOAF012X13</t>
  </si>
  <si>
    <t>Ống cao su lưu hóa Armaflex FRV Thái Lan 12X13</t>
  </si>
  <si>
    <t>XBOAF015X13</t>
  </si>
  <si>
    <t>Ống cao su lưu hóa Armaflex FRV Thái Lan 15X13</t>
  </si>
  <si>
    <t>XBOAF020X13</t>
  </si>
  <si>
    <t>Ống cao su lưu hóa Armaflex FRV Thái Lan 20X13</t>
  </si>
  <si>
    <t>Ống cao su lưu hóa Armaflex FRV Thái Lan 22X13</t>
  </si>
  <si>
    <t>XBOAF025X13</t>
  </si>
  <si>
    <t>Ống cao su lưu hóa Armaflex FRV Thái Lan 25X13</t>
  </si>
  <si>
    <t>Ống cao su lưu hóa Armaflex FRV Thái Lan 28X13</t>
  </si>
  <si>
    <t>XBOAF032X13</t>
  </si>
  <si>
    <t>Ống cao su lưu hóa Armaflex FRV Thái Lan 32X13</t>
  </si>
  <si>
    <t>Ống cao su lưu hóa Armaflex FRV Thái Lan 35X13</t>
  </si>
  <si>
    <t>XBOAF038X13</t>
  </si>
  <si>
    <t>Ống cao su lưu hóa Armaflex FRV Thái Lan 38X13</t>
  </si>
  <si>
    <t>Ống cao su lưu hóa Armaflex FRV Thái Lan 42X13</t>
  </si>
  <si>
    <t>Ống cao su lưu hóa Armaflex FRV Thái Lan 48X13</t>
  </si>
  <si>
    <t>XBOAF054X13</t>
  </si>
  <si>
    <t>Ống cao su lưu hóa Armaflex FRV Thái Lan 54X13</t>
  </si>
  <si>
    <t>Ống cao su lưu hóa Armaflex FRV Thái Lan 60X13</t>
  </si>
  <si>
    <t>XBOAF067X13</t>
  </si>
  <si>
    <t>Ống cao su lưu hóa Armaflex FRV Thái Lan 67X13</t>
  </si>
  <si>
    <t>Ống cao su lưu hóa Armaflex FRV Thái Lan 73X13</t>
  </si>
  <si>
    <t>XBOAF076X13</t>
  </si>
  <si>
    <t>Ống cao su lưu hóa Armaflex FRV Thái Lan 76X13</t>
  </si>
  <si>
    <t>XBOAF080X13</t>
  </si>
  <si>
    <t>Ống cao su lưu hóa Armaflex FRV Thái Lan 80X13</t>
  </si>
  <si>
    <t>XBOAF089X13</t>
  </si>
  <si>
    <t>Ống cao su lưu hóa Armaflex FRV Thái Lan 89X13</t>
  </si>
  <si>
    <t>XBOAF108X13</t>
  </si>
  <si>
    <t>Ống cao su lưu hóa Armaflex FRV Thái Lan 108X13</t>
  </si>
  <si>
    <t>XBOAF114X13</t>
  </si>
  <si>
    <t>Ống cao su lưu hóa Armaflex FRV Thái Lan 114X13</t>
  </si>
  <si>
    <t>Ống cao su lưu hóa Armaflex FRV Thái Lan 06X19</t>
  </si>
  <si>
    <t>XBOAF010X19</t>
  </si>
  <si>
    <t>Ống cao su lưu hóa Armaflex FRV Thái Lan 10X19</t>
  </si>
  <si>
    <t>Ống cao su lưu hóa Armaflex FRV Thái Lan 12X19</t>
  </si>
  <si>
    <t>XBOAF015X19</t>
  </si>
  <si>
    <t>Ống cao su lưu hóa Armaflex FRV Thái Lan 15X19</t>
  </si>
  <si>
    <t>XBOAF020X19</t>
  </si>
  <si>
    <t>Ống cao su lưu hóa Armaflex FRV Thái Lan 20X19</t>
  </si>
  <si>
    <t>Ống cao su lưu hóa Armaflex FRV Thái Lan 22X19</t>
  </si>
  <si>
    <t>XBOAF025X19</t>
  </si>
  <si>
    <t>Ống cao su lưu hóa Armaflex FRV Thái Lan 25X19</t>
  </si>
  <si>
    <t>Ống cao su lưu hóa Armaflex FRV Thái Lan 28X19</t>
  </si>
  <si>
    <t>XBOAF032X19</t>
  </si>
  <si>
    <t>Ống cao su lưu hóa Armaflex FRV Thái Lan 32X19</t>
  </si>
  <si>
    <t>XBOAF035X19</t>
  </si>
  <si>
    <t>Ống cao su lưu hóa Armaflex FRV Thái Lan 35X19</t>
  </si>
  <si>
    <t>XBOAF038X19</t>
  </si>
  <si>
    <t>Ống cao su lưu hóa Armaflex FRV Thái Lan 38X19</t>
  </si>
  <si>
    <t>Ống cao su lưu hóa Armaflex FRV Thái Lan 42X19</t>
  </si>
  <si>
    <t>XBOAF048X19</t>
  </si>
  <si>
    <t>Ống cao su lưu hóa Armaflex FRV Thái Lan 48X19</t>
  </si>
  <si>
    <t>XBOAF054X19</t>
  </si>
  <si>
    <t>Ống cao su lưu hóa Armaflex FRV Thái Lan 54X19</t>
  </si>
  <si>
    <t>XBOAF060X19</t>
  </si>
  <si>
    <t>Ống cao su lưu hóa Armaflex FRV Thái Lan 60X19</t>
  </si>
  <si>
    <t>XBOAF067X19</t>
  </si>
  <si>
    <t>Ống cao su lưu hóa Armaflex FRV Thái Lan 67X19</t>
  </si>
  <si>
    <t>XBOAF073X19</t>
  </si>
  <si>
    <t>Ống cao su lưu hóa Armaflex FRV Thái Lan 73X19</t>
  </si>
  <si>
    <t>XBOAF076X19</t>
  </si>
  <si>
    <t>Ống cao su lưu hóa Armaflex FRV Thái Lan 76X19</t>
  </si>
  <si>
    <t>XBOAF080X19</t>
  </si>
  <si>
    <t>Ống cao su lưu hóa Armaflex FRV Thái Lan 80X19</t>
  </si>
  <si>
    <t>XBOAF089X19</t>
  </si>
  <si>
    <t>Ống cao su lưu hóa Armaflex FRV Thái Lan 89X19</t>
  </si>
  <si>
    <t>XBOAF108X19</t>
  </si>
  <si>
    <t>Ống cao su lưu hóa Armaflex FRV Thái Lan 108X19</t>
  </si>
  <si>
    <t>XBOAF114X19</t>
  </si>
  <si>
    <t>Ống cao su lưu hóa Armaflex FRV Thái Lan 114X19</t>
  </si>
  <si>
    <t>XBOAF140X19</t>
  </si>
  <si>
    <t>Ống cao su lưu hóa Armaflex FRV Thái Lan 140X19</t>
  </si>
  <si>
    <t>XBOAF010X25</t>
  </si>
  <si>
    <t>Ống cao su lưu hóa Armaflex FRV Thái Lan 10X25</t>
  </si>
  <si>
    <t>XBOAF012X25</t>
  </si>
  <si>
    <t>Ống cao su lưu hóa Armaflex FRV Thái Lan 12X25</t>
  </si>
  <si>
    <t>XBOAF015X25</t>
  </si>
  <si>
    <t>Ống cao su lưu hóa Armaflex FRV Thái Lan 15X25</t>
  </si>
  <si>
    <t>Ống cao su lưu hóa Armaflex FRV Thái Lan 20X25</t>
  </si>
  <si>
    <t>Ống cao su lưu hóa Armaflex FRV Thái Lan 22X25</t>
  </si>
  <si>
    <t>XBOAF025X25</t>
  </si>
  <si>
    <t>Ống cao su lưu hóa Armaflex FRV Thái Lan 25X25</t>
  </si>
  <si>
    <t>XBOAF028X25</t>
  </si>
  <si>
    <t>Ống cao su lưu hóa Armaflex FRV Thái Lan 28X25</t>
  </si>
  <si>
    <t>XBOAF032X25</t>
  </si>
  <si>
    <t>Ống cao su lưu hóa Armaflex FRV Thái Lan 32X25</t>
  </si>
  <si>
    <t>Ống cao su lưu hóa Armaflex FRV Thái Lan 35X25</t>
  </si>
  <si>
    <t>XBOAF038X25</t>
  </si>
  <si>
    <t>Ống cao su lưu hóa Armaflex FRV Thái Lan 38X25</t>
  </si>
  <si>
    <t>XBOAF042X25</t>
  </si>
  <si>
    <t>Ống cao su lưu hóa Armaflex FRV Thái Lan 42X25</t>
  </si>
  <si>
    <t>XBOAF048X25</t>
  </si>
  <si>
    <t>Ống cao su lưu hóa Armaflex FRV Thái Lan 48X25</t>
  </si>
  <si>
    <t>XBOAF054X25</t>
  </si>
  <si>
    <t>Ống cao su lưu hóa Armaflex FRV Thái Lan 54X25</t>
  </si>
  <si>
    <t>XBOAF060X25</t>
  </si>
  <si>
    <t>Ống cao su lưu hóa Armaflex FRV Thái Lan 60X25</t>
  </si>
  <si>
    <t>XBOAF067X25</t>
  </si>
  <si>
    <t>Ống cao su lưu hóa Armaflex FRV Thái Lan 67X25</t>
  </si>
  <si>
    <t>XBOAF073X25</t>
  </si>
  <si>
    <t>Ống cao su lưu hóa Armaflex FRV Thái Lan 73X25</t>
  </si>
  <si>
    <t>XBOAF076X25</t>
  </si>
  <si>
    <t>Ống cao su lưu hóa Armaflex FRV Thái Lan 76X25</t>
  </si>
  <si>
    <t>XBOAF080X25</t>
  </si>
  <si>
    <t>Ống cao su lưu hóa Armaflex FRV Thái Lan 80X25</t>
  </si>
  <si>
    <t>XBOAF089X25</t>
  </si>
  <si>
    <t>Ống cao su lưu hóa Armaflex FRV Thái Lan 89X25</t>
  </si>
  <si>
    <t>XBOAF108X25</t>
  </si>
  <si>
    <t>Ống cao su lưu hóa Armaflex FRV Thái Lan 108X25</t>
  </si>
  <si>
    <t>XBOAF114X25</t>
  </si>
  <si>
    <t>Ống cao su lưu hóa Armaflex FRV Thái Lan 114X25</t>
  </si>
  <si>
    <t>XBOAF140X25</t>
  </si>
  <si>
    <t>Ống cao su lưu hóa Armaflex FRV Thái Lan 140X25</t>
  </si>
  <si>
    <t>XBOAF168X25</t>
  </si>
  <si>
    <t>Ống cao su lưu hóa Armaflex FRV Thái Lan 168X25</t>
  </si>
  <si>
    <t>XBOAF012X32</t>
  </si>
  <si>
    <t>Ống cao su lưu hóa Armaflex FRV Thái Lan 12X32</t>
  </si>
  <si>
    <t>XBOAF015X32</t>
  </si>
  <si>
    <t>Ống cao su lưu hóa Armaflex FRV Thái Lan 15X32</t>
  </si>
  <si>
    <t>XBOAF020X32</t>
  </si>
  <si>
    <t>Ống cao su lưu hóa Armaflex FRV Thái Lan 20X32</t>
  </si>
  <si>
    <t>XBOAF022X32</t>
  </si>
  <si>
    <t>Ống cao su lưu hóa Armaflex FRV Thái Lan 22X32</t>
  </si>
  <si>
    <t>XBOAF025X32</t>
  </si>
  <si>
    <t>Ống cao su lưu hóa Armaflex FRV Thái Lan 25X32</t>
  </si>
  <si>
    <t>XBOAF028X32</t>
  </si>
  <si>
    <t>Ống cao su lưu hóa Armaflex FRV Thái Lan 28X32</t>
  </si>
  <si>
    <t>XBOAF032X32</t>
  </si>
  <si>
    <t>Ống cao su lưu hóa Armaflex FRV Thái Lan 32X32</t>
  </si>
  <si>
    <t>XBOAF035X32</t>
  </si>
  <si>
    <t>Ống cao su lưu hóa Armaflex FRV Thái Lan 35X32</t>
  </si>
  <si>
    <t>XBOAF042X32</t>
  </si>
  <si>
    <t>Ống cao su lưu hóa Armaflex FRV Thái Lan 42X32</t>
  </si>
  <si>
    <t>XBOAF048X32</t>
  </si>
  <si>
    <t>Ống cao su lưu hóa Armaflex FRV Thái Lan 48X32</t>
  </si>
  <si>
    <t>XBOAF054X32</t>
  </si>
  <si>
    <t>Ống cao su lưu hóa Armaflex FRV Thái Lan 54X32</t>
  </si>
  <si>
    <t>XBOAF060X32</t>
  </si>
  <si>
    <t>Ống cao su lưu hóa Armaflex FRV Thái Lan 60X32</t>
  </si>
  <si>
    <t>XBOAF067X32</t>
  </si>
  <si>
    <t>Ống cao su lưu hóa Armaflex FRV Thái Lan 67X32</t>
  </si>
  <si>
    <t>XBOAF073X32</t>
  </si>
  <si>
    <t>Ống cao su lưu hóa Armaflex FRV Thái Lan 73X32</t>
  </si>
  <si>
    <t>XBOAF076X32</t>
  </si>
  <si>
    <t>Ống cao su lưu hóa Armaflex FRV Thái Lan 76X32</t>
  </si>
  <si>
    <t>XBOAF080X32</t>
  </si>
  <si>
    <t>Ống cao su lưu hóa Armaflex FRV Thái Lan 80X32</t>
  </si>
  <si>
    <t>XBOAF089X32</t>
  </si>
  <si>
    <t>Ống cao su lưu hóa Armaflex FRV Thái Lan 89X32</t>
  </si>
  <si>
    <t>XBOAF108X32</t>
  </si>
  <si>
    <t>Ống cao su lưu hóa Armaflex FRV Thái Lan 108X32</t>
  </si>
  <si>
    <t>XBOAF114X32</t>
  </si>
  <si>
    <t>Ống cao su lưu hóa Armaflex FRV Thái Lan 114X32</t>
  </si>
  <si>
    <t>XBOAF140X32</t>
  </si>
  <si>
    <t>Ống cao su lưu hóa Armaflex FRV Thái Lan 140X32</t>
  </si>
  <si>
    <t>XBOAF168X32</t>
  </si>
  <si>
    <t>Ống cao su lưu hóa Armaflex FRV Thái Lan 168X32</t>
  </si>
  <si>
    <t>XBOAF012X38</t>
  </si>
  <si>
    <t>Ống cao su lưu hóa Armaflex FRV Thái Lan 12X38</t>
  </si>
  <si>
    <t>XBOAF015X38</t>
  </si>
  <si>
    <t>Ống cao su lưu hóa Armaflex FRV Thái Lan 15X38</t>
  </si>
  <si>
    <t>XBOAF020X38</t>
  </si>
  <si>
    <t>Ống cao su lưu hóa Armaflex FRV Thái Lan 20X38</t>
  </si>
  <si>
    <t>XBOAF022X38</t>
  </si>
  <si>
    <t>Ống cao su lưu hóa Armaflex FRV Thái Lan 22X38</t>
  </si>
  <si>
    <t>XBOAF025X38</t>
  </si>
  <si>
    <t>Ống cao su lưu hóa Armaflex FRV Thái Lan 25X38</t>
  </si>
  <si>
    <t>XBOAF028X38</t>
  </si>
  <si>
    <t>Ống cao su lưu hóa Armaflex FRV Thái Lan 28X38</t>
  </si>
  <si>
    <t>XBOAF032X38</t>
  </si>
  <si>
    <t>Ống cao su lưu hóa Armaflex FRV Thái Lan 32X38</t>
  </si>
  <si>
    <t>XBOAF035X38</t>
  </si>
  <si>
    <t>Ống cao su lưu hóa Armaflex FRV Thái Lan 35X38</t>
  </si>
  <si>
    <t>XBOAF042X38</t>
  </si>
  <si>
    <t>Ống cao su lưu hóa Armaflex FRV Thái Lan 42X38</t>
  </si>
  <si>
    <t>XBOAF048X38</t>
  </si>
  <si>
    <t>Ống cao su lưu hóa Armaflex FRV Thái Lan 48X38</t>
  </si>
  <si>
    <t>XBOAF054X38</t>
  </si>
  <si>
    <t>Ống cao su lưu hóa Armaflex FRV Thái Lan 54X38</t>
  </si>
  <si>
    <t>XBOAF060X38</t>
  </si>
  <si>
    <t>Ống cao su lưu hóa Armaflex FRV Thái Lan 60X38</t>
  </si>
  <si>
    <t>XBOAF067X38</t>
  </si>
  <si>
    <t>Ống cao su lưu hóa Armaflex FRV Thái Lan 67X38</t>
  </si>
  <si>
    <t>XBOAF073X38</t>
  </si>
  <si>
    <t>Ống cao su lưu hóa Armaflex FRV Thái Lan 73X38</t>
  </si>
  <si>
    <t>XBOAF076X38</t>
  </si>
  <si>
    <t>Ống cao su lưu hóa Armaflex FRV Thái Lan 76X38</t>
  </si>
  <si>
    <t>XBOAF080X38</t>
  </si>
  <si>
    <t>Ống cao su lưu hóa Armaflex FRV Thái Lan 80X38</t>
  </si>
  <si>
    <t>XBOAF089X38</t>
  </si>
  <si>
    <t>Ống cao su lưu hóa Armaflex FRV Thái Lan 89X38</t>
  </si>
  <si>
    <t>XBOAF108X38</t>
  </si>
  <si>
    <t>Ống cao su lưu hóa Armaflex FRV Thái Lan 108X38</t>
  </si>
  <si>
    <t>XBOAF114X38</t>
  </si>
  <si>
    <t>Ống cao su lưu hóa Armaflex FRV Thái Lan 114X38</t>
  </si>
  <si>
    <t>XBOAF140X38</t>
  </si>
  <si>
    <t>Ống cao su lưu hóa Armaflex FRV Thái Lan 140X38</t>
  </si>
  <si>
    <t>XBOAF168X38</t>
  </si>
  <si>
    <t>Ống cao su lưu hóa Armaflex FRV Thái Lan 168X38</t>
  </si>
  <si>
    <t>XBOAF020X50</t>
  </si>
  <si>
    <t>Ống cao su lưu hóa Armaflex FRV Thái Lan 20X50</t>
  </si>
  <si>
    <t>XBOAF022X50</t>
  </si>
  <si>
    <t>Ống cao su lưu hóa Armaflex FRV Thái Lan 22X50</t>
  </si>
  <si>
    <t>XBOAF025X50</t>
  </si>
  <si>
    <t>Ống cao su lưu hóa Armaflex FRV Thái Lan 25X50</t>
  </si>
  <si>
    <t>XBOAF028X50</t>
  </si>
  <si>
    <t>Ống cao su lưu hóa Armaflex FRV Thái Lan 28X50</t>
  </si>
  <si>
    <t>XBOAF032X50</t>
  </si>
  <si>
    <t>Ống cao su lưu hóa Armaflex FRV Thái Lan 32X50</t>
  </si>
  <si>
    <t>XBOAF035X50</t>
  </si>
  <si>
    <t>Ống cao su lưu hóa Armaflex FRV Thái Lan 35X50</t>
  </si>
  <si>
    <t>XBOAF042X50</t>
  </si>
  <si>
    <t>Ống cao su lưu hóa Armaflex FRV Thái Lan 42X50</t>
  </si>
  <si>
    <t>XBOAF048X50</t>
  </si>
  <si>
    <t>Ống cao su lưu hóa Armaflex FRV Thái Lan 48X50</t>
  </si>
  <si>
    <t>XBOAF054X50</t>
  </si>
  <si>
    <t>Ống cao su lưu hóa Armaflex FRV Thái Lan 54X50</t>
  </si>
  <si>
    <t>XBOAF060X50</t>
  </si>
  <si>
    <t>Ống cao su lưu hóa Armaflex FRV Thái Lan 60X50</t>
  </si>
  <si>
    <t>XBOAF067X50</t>
  </si>
  <si>
    <t>Ống cao su lưu hóa Armaflex FRV Thái Lan 67X50</t>
  </si>
  <si>
    <t>XBOAF073X50</t>
  </si>
  <si>
    <t>Ống cao su lưu hóa Armaflex FRV Thái Lan 73X50</t>
  </si>
  <si>
    <t>XBOAF076X50</t>
  </si>
  <si>
    <t>Ống cao su lưu hóa Armaflex FRV Thái Lan 76X50</t>
  </si>
  <si>
    <t>XBOAF080X50</t>
  </si>
  <si>
    <t>Ống cao su lưu hóa Armaflex FRV Thái Lan 80X50</t>
  </si>
  <si>
    <t>Ống cao su lưu hóa Armaflex FRV Thái Lan 89X50</t>
  </si>
  <si>
    <t>XBOAF108X50</t>
  </si>
  <si>
    <t>Ống cao su lưu hóa Armaflex FRV Thái Lan 108X50</t>
  </si>
  <si>
    <t>XBOAF114X50</t>
  </si>
  <si>
    <t>Ống cao su lưu hóa Armaflex FRV Thái Lan 114X50</t>
  </si>
  <si>
    <t>XBOAF140X50</t>
  </si>
  <si>
    <t>Ống cao su lưu hóa Armaflex FRV Thái Lan 140X50</t>
  </si>
  <si>
    <t>XBOAF168X50</t>
  </si>
  <si>
    <t>Ống cao su lưu hóa Armaflex FRV Thái Lan 168X50</t>
  </si>
  <si>
    <t>Aeroflex Class A</t>
  </si>
  <si>
    <t>XAE-ODI</t>
  </si>
  <si>
    <t>XBOAE00609</t>
  </si>
  <si>
    <t>Ống cao su lưu hóa Aeroflex 06X09 (132S/T)</t>
  </si>
  <si>
    <t>XBOAE01009</t>
  </si>
  <si>
    <t>Ống cao su lưu hóa Aeroflex 10X09 (110S/T)</t>
  </si>
  <si>
    <t>XBOAE01309</t>
  </si>
  <si>
    <t>Ống cao su lưu hóa Aeroflex 13X09 (84S/T)</t>
  </si>
  <si>
    <t>XBOAE01609</t>
  </si>
  <si>
    <t>Ống cao su lưu hóa Aeroflex 16X09 (70S/T)</t>
  </si>
  <si>
    <t>XBOAE01909</t>
  </si>
  <si>
    <t>Ống cao su lưu hóa Aeroflex 19X09 (60S/T)</t>
  </si>
  <si>
    <t>XBOAE02209</t>
  </si>
  <si>
    <t>Ống cao su lưu hóa Aeroflex 22X09 (54S/T)</t>
  </si>
  <si>
    <t>XBOAE02509</t>
  </si>
  <si>
    <t>Ống cao su lưu hóa Aeroflex 25X09 (44S/T)</t>
  </si>
  <si>
    <t>XAE-OIB</t>
  </si>
  <si>
    <t>XBOAE02809</t>
  </si>
  <si>
    <t>Ống cao su lưu hóa Aeroflex 28X09 (36S/T)</t>
  </si>
  <si>
    <t>XBOAE03209</t>
  </si>
  <si>
    <t>Ống cao su lưu hóa Aeroflex 32X09 (34S/T)</t>
  </si>
  <si>
    <t>XBOAE03509</t>
  </si>
  <si>
    <t>Ống cao su lưu hóa Aeroflex 35X09 (32S/T)</t>
  </si>
  <si>
    <t>XBOAE04209</t>
  </si>
  <si>
    <t>Ống cao su lưu hóa Aeroflex 42X09 (28S/T)</t>
  </si>
  <si>
    <t>XBOAE04809</t>
  </si>
  <si>
    <t>Ống cao su lưu hóa Aeroflex 48X09 (20S/T)</t>
  </si>
  <si>
    <t>XBOAE05409</t>
  </si>
  <si>
    <t>Ống cao su lưu hóa Aeroflex 54X09 (18S/T)</t>
  </si>
  <si>
    <t>XBOAE06009</t>
  </si>
  <si>
    <t>Ống cao su lưu hóa Aeroflex 60X09 (18S/T)</t>
  </si>
  <si>
    <t>XBOAE00613</t>
  </si>
  <si>
    <t>Ống cao su lưu hóa Aeroflex 06x13 (80S/T)</t>
  </si>
  <si>
    <t>XBOAE01013</t>
  </si>
  <si>
    <t>Ống cao su lưu hóa Aeroflex 10X13 (70S/T)</t>
  </si>
  <si>
    <t>XBOAE01313</t>
  </si>
  <si>
    <t>Ống cao su lưu hóa Aeroflex 13X13 (60S/T)</t>
  </si>
  <si>
    <t>XBOAE01613</t>
  </si>
  <si>
    <t>Ống cao su lưu hóa Aeroflex 16X13 (50S/T)</t>
  </si>
  <si>
    <t>XBOAE01913</t>
  </si>
  <si>
    <t>Ống cao su lưu hóa Aeroflex 19X13 (40S/T)</t>
  </si>
  <si>
    <t>XAE-OTD</t>
  </si>
  <si>
    <t>XBOAE02213</t>
  </si>
  <si>
    <t>Ống cao su lưu hóa Aeroflex 22X13 (32S/T)</t>
  </si>
  <si>
    <t>XBOAE02513</t>
  </si>
  <si>
    <t>Ống cao su lưu hóa Aeroflex 25X13 (30S/T)</t>
  </si>
  <si>
    <t>XBOAE02813</t>
  </si>
  <si>
    <t>Ống cao su lưu hóa Aeroflex 28X13 (28S/T)</t>
  </si>
  <si>
    <t>XBOAE03213</t>
  </si>
  <si>
    <t>Ống cao su lưu hóa Aeroflex 32X13 (24S/T)</t>
  </si>
  <si>
    <t>XBOAE03513</t>
  </si>
  <si>
    <t>Ống cao su lưu hóa Aeroflex 35X13 (20S/T)</t>
  </si>
  <si>
    <t>XBOAE03813</t>
  </si>
  <si>
    <t>Ống cao su lưu hóa Aeroflex 38X13 (18S/T)</t>
  </si>
  <si>
    <t>XBOAE04213</t>
  </si>
  <si>
    <t>Ống cao su lưu hóa Aeroflex 42X13 (18S/T)</t>
  </si>
  <si>
    <t>XBOAE04513</t>
  </si>
  <si>
    <t>Ống cao su lưu hóa Aeroflex 45X13 (18S/T)</t>
  </si>
  <si>
    <t>XBOAE04813</t>
  </si>
  <si>
    <t>Ống cao su lưu hóa Aeroflex 48X13 (16S/T)</t>
  </si>
  <si>
    <t>XBOAE05113</t>
  </si>
  <si>
    <t>Ống cao su lưu hóa Aeroflex 51X13 (14S/T)</t>
  </si>
  <si>
    <t>XBOAE05413</t>
  </si>
  <si>
    <t>Ống cao su lưu hóa Aeroflex 54X13 (14S/T)</t>
  </si>
  <si>
    <t>XBOAE05713</t>
  </si>
  <si>
    <t>Ống cao su lưu hóa Aeroflex 57X13 (14S/T)</t>
  </si>
  <si>
    <t>XBOAE06013</t>
  </si>
  <si>
    <t>Ống cao su lưu hóa Aeroflex 60X13 (12S/T)</t>
  </si>
  <si>
    <t>XBOAE06413</t>
  </si>
  <si>
    <t>Ống cao su lưu hóa Aeroflex 64X13 (10S/T)</t>
  </si>
  <si>
    <t>XBOAE06713</t>
  </si>
  <si>
    <t>Ống cao su lưu hóa Aeroflex 67X13 (10S/T)</t>
  </si>
  <si>
    <t>XBOAE07313</t>
  </si>
  <si>
    <t>Ống cao su lưu hóa Aeroflex 73X13 (10S/T)</t>
  </si>
  <si>
    <t>XBOAE07613</t>
  </si>
  <si>
    <t>Ống cao su lưu hóa Aeroflex 76X13 (8S/T)</t>
  </si>
  <si>
    <t>XBOAE08013</t>
  </si>
  <si>
    <t>Ống cao su lưu hóa Aeroflex 80X13 (8S/T)</t>
  </si>
  <si>
    <t>XBOAE08313</t>
  </si>
  <si>
    <t>Ống cao su lưu hóa Aeroflex 83X13 (8S/T)</t>
  </si>
  <si>
    <t>XBOAE09013</t>
  </si>
  <si>
    <t>Ống cao su lưu hóa Aeroflex 90X13 (8S/T)</t>
  </si>
  <si>
    <t>XBOAE09213</t>
  </si>
  <si>
    <t>Ống cao su lưu hóa Aeroflex 92X13 (8S/T)</t>
  </si>
  <si>
    <t>XBOAE09813</t>
  </si>
  <si>
    <t>Ống cao su lưu hóa Aeroflex 98X13 (8S/T)</t>
  </si>
  <si>
    <t>XBOAE10213</t>
  </si>
  <si>
    <t>Ống cao su lưu hóa Aeroflex 102X13 (8S/T)</t>
  </si>
  <si>
    <t>XBOAE10513</t>
  </si>
  <si>
    <t>Ống cao su lưu hóa Aeroflex 105X13 (8S/T)</t>
  </si>
  <si>
    <t>XBOAE10913</t>
  </si>
  <si>
    <t>Ống cao su lưu hóa Aeroflex 109X13 (8S/T)</t>
  </si>
  <si>
    <t>XBOAE11513</t>
  </si>
  <si>
    <t>Ống cao su lưu hóa Aeroflex 115X13 (6S/T)</t>
  </si>
  <si>
    <t>XBOAE12713</t>
  </si>
  <si>
    <t>Ống cao su lưu hóa Aeroflex 127X13 (6S/T)</t>
  </si>
  <si>
    <t>XBOAE13013</t>
  </si>
  <si>
    <t>Ống cao su lưu hóa Aeroflex 130X13 (6S/T)</t>
  </si>
  <si>
    <t>XBOAE14013</t>
  </si>
  <si>
    <t>Ống cao su lưu hóa Aeroflex 140X13 (6S/T)</t>
  </si>
  <si>
    <t>XBOAE16513</t>
  </si>
  <si>
    <t>Ống cao su lưu hóa Aeroflex 165X13 (6S/T)</t>
  </si>
  <si>
    <t>XBOAE00619</t>
  </si>
  <si>
    <t>Ống cao su lưu hóa Aeroflex 06X19 (32S/T)</t>
  </si>
  <si>
    <t>XBOAE01019</t>
  </si>
  <si>
    <t>Ống cao su lưu hóa Aeroflex 10X19 (32S/T)</t>
  </si>
  <si>
    <t>XBOAE01319</t>
  </si>
  <si>
    <t>Ống cao su lưu hóa Aeroflex 13X19 (32S/T)</t>
  </si>
  <si>
    <t>XBOAE01619</t>
  </si>
  <si>
    <t>Ống cao su lưu hóa Aeroflex 16X19 (28S/T)</t>
  </si>
  <si>
    <t>XBOAE01919</t>
  </si>
  <si>
    <t>Ống cao su lưu hóa Aeroflex 19X19 (24S/T)</t>
  </si>
  <si>
    <t>XBOAE02219</t>
  </si>
  <si>
    <t>Ống cao su lưu hóa Aeroflex 22X19 (20S/T)</t>
  </si>
  <si>
    <t>XBOAE02519</t>
  </si>
  <si>
    <t>Ống cao su lưu hóa Aeroflex 25X19 (18S/T)</t>
  </si>
  <si>
    <t>XBOAE02819</t>
  </si>
  <si>
    <t>Ống cao su lưu hóa Aeroflex 28X19 (18S/T)</t>
  </si>
  <si>
    <t>XBOAE03219</t>
  </si>
  <si>
    <t>Ống cao su lưu hóa Aeroflex 32X19 (18S/T)</t>
  </si>
  <si>
    <t>XBOAE03519</t>
  </si>
  <si>
    <t>Ống cao su lưu hóa Aeroflex 35X19 (16S/T)</t>
  </si>
  <si>
    <t>XBOAE03819</t>
  </si>
  <si>
    <t>Ống cao su lưu hóa Aeroflex 38X19 (16S/T)</t>
  </si>
  <si>
    <t>XBOAE04219</t>
  </si>
  <si>
    <t>Ống cao su lưu hóa Aeroflex 42X19 (12S/T)</t>
  </si>
  <si>
    <t>XBOAE04519</t>
  </si>
  <si>
    <t>Ống cao su lưu hóa Aeroflex 45X19 (10S/T)</t>
  </si>
  <si>
    <t>XBOAE04819</t>
  </si>
  <si>
    <t>Ống cao su lưu hóa Aeroflex 48X19 (10S/T)</t>
  </si>
  <si>
    <t>XBOAE05119</t>
  </si>
  <si>
    <t>Ống cao su lưu hóa Aeroflex 51X19 (8S/T)</t>
  </si>
  <si>
    <t>XBOAE05419</t>
  </si>
  <si>
    <t>Ống cao su lưu hóa Aeroflex 54X19 (8S/T)</t>
  </si>
  <si>
    <t>XBOAE05719</t>
  </si>
  <si>
    <t>Ống cao su lưu hóa Aeroflex 57X19 (8S/T)</t>
  </si>
  <si>
    <t>XBOAE06019</t>
  </si>
  <si>
    <t>Ống cao su lưu hóa Aeroflex 60X19 (8S/T)</t>
  </si>
  <si>
    <t>XBOAE06419</t>
  </si>
  <si>
    <t>Ống cao su lưu hóa Aeroflex 64X19 (8S/T)</t>
  </si>
  <si>
    <t>XBOAE06719</t>
  </si>
  <si>
    <t>Ống cao su lưu hóa Aeroflex 67X19 (8S/T)</t>
  </si>
  <si>
    <t>XBOAE07319</t>
  </si>
  <si>
    <t>Ống cao su lưu hóa Aeroflex 73X19 (6S/T)</t>
  </si>
  <si>
    <t>XBOAE07619</t>
  </si>
  <si>
    <t>Ống cao su lưu hóa Aeroflex 76X19 (6S/T)</t>
  </si>
  <si>
    <t>XBOAE08019</t>
  </si>
  <si>
    <t>Ống cao su lưu hóa Aeroflex 80X19 (6S/T)</t>
  </si>
  <si>
    <t>XBOAE08319</t>
  </si>
  <si>
    <t>Ống cao su lưu hóa Aeroflex 83X19 (6S/T)</t>
  </si>
  <si>
    <t>XBOAE09019</t>
  </si>
  <si>
    <t>Ống cao su lưu hóa Aeroflex 90X19 (6S/T)</t>
  </si>
  <si>
    <t>XBOAE09219</t>
  </si>
  <si>
    <t>Ống cao su lưu hóa Aeroflex 92X19 (6S/T)</t>
  </si>
  <si>
    <t>XBOAE09819</t>
  </si>
  <si>
    <t>Ống cao su lưu hóa Aeroflex 98X19 (4S/T)</t>
  </si>
  <si>
    <t>XBOAE10219</t>
  </si>
  <si>
    <t>Ống cao su lưu hóa Aeroflex 102X19 (4S/T)</t>
  </si>
  <si>
    <t>XBOAE10519</t>
  </si>
  <si>
    <t>Ống cao su lưu hóa Aeroflex 105X19 (4S/T)</t>
  </si>
  <si>
    <t>XBOAE10919</t>
  </si>
  <si>
    <t>Ống cao su lưu hóa Aeroflex 109X19 (4S/T)</t>
  </si>
  <si>
    <t>XBOAE11519</t>
  </si>
  <si>
    <t>Ống cao su lưu hóa Aeroflex 115X19 (4S/T)</t>
  </si>
  <si>
    <t>XBOAE12719</t>
  </si>
  <si>
    <t>Ống cao su lưu hóa Aeroflex 127X19 (4S/T)</t>
  </si>
  <si>
    <t>XBOAE13019</t>
  </si>
  <si>
    <t>Ống cao su lưu hóa Aeroflex 130X19 (4S/T)</t>
  </si>
  <si>
    <t>XBOAE14019</t>
  </si>
  <si>
    <t>Ống cao su lưu hóa Aeroflex 140X19 (4S/T)</t>
  </si>
  <si>
    <t>XBOAE16519</t>
  </si>
  <si>
    <t>Ống cao su lưu hóa Aeroflex 165X19 (2S/T)</t>
  </si>
  <si>
    <t>XBOAE00625</t>
  </si>
  <si>
    <t>Ống cao su lưu hóa Aeroflex 6X25 (24S/T)</t>
  </si>
  <si>
    <t>XBOAE01025</t>
  </si>
  <si>
    <t>Ống cao su lưu hóa Aeroflex 10X25 (24S/T)</t>
  </si>
  <si>
    <t>XBOAE01325</t>
  </si>
  <si>
    <t>Ống cao su lưu hóa Aeroflex 13X25 (20S/T)</t>
  </si>
  <si>
    <t>XBOAE01625</t>
  </si>
  <si>
    <t>Ống cao su lưu hóa Aeroflex 16X25 (18S/T)</t>
  </si>
  <si>
    <t>XBOAE01925</t>
  </si>
  <si>
    <t>Ống cao su lưu hóa Aeroflex 19X25 (18S/T)</t>
  </si>
  <si>
    <t>XBOAE02225</t>
  </si>
  <si>
    <t>Ống cao su lưu hóa Aeroflex 22X25 (16S/T)</t>
  </si>
  <si>
    <t>XBOAE02525</t>
  </si>
  <si>
    <t>Ống cao su lưu hóa Aeroflex 25X25 (12S/T)</t>
  </si>
  <si>
    <t>XBOAE02825</t>
  </si>
  <si>
    <t>Ống cao su lưu hóa Aeroflex 28X25 (12S/T)</t>
  </si>
  <si>
    <t>XBOAE03225</t>
  </si>
  <si>
    <t>Ống cao su lưu hóa Aeroflex 32X25 (12S/T)</t>
  </si>
  <si>
    <t>XBOAE03525</t>
  </si>
  <si>
    <t>Ống cao su lưu hóa Aeroflex 35X25 (10S/T)</t>
  </si>
  <si>
    <t>XBOAE03825</t>
  </si>
  <si>
    <t>Ống cao su lưu hóa Aeroflex 38X25 (10S/T)</t>
  </si>
  <si>
    <t>XBOAE04225</t>
  </si>
  <si>
    <t>Ống cao su lưu hóa Aeroflex 42X25 (8S/T)</t>
  </si>
  <si>
    <t>XBOAE04525</t>
  </si>
  <si>
    <t>Ống cao su lưu hóa Aeroflex 45X25 (8S/T)</t>
  </si>
  <si>
    <t>XBOAE04825</t>
  </si>
  <si>
    <t>Ống cao su lưu hóa Aeroflex 48X25 (8S/T)</t>
  </si>
  <si>
    <t>XBOAE05425</t>
  </si>
  <si>
    <t>Ống cao su lưu hóa Aeroflex 54X25 (8S/T)</t>
  </si>
  <si>
    <t>XBOAE05725</t>
  </si>
  <si>
    <t>Ống cao su lưu hóa Aeroflex 57X25 (8S/T)</t>
  </si>
  <si>
    <t>XBOAE06025</t>
  </si>
  <si>
    <t>Ống cao su lưu hóa Aeroflex 60X25 (6S/T)</t>
  </si>
  <si>
    <t>XBOAE06425</t>
  </si>
  <si>
    <t>Ống cao su lưu hóa Aeroflex 64X25 (6S/T)</t>
  </si>
  <si>
    <t>XBOAE06725</t>
  </si>
  <si>
    <t>Ống cao su lưu hóa Aeroflex 67X25 (6S/T)</t>
  </si>
  <si>
    <t>XBOAE07325</t>
  </si>
  <si>
    <t>Ống cao su lưu hóa Aeroflex 73X25 (6S/T)</t>
  </si>
  <si>
    <t>XBOAE07625</t>
  </si>
  <si>
    <t>Ống cao su lưu hóa Aeroflex 76X25 (6S/T)</t>
  </si>
  <si>
    <t>XBOAE08025</t>
  </si>
  <si>
    <t>Ống cao su lưu hóa Aeroflex 80X25 (6S/T)</t>
  </si>
  <si>
    <t>XBOAE08325</t>
  </si>
  <si>
    <t>Ống cao su lưu hóa Aeroflex 83X25 (6S/T)</t>
  </si>
  <si>
    <t>XBOAE09025</t>
  </si>
  <si>
    <t>Ống cao su lưu hóa Aeroflex 90X25 (4S/T)</t>
  </si>
  <si>
    <t>XBOAE09225</t>
  </si>
  <si>
    <t>Ống cao su lưu hóa Aeroflex 92X25 (4S/T)</t>
  </si>
  <si>
    <t>XBOAE09825</t>
  </si>
  <si>
    <t>Ống cao su lưu hóa Aeroflex 98X25 (4S/T)</t>
  </si>
  <si>
    <t>XBOAE10225</t>
  </si>
  <si>
    <t>Ống cao su lưu hóa Aeroflex 102X25 (4S/T)</t>
  </si>
  <si>
    <t>XBOAE10525</t>
  </si>
  <si>
    <t>Ống cao su lưu hóa Aeroflex 105X25 (4S/T)</t>
  </si>
  <si>
    <t>XBOAE10925</t>
  </si>
  <si>
    <t>Ống cao su lưu hóa Aeroflex 109X25 (4S/T)</t>
  </si>
  <si>
    <t>XBOAE11525</t>
  </si>
  <si>
    <t>Ống cao su lưu hóa Aeroflex 115X25 (4S/T)</t>
  </si>
  <si>
    <t>XBOAE12725</t>
  </si>
  <si>
    <t>Ống cao su lưu hóa Aeroflex 127X25 (4S/T)</t>
  </si>
  <si>
    <t>XBOAE13025</t>
  </si>
  <si>
    <t>Ống cao su lưu hóa Aeroflex 130X25 (2S/T)</t>
  </si>
  <si>
    <t>XBOAE14025</t>
  </si>
  <si>
    <t>Ống cao su lưu hóa Aeroflex 140X25 (2S/T)</t>
  </si>
  <si>
    <t>XBOAE16525</t>
  </si>
  <si>
    <t>Ống cao su lưu hóa Aeroflex 165X25 (2S/T)</t>
  </si>
  <si>
    <t>XBOAE00632</t>
  </si>
  <si>
    <t>Ống cao su lưu hóa Aeroflex 6X32 (15S/T)</t>
  </si>
  <si>
    <t>XBOAE01032</t>
  </si>
  <si>
    <t>Ống cao su lưu hóa Aeroflex 10X32 (14S/T)</t>
  </si>
  <si>
    <t>XBOAE01332</t>
  </si>
  <si>
    <t>Ống cao su lưu hóa Aeroflex 13X32 (14S/T)</t>
  </si>
  <si>
    <t>XBOAE01632</t>
  </si>
  <si>
    <t>Ống cao su lưu hóa Aeroflex 16X32 (14S/T)</t>
  </si>
  <si>
    <t>XBOAE01932</t>
  </si>
  <si>
    <t>Ống cao su lưu hóa Aeroflex 19X32 (12S/T)</t>
  </si>
  <si>
    <t>XBOAE02232</t>
  </si>
  <si>
    <t>Ống cao su lưu hóa Aeroflex 22X32 (12S/T)</t>
  </si>
  <si>
    <t>XBOAE02532</t>
  </si>
  <si>
    <t>Ống cao su lưu hóa Aeroflex 25X32 (10S/T)</t>
  </si>
  <si>
    <t>XBOAE02832</t>
  </si>
  <si>
    <t>Ống cao su lưu hóa Aeroflex 28X32 (8S/T)</t>
  </si>
  <si>
    <t>XBOAE03232</t>
  </si>
  <si>
    <t>Ống cao su lưu hóa Aeroflex 32X32 (8S/T)</t>
  </si>
  <si>
    <t>XBOAE03532</t>
  </si>
  <si>
    <t>Ống cao su lưu hóa Aeroflex 35X32 (8S/T)</t>
  </si>
  <si>
    <t>XBOAE03832</t>
  </si>
  <si>
    <t>Ống cao su lưu hóa Aeroflex 38X32 (8S/T)</t>
  </si>
  <si>
    <t>XBOAE04232</t>
  </si>
  <si>
    <t>Ống cao su lưu hóa Aeroflex 42X32 (8S/T)</t>
  </si>
  <si>
    <t>XBOAE04532</t>
  </si>
  <si>
    <t>Ống cao su lưu hóa Aeroflex 45X32 (8S/T)</t>
  </si>
  <si>
    <t>XBOAE04832</t>
  </si>
  <si>
    <t>Ống cao su lưu hóa Aeroflex 48X32 (6S/T)</t>
  </si>
  <si>
    <t>XBOAE05132</t>
  </si>
  <si>
    <t>Ống cao su lưu hóa Aeroflex 51X32 (6S/T)</t>
  </si>
  <si>
    <t>XBOAE05432</t>
  </si>
  <si>
    <t>Ống cao su lưu hóa Aeroflex 54X32 (6S/T)</t>
  </si>
  <si>
    <t>XBOAE05732</t>
  </si>
  <si>
    <t>Ống cao su lưu hóa Aeroflex 57X32 (6S/T)</t>
  </si>
  <si>
    <t>XBOAE06032</t>
  </si>
  <si>
    <t>Ống cao su lưu hóa Aeroflex 60X32 (4S/T)</t>
  </si>
  <si>
    <t>XBOAE06432</t>
  </si>
  <si>
    <t>Ống cao su lưu hóa Aeroflex 64X32 (4S/T)</t>
  </si>
  <si>
    <t>XBOAE06732</t>
  </si>
  <si>
    <t>Ống cao su lưu hóa Aeroflex 67X32 (4S/T)</t>
  </si>
  <si>
    <t>XBOAE07332</t>
  </si>
  <si>
    <t>Ống cao su lưu hóa Aeroflex 73X32 (4S/T)</t>
  </si>
  <si>
    <t>XBOAE07632</t>
  </si>
  <si>
    <t>Ống cao su lưu hóa Aeroflex 76X32 (4S/T)</t>
  </si>
  <si>
    <t>XBOAE08032</t>
  </si>
  <si>
    <t>Ống cao su lưu hóa Aeroflex 80X32 (4S/T)</t>
  </si>
  <si>
    <t>XBOAE08332</t>
  </si>
  <si>
    <t>Ống cao su lưu hóa Aeroflex 83X32 (4S/T)</t>
  </si>
  <si>
    <t>XBOAE09032</t>
  </si>
  <si>
    <t>Ống cao su lưu hóa Aeroflex 90X32 (4S/T)</t>
  </si>
  <si>
    <t>XBOAE09232</t>
  </si>
  <si>
    <t>Ống cao su lưu hóa Aeroflex 92X32 (4S/T)</t>
  </si>
  <si>
    <t>XBOAE09832</t>
  </si>
  <si>
    <t>Ống cao su lưu hóa Aeroflex 98X32 (2S/T)</t>
  </si>
  <si>
    <t>XBOAE10232</t>
  </si>
  <si>
    <t>Ống cao su lưu hóa Aeroflex 102X32 (2S/T)</t>
  </si>
  <si>
    <t>XBOAE10532</t>
  </si>
  <si>
    <t>Ống cao su lưu hóa Aeroflex 105X32 (2S/T)</t>
  </si>
  <si>
    <t>XBOAE10932</t>
  </si>
  <si>
    <t>Ống cao su lưu hóa Aeroflex 109X32 (2S/T)</t>
  </si>
  <si>
    <t>XBOAE11532</t>
  </si>
  <si>
    <t>Ống cao su lưu hóa Aeroflex 115X32 (2S/T)</t>
  </si>
  <si>
    <t>XBOAE12732</t>
  </si>
  <si>
    <t>Ống cao su lưu hóa Aeroflex 127X32 (2S/T)</t>
  </si>
  <si>
    <t>XBOAE13032</t>
  </si>
  <si>
    <t>Ống cao su lưu hóa Aeroflex 130X32 (2S/T)</t>
  </si>
  <si>
    <t>XBOAE14032</t>
  </si>
  <si>
    <t>Ống cao su lưu hóa Aeroflex 140X32 (2S/T)</t>
  </si>
  <si>
    <t>XBOAE16532</t>
  </si>
  <si>
    <t>Ống cao su lưu hóa Aeroflex 165X32 (2S/T)</t>
  </si>
  <si>
    <t>XBOAE00638</t>
  </si>
  <si>
    <t>Ống cao su lưu hóa Aeroflex 6X38 (10S/T)</t>
  </si>
  <si>
    <t>XBOAE01038</t>
  </si>
  <si>
    <t>Ống cao su lưu hóa Aeroflex 10X38 (10S/T)</t>
  </si>
  <si>
    <t>XBOAE01338</t>
  </si>
  <si>
    <t>Ống cao su lưu hóa Aeroflex 13X38 (10S/T)</t>
  </si>
  <si>
    <t>XBOAE01638</t>
  </si>
  <si>
    <t>Ống cao su lưu hóa Aeroflex 16X38 (8S/T)</t>
  </si>
  <si>
    <t>XBOAE01938</t>
  </si>
  <si>
    <t>Ống cao su lưu hóa Aeroflex 19X38 (8S/T)</t>
  </si>
  <si>
    <t>XBOAE02238</t>
  </si>
  <si>
    <t>Ống cao su lưu hóa Aeroflex 22X38 (8S/T)</t>
  </si>
  <si>
    <t>XBOAE02538</t>
  </si>
  <si>
    <t>Ống cao su lưu hóa Aeroflex 25X38 (8S/T)</t>
  </si>
  <si>
    <t>XBOAE02838</t>
  </si>
  <si>
    <t>Ống cao su lưu hóa Aeroflex 28X38 (8S/T)</t>
  </si>
  <si>
    <t>XBOAE03238</t>
  </si>
  <si>
    <t>Ống cao su lưu hóa Aeroflex 32X38 (8S/T)</t>
  </si>
  <si>
    <t>XBOAE03538</t>
  </si>
  <si>
    <t>Ống cao su lưu hóa Aeroflex 35X38 (6S/T)</t>
  </si>
  <si>
    <t>XBOAE03838</t>
  </si>
  <si>
    <t>Ống cao su lưu hóa Aeroflex 38X38 (6S/T)</t>
  </si>
  <si>
    <t>XBOAE04238</t>
  </si>
  <si>
    <t>Ống cao su lưu hóa Aeroflex 42X38 (6S/T)</t>
  </si>
  <si>
    <t>XBOAE04538</t>
  </si>
  <si>
    <t>Ống cao su lưu hóa Aeroflex 45X38 (6S/T)</t>
  </si>
  <si>
    <t>XBOAE04838</t>
  </si>
  <si>
    <t>Ống cao su lưu hóa Aeroflex 48X38 (6S/T)</t>
  </si>
  <si>
    <t>XBOAE05138</t>
  </si>
  <si>
    <t>Ống cao su lưu hóa Aeroflex 51X38 (4S/T)</t>
  </si>
  <si>
    <t>XBOAE05438</t>
  </si>
  <si>
    <t>Ống cao su lưu hóa Aeroflex 54X38 (4S/T)</t>
  </si>
  <si>
    <t>XBOAE05738</t>
  </si>
  <si>
    <t>Ống cao su lưu hóa Aeroflex 57X38 (4S/T)</t>
  </si>
  <si>
    <t>XBOAE06038</t>
  </si>
  <si>
    <t>Ống cao su lưu hóa Aeroflex 60X38 (4S/T)</t>
  </si>
  <si>
    <t>XBOAE06438</t>
  </si>
  <si>
    <t>Ống cao su lưu hóa Aeroflex 64X38 (4S/T)</t>
  </si>
  <si>
    <t>XBOAE06738</t>
  </si>
  <si>
    <t>Ống cao su lưu hóa Aeroflex 67X38 (4S/T)</t>
  </si>
  <si>
    <t>XBOAE07338</t>
  </si>
  <si>
    <t>Ống cao su lưu hóa Aeroflex 73X38 (3S/T)</t>
  </si>
  <si>
    <t>XBOAE07638</t>
  </si>
  <si>
    <t>Ống cao su lưu hóa Aeroflex 76X38 (3S/T)</t>
  </si>
  <si>
    <t>XBOAE08038</t>
  </si>
  <si>
    <t>Ống cao su lưu hóa Aeroflex 80X38 (3S/T)</t>
  </si>
  <si>
    <t>XBOAE08338</t>
  </si>
  <si>
    <t>Ống cao su lưu hóa Aeroflex 83X38 (3S/T)</t>
  </si>
  <si>
    <t>XBOAE09038</t>
  </si>
  <si>
    <t>Ống cao su lưu hóa Aeroflex 90X38 (3S/T)</t>
  </si>
  <si>
    <t>XBOAE09238</t>
  </si>
  <si>
    <t>Ống cao su lưu hóa Aeroflex 92X38 (3S/T)</t>
  </si>
  <si>
    <t>XBOAE09838</t>
  </si>
  <si>
    <t>Ống cao su lưu hóa Aeroflex 98X38 (3S/T)</t>
  </si>
  <si>
    <t>XBOAE10238</t>
  </si>
  <si>
    <t>Ống cao su lưu hóa Aeroflex 102X38 (3S/T)</t>
  </si>
  <si>
    <t>XBOAE10538</t>
  </si>
  <si>
    <t>Ống cao su lưu hóa Aeroflex 105X38 (3S/T)</t>
  </si>
  <si>
    <t>XBOAE10938</t>
  </si>
  <si>
    <t>Ống cao su lưu hóa Aeroflex 109X38 (2S/T)</t>
  </si>
  <si>
    <t>XBOAE11538</t>
  </si>
  <si>
    <t>Ống cao su lưu hóa Aeroflex 115X38 (2S/T)</t>
  </si>
  <si>
    <t>XBOAE12738</t>
  </si>
  <si>
    <t>Ống cao su lưu hóa Aeroflex 127X38 (2S/T)</t>
  </si>
  <si>
    <t>XBOAE13038</t>
  </si>
  <si>
    <t>Ống cao su lưu hóa Aeroflex 130X38 (2S/T)</t>
  </si>
  <si>
    <t>XBOAE14038</t>
  </si>
  <si>
    <t>Ống cao su lưu hóa Aeroflex 140X38 (2S/T)</t>
  </si>
  <si>
    <t>XBOAE16538</t>
  </si>
  <si>
    <t>Ống cao su lưu hóa Aeroflex 165X38 (2S/T)</t>
  </si>
  <si>
    <t>XBOAE01050</t>
  </si>
  <si>
    <t>Ống cao su lưu hóa Aeroflex 10X50 (4S/T)</t>
  </si>
  <si>
    <t>XBOAE01350</t>
  </si>
  <si>
    <t>Ống cao su lưu hóa Aeroflex 13X50 (4S/T)</t>
  </si>
  <si>
    <t>XBOAE01650</t>
  </si>
  <si>
    <t>Ống cao su lưu hóa Aeroflex 16X50 (4S/T)</t>
  </si>
  <si>
    <t>XBOAE01950</t>
  </si>
  <si>
    <t>Ống cao su lưu hóa Aeroflex 19X50 (4S/T)</t>
  </si>
  <si>
    <t>XBOAE02250</t>
  </si>
  <si>
    <t>Ống cao su lưu hóa Aeroflex 22X50 (4S/T)</t>
  </si>
  <si>
    <t>XBOAE02550</t>
  </si>
  <si>
    <t>Ống cao su lưu hóa Aeroflex 25X50 (4S/T)</t>
  </si>
  <si>
    <t>XBOAE02850</t>
  </si>
  <si>
    <t>Ống cao su lưu hóa Aeroflex 28X50 (4S/T)</t>
  </si>
  <si>
    <t>XBOAE03250</t>
  </si>
  <si>
    <t>Ống cao su lưu hóa Aeroflex 32X50 (4S/T)</t>
  </si>
  <si>
    <t>XBOAE03550</t>
  </si>
  <si>
    <t>Ống cao su lưu hóa Aeroflex 35X50 (4S/T)</t>
  </si>
  <si>
    <t>XBOAE03850</t>
  </si>
  <si>
    <t>Ống cao su lưu hóa Aeroflex 38X50 (4S/T)</t>
  </si>
  <si>
    <t>XBOAE04250</t>
  </si>
  <si>
    <t>Ống cao su lưu hóa Aeroflex 42X50 (4S/T)</t>
  </si>
  <si>
    <t>XBOAE04550</t>
  </si>
  <si>
    <t>Ống cao su lưu hóa Aeroflex 45X50 (4S/T)</t>
  </si>
  <si>
    <t>XBOAE04850</t>
  </si>
  <si>
    <t>Ống cao su lưu hóa Aeroflex 48X50 (3S/T)</t>
  </si>
  <si>
    <t>XBOAE05150</t>
  </si>
  <si>
    <t>Ống cao su lưu hóa Aeroflex 51X50 (3S/T)</t>
  </si>
  <si>
    <t>XBOAE05450</t>
  </si>
  <si>
    <t>Ống cao su lưu hóa Aeroflex 54X50 (3S/T)</t>
  </si>
  <si>
    <t>XBOAE05750</t>
  </si>
  <si>
    <t>Ống cao su lưu hóa Aeroflex 57X50 (3S/T)</t>
  </si>
  <si>
    <t>XBOAE06050</t>
  </si>
  <si>
    <t>Ống cao su lưu hóa Aeroflex 60X50 (3S/T)</t>
  </si>
  <si>
    <t>XBOAE06450</t>
  </si>
  <si>
    <t>Ống cao su lưu hóa Aeroflex 64X50 (3S/T)</t>
  </si>
  <si>
    <t>XBOAE06750</t>
  </si>
  <si>
    <t>Ống cao su lưu hóa Aeroflex 67X50 (3S/T)</t>
  </si>
  <si>
    <t>XBOAE07350</t>
  </si>
  <si>
    <t>Ống cao su lưu hóa Aeroflex 73X50 (3S/T)</t>
  </si>
  <si>
    <t>XBOAE07650</t>
  </si>
  <si>
    <t>Ống cao su lưu hóa Aeroflex 76X50 (2S/T)</t>
  </si>
  <si>
    <t>XBOAE08050</t>
  </si>
  <si>
    <t>Ống cao su lưu hóa Aeroflex 80X50 (2S/T)</t>
  </si>
  <si>
    <t>XBOAE08350</t>
  </si>
  <si>
    <t>Ống cao su lưu hóa Aeroflex 83X50 (2S/T)</t>
  </si>
  <si>
    <t>XBOAE09050</t>
  </si>
  <si>
    <t>Ống cao su lưu hóa Aeroflex 90X50 (2S/T)</t>
  </si>
  <si>
    <t>XBOAE09250</t>
  </si>
  <si>
    <t>Ống cao su lưu hóa Aeroflex 92X50 (2S/T)</t>
  </si>
  <si>
    <t>XBOAE09850</t>
  </si>
  <si>
    <t>Ống cao su lưu hóa Aeroflex 98X50 (2S/T)</t>
  </si>
  <si>
    <t>XBOAE10250</t>
  </si>
  <si>
    <t>Ống cao su lưu hóa Aeroflex 102X50 (2S/T)</t>
  </si>
  <si>
    <t>XBOAE10550</t>
  </si>
  <si>
    <t>Ống cao su lưu hóa Aeroflex 105X50 (2S/T)</t>
  </si>
  <si>
    <t>XBOAE10950</t>
  </si>
  <si>
    <t>Ống cao su lưu hóa Aeroflex 109X50 (2S/T)</t>
  </si>
  <si>
    <t>XBOAE11550</t>
  </si>
  <si>
    <t>Ống cao su lưu hóa Aeroflex 115X50 (2S/T)</t>
  </si>
  <si>
    <t>XBOAE12750</t>
  </si>
  <si>
    <t>Ống cao su lưu hóa Aeroflex 127X50 (2S/T)</t>
  </si>
  <si>
    <t>XBOAE13050</t>
  </si>
  <si>
    <t>Ống cao su lưu hóa Aeroflex 130X50 (2S/T)</t>
  </si>
  <si>
    <t>XBOAE14050</t>
  </si>
  <si>
    <t>Ống cao su lưu hóa Aeroflex 140X50 (2S/T)</t>
  </si>
  <si>
    <t>XBOAE16550</t>
  </si>
  <si>
    <t>Ống cao su lưu hóa Aeroflex 165X50 (2S/T)</t>
  </si>
  <si>
    <t>Aeroflex Class 0</t>
  </si>
  <si>
    <t>AFFOM06X09</t>
  </si>
  <si>
    <t>Ống cao su lưu hóa Aeroflex Class 0 - 06X09 (132S/T)</t>
  </si>
  <si>
    <t>AFFOM10X09</t>
  </si>
  <si>
    <t>Ống cao su lưu hóa Aeroflex Class 0 - 10X09 (110S/T)</t>
  </si>
  <si>
    <t>AFFOM13X09</t>
  </si>
  <si>
    <t>Ống cao su lưu hóa Aeroflex Class 0 - 13X09 (84S/T)</t>
  </si>
  <si>
    <t>AFFOM16X09</t>
  </si>
  <si>
    <t>Ống cao su lưu hóa Aeroflex Class 0 - 16X09 (70S/T)</t>
  </si>
  <si>
    <t>AFFOM19X09</t>
  </si>
  <si>
    <t>Ống cao su lưu hóa Aeroflex Class 0 - 19X09 (60S/T)</t>
  </si>
  <si>
    <t>AFFOM22X09</t>
  </si>
  <si>
    <t>Ống cao su lưu hóa Aeroflex Class 0 - 22X09 (54S/T)</t>
  </si>
  <si>
    <t>AFFOM25X09</t>
  </si>
  <si>
    <t>Ống cao su lưu hóa Aeroflex Class 0 - 25X09 (44S/T)</t>
  </si>
  <si>
    <t>AFFOM28X09</t>
  </si>
  <si>
    <t>Ống cao su lưu hóa Aeroflex Class 0 - 28X09 (36S/T)</t>
  </si>
  <si>
    <t>AFFOM32X09</t>
  </si>
  <si>
    <t>Ống cao su lưu hóa Aeroflex Class 0 - 32X09 (34S/T)</t>
  </si>
  <si>
    <t>AFFOM35X09</t>
  </si>
  <si>
    <t>Ống cao su lưu hóa Aeroflex Class 0 - 35X09 (32S/T)</t>
  </si>
  <si>
    <t>AFFOM42X09</t>
  </si>
  <si>
    <t>Ống cao su lưu hóa Aeroflex Class 0 - 42X09 (28S/T)</t>
  </si>
  <si>
    <t>AFFOM48X09</t>
  </si>
  <si>
    <t>Ống cao su lưu hóa Aeroflex Class 0 - 48X09 (20S/T)</t>
  </si>
  <si>
    <t>AFFOM54X09</t>
  </si>
  <si>
    <t>Ống cao su lưu hóa Aeroflex Class 0 - 54X09 (18S/T)</t>
  </si>
  <si>
    <t>AFFOM60X09</t>
  </si>
  <si>
    <t>Ống cao su lưu hóa Aeroflex Class 0 - 60X09 (18S/T)</t>
  </si>
  <si>
    <t>AFFOM06X13</t>
  </si>
  <si>
    <t>Ống cao su lưu hóa Aeroflex Class 0 - 06X13 (80S/T)</t>
  </si>
  <si>
    <t>AFFOM10X13</t>
  </si>
  <si>
    <t>Ống cao su lưu hóa Aeroflex Class 0 - 10X13 (70S/T)</t>
  </si>
  <si>
    <t>AFFOM13X13</t>
  </si>
  <si>
    <t>Ống cao su lưu hóa Aeroflex Class 0 - 13X13 (60S/T)</t>
  </si>
  <si>
    <t>AFFOM16X13</t>
  </si>
  <si>
    <t>Ống cao su lưu hóa Aeroflex Class 0 - 16X13 (50S/T)</t>
  </si>
  <si>
    <t>AFFOM19X13</t>
  </si>
  <si>
    <t>Ống cao su lưu hóa Aeroflex Class 0 - 19X13 (40S/T)</t>
  </si>
  <si>
    <t>AFFOM22X13</t>
  </si>
  <si>
    <t>Ống cao su lưu hóa Aeroflex Class 0 - 22X13 (32S/T)</t>
  </si>
  <si>
    <t>AFFOM25X13</t>
  </si>
  <si>
    <t>Ống cao su lưu hóa Aeroflex Class 0 - 25X13 (30S/T)</t>
  </si>
  <si>
    <t>AFFOM28X13</t>
  </si>
  <si>
    <t>Ống cao su lưu hóa Aeroflex Class 0 - 28X13 (28S/T)</t>
  </si>
  <si>
    <t>AFFOM32X13</t>
  </si>
  <si>
    <t>Ống cao su lưu hóa Aeroflex Class 0 - 32X13 (24S/T)</t>
  </si>
  <si>
    <t>AFFOM35X13</t>
  </si>
  <si>
    <t>Ống cao su lưu hóa Aeroflex Class 0 - 35X13 (20S/T)</t>
  </si>
  <si>
    <t>AFFOM38X13</t>
  </si>
  <si>
    <t>Ống cao su lưu hóa Aeroflex Class 0 - 38X13 (18S/T)</t>
  </si>
  <si>
    <t>AFFOM42X13</t>
  </si>
  <si>
    <t>Ống cao su lưu hóa Aeroflex Class 0 - 42X13 (18S/T)</t>
  </si>
  <si>
    <t>AFFOM45X13</t>
  </si>
  <si>
    <t>Ống cao su lưu hóa Aeroflex Class 0 - 45X13 (18S/T)</t>
  </si>
  <si>
    <t>AFFOM48X13</t>
  </si>
  <si>
    <t>Ống cao su lưu hóa Aeroflex Class 0 - 48X13 (16S/T)</t>
  </si>
  <si>
    <t>AFFOM51X13</t>
  </si>
  <si>
    <t>Ống cao su lưu hóa Aeroflex Class 0 - 51X13 (14S/T)</t>
  </si>
  <si>
    <t>AFFOM54X13</t>
  </si>
  <si>
    <t>Ống cao su lưu hóa Aeroflex Class 0 - 54X13 (14S/T)</t>
  </si>
  <si>
    <t>AFFOM57X13</t>
  </si>
  <si>
    <t>Ống cao su lưu hóa Aeroflex Class 0 - 57X13 (14S/T)</t>
  </si>
  <si>
    <t>AFFOM60X13</t>
  </si>
  <si>
    <t>Ống cao su lưu hóa Aeroflex Class 0 - 60X13 (12S/T)</t>
  </si>
  <si>
    <t>AFFOM64X13</t>
  </si>
  <si>
    <t>Ống cao su lưu hóa Aeroflex Class 0 - 64X13 (10S/T)</t>
  </si>
  <si>
    <t>AFFOM67X13</t>
  </si>
  <si>
    <t>Ống cao su lưu hóa Aeroflex Class 0 - 67X13 (10S/T)</t>
  </si>
  <si>
    <t>AFFOM73X13</t>
  </si>
  <si>
    <t>Ống cao su lưu hóa Aeroflex Class 0 - 73X13 (10S/T)</t>
  </si>
  <si>
    <t>AFFOM76X13</t>
  </si>
  <si>
    <t>Ống cao su lưu hóa Aeroflex Class 0 - 76X13 (8S/T)</t>
  </si>
  <si>
    <t>AFFOM80X13</t>
  </si>
  <si>
    <t>Ống cao su lưu hóa Aeroflex Class 0 - 80X13 (8S/T)</t>
  </si>
  <si>
    <t>AFFOM83X13</t>
  </si>
  <si>
    <t>Ống cao su lưu hóa Aeroflex Class 0 - 83X13 (8S/T)</t>
  </si>
  <si>
    <t>AFFOM90X13</t>
  </si>
  <si>
    <t>Ống cao su lưu hóa Aeroflex Class 0 - 90X13 (8S/T)</t>
  </si>
  <si>
    <t>AFFOM92X13</t>
  </si>
  <si>
    <t>Ống cao su lưu hóa Aeroflex Class 0 - 92X13 (8S/T)</t>
  </si>
  <si>
    <t>AFFOM98X13</t>
  </si>
  <si>
    <t>Ống cao su lưu hóa Aeroflex Class 0 - 98X13 (8S/T)</t>
  </si>
  <si>
    <t>AFFOM102X13</t>
  </si>
  <si>
    <t>Ống cao su lưu hóa Aeroflex Class 0 - 102X13 (8S/T)</t>
  </si>
  <si>
    <t>AFFOM105X13</t>
  </si>
  <si>
    <t>Ống cao su lưu hóa Aeroflex Class 0 - 105X13 (8S/T)</t>
  </si>
  <si>
    <t>AFFOM109X13</t>
  </si>
  <si>
    <t>Ống cao su lưu hóa Aeroflex Class 0 - 109X13 (6S/T)</t>
  </si>
  <si>
    <t>AFFOM115X13</t>
  </si>
  <si>
    <t>Ống cao su lưu hóa Aeroflex Class 0 - 115X13 (6S/T)</t>
  </si>
  <si>
    <t>AFFOM127X13</t>
  </si>
  <si>
    <t>Ống cao su lưu hóa Aeroflex Class 0 - 127X13 (6S/T)</t>
  </si>
  <si>
    <t>AFFOM130X13</t>
  </si>
  <si>
    <t>Ống cao su lưu hóa Aeroflex Class 0 - 130X13 (4S/T)</t>
  </si>
  <si>
    <t>AFFOM140X13</t>
  </si>
  <si>
    <t>Ống cao su lưu hóa Aeroflex Class 0 - 140X13 (4S/T)</t>
  </si>
  <si>
    <t>AFFOM165X13</t>
  </si>
  <si>
    <t>Ống cao su lưu hóa Aeroflex Class 0 - 165X13 (4S/T)</t>
  </si>
  <si>
    <t>AFFOM06X19</t>
  </si>
  <si>
    <t>Ống cao su lưu hóa Aeroflex Class 0 - 06X19 (32S/T)</t>
  </si>
  <si>
    <t>AFFOM10X19</t>
  </si>
  <si>
    <t>Ống cao su lưu hóa Aeroflex Class 0 - 10X19 (32S/T)</t>
  </si>
  <si>
    <t>AFFOM13X19</t>
  </si>
  <si>
    <t>Ống cao su lưu hóa Aeroflex Class 0 - 13X19 (32S/T)</t>
  </si>
  <si>
    <t>AFFOM16X19</t>
  </si>
  <si>
    <t>Ống cao su lưu hóa Aeroflex Class 0 - 16X19 (28S/T)</t>
  </si>
  <si>
    <t>AFFOM19X19</t>
  </si>
  <si>
    <t>Ống cao su lưu hóa Aeroflex Class 0 - 19X19 (24S/T)</t>
  </si>
  <si>
    <t>AFFOM22X19</t>
  </si>
  <si>
    <t>Ống cao su lưu hóa Aeroflex Class 0 - 22X19 (20S/T)</t>
  </si>
  <si>
    <t>AFFOM25X19</t>
  </si>
  <si>
    <t>Ống cao su lưu hóa Aeroflex Class 0 - 25X19 (18S/T)</t>
  </si>
  <si>
    <t>AFFOM28X19</t>
  </si>
  <si>
    <t>Ống cao su lưu hóa Aeroflex Class 0 - 28X19 (18S/T)</t>
  </si>
  <si>
    <t>AFFOM32X19</t>
  </si>
  <si>
    <t>Ống cao su lưu hóa Aeroflex Class 0 - 32X19 (18S/T)</t>
  </si>
  <si>
    <t>AFFOM35X19</t>
  </si>
  <si>
    <t>Ống cao su lưu hóa Aeroflex Class 0 - 35X19 (16S/T)</t>
  </si>
  <si>
    <t>AFFOM38X19</t>
  </si>
  <si>
    <t>Ống cao su lưu hóa Aeroflex Class 0 - 38X19 (16S/T)</t>
  </si>
  <si>
    <t>AFFOM42X19</t>
  </si>
  <si>
    <t>Ống cao su lưu hóa Aeroflex Class 0 - 42X19 (12S/T)</t>
  </si>
  <si>
    <t>AFFOM45X19</t>
  </si>
  <si>
    <t>Ống cao su lưu hóa Aeroflex Class 0 - 45X19 (10S/T)</t>
  </si>
  <si>
    <t>AFFOM48X19</t>
  </si>
  <si>
    <t>Ống cao su lưu hóa Aeroflex Class 0 - 48X19 (10S/T)</t>
  </si>
  <si>
    <t>AFFOM51X19</t>
  </si>
  <si>
    <t>Ống cao su lưu hóa Aeroflex Class 0 - 51X19 (8S/T)</t>
  </si>
  <si>
    <t>AFFOM54X19</t>
  </si>
  <si>
    <t>Ống cao su lưu hóa Aeroflex Class 0 - 54X19 (8S/T)</t>
  </si>
  <si>
    <t>AFFOM57X19</t>
  </si>
  <si>
    <t>Ống cao su lưu hóa Aeroflex Class 0 - 57X19 (8S/T)</t>
  </si>
  <si>
    <t>AFFOM60X19</t>
  </si>
  <si>
    <t>Ống cao su lưu hóa Aeroflex Class 0 - 60X19 (8S/T)</t>
  </si>
  <si>
    <t>AFFOM64X19</t>
  </si>
  <si>
    <t>Ống cao su lưu hóa Aeroflex Class 0 - 64X19 (8S/T)</t>
  </si>
  <si>
    <t>AFFOM67X19</t>
  </si>
  <si>
    <t>Ống cao su lưu hóa Aeroflex Class 0 - 67X19 (8S/T)</t>
  </si>
  <si>
    <t>AFFOM73X19</t>
  </si>
  <si>
    <t>Ống cao su lưu hóa Aeroflex Class 0 - 73X19 (6S/T)</t>
  </si>
  <si>
    <t>AFFOM76X19</t>
  </si>
  <si>
    <t>Ống cao su lưu hóa Aeroflex Class 0 - 76X19 (6S/T)</t>
  </si>
  <si>
    <t>AFFOM80X19</t>
  </si>
  <si>
    <t>Ống cao su lưu hóa Aeroflex Class 0 - 80X19 (6S/T)</t>
  </si>
  <si>
    <t>AFFOM83X19</t>
  </si>
  <si>
    <t>Ống cao su lưu hóa Aeroflex Class 0 - 83X19 (6S/T)</t>
  </si>
  <si>
    <t>AFFOM90X19</t>
  </si>
  <si>
    <t>Ống cao su lưu hóa Aeroflex Class 0 - 90X19 (6S/T)</t>
  </si>
  <si>
    <t>AFFOM92X19</t>
  </si>
  <si>
    <t>Ống cao su lưu hóa Aeroflex Class 0 - 92X19 (6S/T)</t>
  </si>
  <si>
    <t>AFFOM98X19</t>
  </si>
  <si>
    <t>Ống cao su lưu hóa Aeroflex Class 0 - 98X19 (4S/T)</t>
  </si>
  <si>
    <t>AFFOM102X19</t>
  </si>
  <si>
    <t>Ống cao su lưu hóa Aeroflex Class 0 - 102X19 (4S/T)</t>
  </si>
  <si>
    <t>AFFOM105X19</t>
  </si>
  <si>
    <t>Ống cao su lưu hóa Aeroflex Class 0 - 105X19 (4S/T)</t>
  </si>
  <si>
    <t>AFFOM109X19</t>
  </si>
  <si>
    <t>Ống cao su lưu hóa Aeroflex Class 0 - 109X19 (4S/T)</t>
  </si>
  <si>
    <t>AFFOM115X19</t>
  </si>
  <si>
    <t>Ống cao su lưu hóa Aeroflex Class 0 - 115X19 (4S/T)</t>
  </si>
  <si>
    <t>AFFOM127X19</t>
  </si>
  <si>
    <t>Ống cao su lưu hóa Aeroflex Class 0 - 127X19 (4S/T)</t>
  </si>
  <si>
    <t>AFFOM130X19</t>
  </si>
  <si>
    <t>Ống cao su lưu hóa Aeroflex Class 0 - 130X19 (4S/T)</t>
  </si>
  <si>
    <t>AFFOM140X19</t>
  </si>
  <si>
    <t>Ống cao su lưu hóa Aeroflex Class 0 - 140X19 (4S/T)</t>
  </si>
  <si>
    <t>AFFOM165X19</t>
  </si>
  <si>
    <t>Ống cao su lưu hóa Aeroflex Class 0 - 165X19 (2S/T)</t>
  </si>
  <si>
    <t>AFFOM06X25</t>
  </si>
  <si>
    <t>Ống cao su lưu hóa Aeroflex Class 0 - 06X25 (24S/T)</t>
  </si>
  <si>
    <t>AFFOM10X25</t>
  </si>
  <si>
    <t>Ống cao su lưu hóa Aeroflex Class 0 - 10X25 (24S/T)</t>
  </si>
  <si>
    <t>AFFOM13X25</t>
  </si>
  <si>
    <t>Ống cao su lưu hóa Aeroflex Class 0 - 13X25 (20S/T)</t>
  </si>
  <si>
    <t>AFFOM16X25</t>
  </si>
  <si>
    <t>Ống cao su lưu hóa Aeroflex Class 0 - 16X25 (18S/T)</t>
  </si>
  <si>
    <t>AFFOM19X25</t>
  </si>
  <si>
    <t>Ống cao su lưu hóa Aeroflex Class 0 - 19X25 (18S/T)</t>
  </si>
  <si>
    <t>AFFOM22X25</t>
  </si>
  <si>
    <t>Ống cao su lưu hóa Aeroflex Class 0 - 22X25 (16S/T)</t>
  </si>
  <si>
    <t>AFFOM25X25</t>
  </si>
  <si>
    <t>Ống cao su lưu hóa Aeroflex Class 0 - 25X25 (12S/T)</t>
  </si>
  <si>
    <t>AFFOM28X25</t>
  </si>
  <si>
    <t>Ống cao su lưu hóa Aeroflex Class 0 - 28X25 (12S/T)</t>
  </si>
  <si>
    <t>AFFOM32X25</t>
  </si>
  <si>
    <t>Ống cao su lưu hóa Aeroflex Class 0 - 32X25 (12S/T)</t>
  </si>
  <si>
    <t>AFFOM35X25</t>
  </si>
  <si>
    <t>Ống cao su lưu hóa Aeroflex Class 0 - 35X25 (10S/T)</t>
  </si>
  <si>
    <t>AFFOM38X25</t>
  </si>
  <si>
    <t>Ống cao su lưu hóa Aeroflex Class 0 - 38X25 (10S/T)</t>
  </si>
  <si>
    <t>AFFOM42X25</t>
  </si>
  <si>
    <t>Ống cao su lưu hóa Aeroflex Class 0 - 42X25 (8S/T)</t>
  </si>
  <si>
    <t>AFFOM45X25</t>
  </si>
  <si>
    <t>Ống cao su lưu hóa Aeroflex Class 0 - 45X25 (8S/T)</t>
  </si>
  <si>
    <t>AFFOM48X25</t>
  </si>
  <si>
    <t>Ống cao su lưu hóa Aeroflex Class 0 - 48X25 (8S/T)</t>
  </si>
  <si>
    <t>AFFOM54X25</t>
  </si>
  <si>
    <t>Ống cao su lưu hóa Aeroflex Class 0 - 54X25 (8S/T)</t>
  </si>
  <si>
    <t>AFFOM57X25</t>
  </si>
  <si>
    <t>Ống cao su lưu hóa Aeroflex Class 0 - 57X25 (8S/T)</t>
  </si>
  <si>
    <t>AFFOM60X25</t>
  </si>
  <si>
    <t>Ống cao su lưu hóa Aeroflex Class 0 - 60X25 (6S/T)</t>
  </si>
  <si>
    <t>AFFOM64X25</t>
  </si>
  <si>
    <t>Ống cao su lưu hóa Aeroflex Class 0 - 64X25 (6S/T)</t>
  </si>
  <si>
    <t>AFFOM67X25</t>
  </si>
  <si>
    <t>Ống cao su lưu hóa Aeroflex Class 0 - 67X25 (6S/T)</t>
  </si>
  <si>
    <t>AFFOM73X25</t>
  </si>
  <si>
    <t>Ống cao su lưu hóa Aeroflex Class 0 - 73X25 (6S/T)</t>
  </si>
  <si>
    <t>AFFOM76X25</t>
  </si>
  <si>
    <t>Ống cao su lưu hóa Aeroflex Class 0 - 76X25 (6S/T)</t>
  </si>
  <si>
    <t>AFFOM80X25</t>
  </si>
  <si>
    <t>Ống cao su lưu hóa Aeroflex Class 0 - 80X25 (6S/T)</t>
  </si>
  <si>
    <t>AFFOM83X25</t>
  </si>
  <si>
    <t>Ống cao su lưu hóa Aeroflex Class 0 - 83X25 (6S/T)</t>
  </si>
  <si>
    <t>AFFOM90X25</t>
  </si>
  <si>
    <t>Ống cao su lưu hóa Aeroflex Class 0 - 90X25 (4S/T)</t>
  </si>
  <si>
    <t>AFFOM92X25</t>
  </si>
  <si>
    <t>Ống cao su lưu hóa Aeroflex Class 0 - 92X25 (4S/T)</t>
  </si>
  <si>
    <t>AFFOM98X25</t>
  </si>
  <si>
    <t>Ống cao su lưu hóa Aeroflex Class 0 - 98X25 (4S/T)</t>
  </si>
  <si>
    <t>AFFOM102X25</t>
  </si>
  <si>
    <t>Ống cao su lưu hóa Aeroflex Class 0 - 102X25 (4S/T)</t>
  </si>
  <si>
    <t>AFFOM105X25</t>
  </si>
  <si>
    <t>Ống cao su lưu hóa Aeroflex Class 0 - 105X25 (4S/T)</t>
  </si>
  <si>
    <t>AFFOM109X25</t>
  </si>
  <si>
    <t>Ống cao su lưu hóa Aeroflex Class 0 - 109X25 (4S/T)</t>
  </si>
  <si>
    <t>AFFOM115X25</t>
  </si>
  <si>
    <t>Ống cao su lưu hóa Aeroflex Class 0 - 115X25 (4S/T)</t>
  </si>
  <si>
    <t>AFFOM127X25</t>
  </si>
  <si>
    <t>Ống cao su lưu hóa Aeroflex Class 0 - 127X25 (4S/T)</t>
  </si>
  <si>
    <t>AFFOM130X25</t>
  </si>
  <si>
    <t>Ống cao su lưu hóa Aeroflex Class 0 - 130X25 (2S/T)</t>
  </si>
  <si>
    <t>AFFOM140X25</t>
  </si>
  <si>
    <t>Ống cao su lưu hóa Aeroflex Class 0 - 140X25 (2S/T)</t>
  </si>
  <si>
    <t>AFFOM165X25</t>
  </si>
  <si>
    <t>Ống cao su lưu hóa Aeroflex Class 0 - 165X25 (2S/T)</t>
  </si>
  <si>
    <t>AFFOM06X32</t>
  </si>
  <si>
    <t>Ống cao su lưu hóa Aeroflex Class 0 - 06X32 (15S/T)</t>
  </si>
  <si>
    <t>AFFOM10X32</t>
  </si>
  <si>
    <t>Ống cao su lưu hóa Aeroflex Class 0 - 10X32 (14S/T)</t>
  </si>
  <si>
    <t>AFFOM13X32</t>
  </si>
  <si>
    <t>Ống cao su lưu hóa Aeroflex Class 0 - 13X32 (14S/T)</t>
  </si>
  <si>
    <t>AFFOM16X32</t>
  </si>
  <si>
    <t>Ống cao su lưu hóa Aeroflex Class 0 - 16X32 (14S/T)</t>
  </si>
  <si>
    <t>XTS-OTD</t>
  </si>
  <si>
    <t>XBOTS016X09</t>
  </si>
  <si>
    <t>Ống cao su lưu hóa Taisei 16x09 (100S/T)</t>
  </si>
  <si>
    <t>XBOTS019X09</t>
  </si>
  <si>
    <t>Ống cao su lưu hóa Taisei 19x09 (80S/T)</t>
  </si>
  <si>
    <t>XBOTS019X19</t>
  </si>
  <si>
    <t>Ống cao su lưu hóa Taisei 19x19</t>
  </si>
  <si>
    <t>J-Flex Malaysia</t>
  </si>
  <si>
    <t>XJFLEX</t>
  </si>
  <si>
    <t>XBOJ006X09</t>
  </si>
  <si>
    <t>Xốp bảo ôn Malaysia J-Flex 6X9 (195 sợi/thùng)</t>
  </si>
  <si>
    <t>Xốp bảo ôn Malaysia J-Flex 10X9 (140 sợi/thùng)</t>
  </si>
  <si>
    <t>Xốp bảo ôn Malaysia J-Flex 13X9 (120 sợi/thùng)</t>
  </si>
  <si>
    <t>Xốp bảo ôn Malaysia J-Flex 16X9 (100 sợi/thùng)</t>
  </si>
  <si>
    <t>XBOJ019X09</t>
  </si>
  <si>
    <t>Xốp bảo ôn Malaysia J-Flex 19X9 (80 sợi/thùng)</t>
  </si>
  <si>
    <t>AFFOM19X32</t>
  </si>
  <si>
    <t>Ống cao su lưu hóa Aeroflex Class 0 - 19X32 (12S/T)</t>
  </si>
  <si>
    <t>AFFOM22X32</t>
  </si>
  <si>
    <t>Ống cao su lưu hóa Aeroflex Class 0 - 22X32 (12S/T)</t>
  </si>
  <si>
    <t>AFFOM25X32</t>
  </si>
  <si>
    <t>Ống cao su lưu hóa Aeroflex Class 0 - 25X32 (10S/T)</t>
  </si>
  <si>
    <t>AFFOM28X32</t>
  </si>
  <si>
    <t>Ống cao su lưu hóa Aeroflex Class 0 - 28X32 (8S/T)</t>
  </si>
  <si>
    <t>AFFOM32X32</t>
  </si>
  <si>
    <t>Ống cao su lưu hóa Aeroflex Class 0 - 32X32 (8S/T)</t>
  </si>
  <si>
    <t>AFFOM35X32</t>
  </si>
  <si>
    <t>Ống cao su lưu hóa Aeroflex Class 0 - 35X32 (8S/T)</t>
  </si>
  <si>
    <t>AFFOM38X32</t>
  </si>
  <si>
    <t>Ống cao su lưu hóa Aeroflex Class 0 - 38X32 (8S/T)</t>
  </si>
  <si>
    <t>AFFOM42X32</t>
  </si>
  <si>
    <t>Ống cao su lưu hóa Aeroflex Class 0 - 42X32 (8S/T)</t>
  </si>
  <si>
    <t>AFFOM45X32</t>
  </si>
  <si>
    <t>Ống cao su lưu hóa Aeroflex Class 0 - 45X32 (8S/T)</t>
  </si>
  <si>
    <t>AFFOM48X32</t>
  </si>
  <si>
    <t>Ống cao su lưu hóa Aeroflex Class 0 - 48X32 (6S/T)</t>
  </si>
  <si>
    <t>AFFOM51X32</t>
  </si>
  <si>
    <t>Ống cao su lưu hóa Aeroflex Class 0 - 51X32 (6S/T)</t>
  </si>
  <si>
    <t>AFFOM54X32</t>
  </si>
  <si>
    <t>Ống cao su lưu hóa Aeroflex Class 0 - 54X32 (6S/T)</t>
  </si>
  <si>
    <t>AFFOM57X32</t>
  </si>
  <si>
    <t>Ống cao su lưu hóa Aeroflex Class 0 - 57X32 (6S/T)</t>
  </si>
  <si>
    <t>AFFOM60X32</t>
  </si>
  <si>
    <t>Ống cao su lưu hóa Aeroflex Class 0 - 60X32 (4S/T)</t>
  </si>
  <si>
    <t>AFFOM64X32</t>
  </si>
  <si>
    <t>Ống cao su lưu hóa Aeroflex Class 0 - 64X32 (4S/T)</t>
  </si>
  <si>
    <t>AFFOM67X32</t>
  </si>
  <si>
    <t>Ống cao su lưu hóa Aeroflex Class 0 - 67X32 (4S/T)</t>
  </si>
  <si>
    <t>AFFOM73X32</t>
  </si>
  <si>
    <t>Ống cao su lưu hóa Aeroflex Class 0 - 73X32 (4S/T)</t>
  </si>
  <si>
    <t>AFFOM76X32</t>
  </si>
  <si>
    <t>Ống cao su lưu hóa Aeroflex Class 0 - 76X32 (4S/T)</t>
  </si>
  <si>
    <t>AFFOM80X32</t>
  </si>
  <si>
    <t>Ống cao su lưu hóa Aeroflex Class 0 - 80X32 (4S/T)</t>
  </si>
  <si>
    <t>AFFOM83X32</t>
  </si>
  <si>
    <t>Ống cao su lưu hóa Aeroflex Class 0 - 83X32 (4S/T)</t>
  </si>
  <si>
    <t>AFFOM90X32</t>
  </si>
  <si>
    <t>Ống cao su lưu hóa Aeroflex Class 0 - 90X32 (4S/T)</t>
  </si>
  <si>
    <t>AFFOM92X32</t>
  </si>
  <si>
    <t>Ống cao su lưu hóa Aeroflex Class 0 - 92X32 (4S/T)</t>
  </si>
  <si>
    <t>AFFOM98X32</t>
  </si>
  <si>
    <t>Ống cao su lưu hóa Aeroflex Class 0 - 98X32 (2S/T)</t>
  </si>
  <si>
    <t>AFFOM102X32</t>
  </si>
  <si>
    <t>Ống cao su lưu hóa Aeroflex Class 0 - 102X32 (2S/T)</t>
  </si>
  <si>
    <t>AFFOM105X32</t>
  </si>
  <si>
    <t>Ống cao su lưu hóa Aeroflex Class 0 - 105X32 (2S/T)</t>
  </si>
  <si>
    <t>AFFOM109X32</t>
  </si>
  <si>
    <t>Ống cao su lưu hóa Aeroflex Class 0 - 109X32 (2S/T)</t>
  </si>
  <si>
    <t>AFFOM115X32</t>
  </si>
  <si>
    <t>Ống cao su lưu hóa Aeroflex Class 0 - 115X32 (2S/T)</t>
  </si>
  <si>
    <t>AFFOM127X32</t>
  </si>
  <si>
    <t>Ống cao su lưu hóa Aeroflex Class 0 - 127X32 (2S/T)</t>
  </si>
  <si>
    <t>AFFOM130X32</t>
  </si>
  <si>
    <t>Ống cao su lưu hóa Aeroflex Class 0 - 130X32 (2S/T)</t>
  </si>
  <si>
    <t>AFFOM140X32</t>
  </si>
  <si>
    <t>Ống cao su lưu hóa Aeroflex Class 0 - 140X32 (2S/T)</t>
  </si>
  <si>
    <t>AFFOM165X32</t>
  </si>
  <si>
    <t>Ống cao su lưu hóa Aeroflex Class 0 - 165X32 (2S/T)</t>
  </si>
  <si>
    <t>AFFOM06X38</t>
  </si>
  <si>
    <t>Ống cao su lưu hóa Aeroflex Class 0 - 06X38 (10S/T)</t>
  </si>
  <si>
    <t>AFFOM10X38</t>
  </si>
  <si>
    <t>Ống cao su lưu hóa Aeroflex Class 0 - 10X38 (10S/T)</t>
  </si>
  <si>
    <t>AFFOM13X38</t>
  </si>
  <si>
    <t>Ống cao su lưu hóa Aeroflex Class 0 - 13X38 (10S/T)</t>
  </si>
  <si>
    <t>AFFOM16X38</t>
  </si>
  <si>
    <t>Ống cao su lưu hóa Aeroflex Class 0 - 16X38 (8S/T)</t>
  </si>
  <si>
    <t>AFFOM19X38</t>
  </si>
  <si>
    <t>Ống cao su lưu hóa Aeroflex Class 0 - 19X38 (8S/T)</t>
  </si>
  <si>
    <t>AFFOM22X38</t>
  </si>
  <si>
    <t>Ống cao su lưu hóa Aeroflex Class 0 - 22X38 (8S/T)</t>
  </si>
  <si>
    <t>AFFOM25X38</t>
  </si>
  <si>
    <t>Ống cao su lưu hóa Aeroflex Class 0 - 25X38 (8S/T)</t>
  </si>
  <si>
    <t>AFFOM28X38</t>
  </si>
  <si>
    <t>Ống cao su lưu hóa Aeroflex Class 0 - 28X38 (8S/T)</t>
  </si>
  <si>
    <t>AFFOM32X38</t>
  </si>
  <si>
    <t>Ống cao su lưu hóa Aeroflex Class 0 - 32X38 (8S/T)</t>
  </si>
  <si>
    <t>AFFOM35X38</t>
  </si>
  <si>
    <t>Ống cao su lưu hóa Aeroflex Class 0 - 35X38 (6S/T)</t>
  </si>
  <si>
    <t>AFFOM38X38</t>
  </si>
  <si>
    <t>Ống cao su lưu hóa Aeroflex Class 0 - 38X38 (6S/T)</t>
  </si>
  <si>
    <t>AFFOM42X38</t>
  </si>
  <si>
    <t>Ống cao su lưu hóa Aeroflex Class 0 - 42X38 (6S/T)</t>
  </si>
  <si>
    <t>AFFOM45X38</t>
  </si>
  <si>
    <t>Ống cao su lưu hóa Aeroflex Class 0 - 45X38 (6S/T)</t>
  </si>
  <si>
    <t>AFFOM48X38</t>
  </si>
  <si>
    <t>Ống cao su lưu hóa Aeroflex Class 0 - 48X38 (6S/T)</t>
  </si>
  <si>
    <t>AFFOM51X38</t>
  </si>
  <si>
    <t>Ống cao su lưu hóa Aeroflex Class 0 - 51X38 (4S/T)</t>
  </si>
  <si>
    <t>AFFOM54X38</t>
  </si>
  <si>
    <t>Ống cao su lưu hóa Aeroflex Class 0 - 54X38 (4S/T)</t>
  </si>
  <si>
    <t>AFFOM57X38</t>
  </si>
  <si>
    <t>Ống cao su lưu hóa Aeroflex Class 0 - 57X38 (4S/T)</t>
  </si>
  <si>
    <t>AFFOM60X38</t>
  </si>
  <si>
    <t>Ống cao su lưu hóa Aeroflex Class 0 - 60X38 (4S/T)</t>
  </si>
  <si>
    <t>AFFOM64X38</t>
  </si>
  <si>
    <t>Ống cao su lưu hóa Aeroflex Class 0 - 64X38 (4S/T)</t>
  </si>
  <si>
    <t>AFFOM67X38</t>
  </si>
  <si>
    <t>Ống cao su lưu hóa Aeroflex Class 0 - 67X38 (4S/T)</t>
  </si>
  <si>
    <t>AFFOM73X38</t>
  </si>
  <si>
    <t>Ống cao su lưu hóa Aeroflex Class 0 - 73X38 (4S/T)</t>
  </si>
  <si>
    <t>AFFOM76X38</t>
  </si>
  <si>
    <t>Ống cao su lưu hóa Aeroflex Class 0 - 76X38 (3S/T)</t>
  </si>
  <si>
    <t>AFFOM80X38</t>
  </si>
  <si>
    <t>Ống cao su lưu hóa Aeroflex Class 0 - 80X38 (3S/T)</t>
  </si>
  <si>
    <t>AFFOM83X38</t>
  </si>
  <si>
    <t>Ống cao su lưu hóa Aeroflex Class 0 - 83X38 (3S/T)</t>
  </si>
  <si>
    <t>AFFOM90X38</t>
  </si>
  <si>
    <t>Ống cao su lưu hóa Aeroflex Class 0 - 90X38 (3S/T)</t>
  </si>
  <si>
    <t>AFFOM92X38</t>
  </si>
  <si>
    <t>Ống cao su lưu hóa Aeroflex Class 0 - 92X38 (3S/T)</t>
  </si>
  <si>
    <t>AFFOM98X38</t>
  </si>
  <si>
    <t>Ống cao su lưu hóa Aeroflex Class 0 - 98X38 (3S/T)</t>
  </si>
  <si>
    <t>AFFOM102X38</t>
  </si>
  <si>
    <t>Ống cao su lưu hóa Aeroflex Class 0 - 102X38 (2S/T)</t>
  </si>
  <si>
    <t>AFFOM105X38</t>
  </si>
  <si>
    <t>Ống cao su lưu hóa Aeroflex Class 0 - 105X38 (2S/T)</t>
  </si>
  <si>
    <t>AFFOM109X38</t>
  </si>
  <si>
    <t>Ống cao su lưu hóa Aeroflex Class 0 - 109X38 (2S/T)</t>
  </si>
  <si>
    <t>AFFOM115X38</t>
  </si>
  <si>
    <t>Ống cao su lưu hóa Aeroflex Class 0 - 115X38 (2S/T)</t>
  </si>
  <si>
    <t>AFFOM127X38</t>
  </si>
  <si>
    <t>Ống cao su lưu hóa Aeroflex Class 0 - 127X38 (2S/T)</t>
  </si>
  <si>
    <t>AFFOM130X38</t>
  </si>
  <si>
    <t>Ống cao su lưu hóa Aeroflex Class 0 - 130X38 (2S/T)</t>
  </si>
  <si>
    <t>AFFOM140X38</t>
  </si>
  <si>
    <t>Ống cao su lưu hóa Aeroflex Class 0 - 140X38 (2S/T)</t>
  </si>
  <si>
    <t>AFFOM165X38</t>
  </si>
  <si>
    <t>Ống cao su lưu hóa Aeroflex Class 0 - 165X38 (2S/T)</t>
  </si>
  <si>
    <t>AFFOM10X50</t>
  </si>
  <si>
    <t>Ống cao su lưu hóa Aeroflex Class 0 - 10X50 (4S/T)</t>
  </si>
  <si>
    <t>AFFOM13X50</t>
  </si>
  <si>
    <t>Ống cao su lưu hóa Aeroflex Class 0 - 13X50 (4S/T)</t>
  </si>
  <si>
    <t>AFFOM16X50</t>
  </si>
  <si>
    <t>Ống cao su lưu hóa Aeroflex Class 0 - 16X50 (4S/T)</t>
  </si>
  <si>
    <t>AFFOM19X50</t>
  </si>
  <si>
    <t>Ống cao su lưu hóa Aeroflex Class 0 - 19X50 (4S/T)</t>
  </si>
  <si>
    <t>AFFOM22X50</t>
  </si>
  <si>
    <t>Ống cao su lưu hóa Aeroflex Class 0 - 22X50 (4S/T)</t>
  </si>
  <si>
    <t>AFFOM25X50</t>
  </si>
  <si>
    <t>Ống cao su lưu hóa Aeroflex Class 0 - 25X50 (4S/T)</t>
  </si>
  <si>
    <t>AFFOM28X50</t>
  </si>
  <si>
    <t>Ống cao su lưu hóa Aeroflex Class 0 - 28X50 (4S/T)</t>
  </si>
  <si>
    <t>AFFOM32X50</t>
  </si>
  <si>
    <t>Ống cao su lưu hóa Aeroflex Class 0 - 32X50 (4S/T)</t>
  </si>
  <si>
    <t>AFFOM35X50</t>
  </si>
  <si>
    <t>Ống cao su lưu hóa Aeroflex Class 0 - 35X50 (4S/T)</t>
  </si>
  <si>
    <t>AFFOM38X50</t>
  </si>
  <si>
    <t>Ống cao su lưu hóa Aeroflex Class 0 - 38X50 (4S/T)</t>
  </si>
  <si>
    <t>AFFOM42X50</t>
  </si>
  <si>
    <t>Ống cao su lưu hóa Aeroflex Class 0 - 42X50 (4S/T)</t>
  </si>
  <si>
    <t>AFFOM45X50</t>
  </si>
  <si>
    <t>Ống cao su lưu hóa Aeroflex Class 0 - 45X50 (4S/T)</t>
  </si>
  <si>
    <t>AFFOM48X50</t>
  </si>
  <si>
    <t>Ống cao su lưu hóa Aeroflex Class 0 - 48X50 (3S/T)</t>
  </si>
  <si>
    <t>AFFOM51X50</t>
  </si>
  <si>
    <t>Ống cao su lưu hóa Aeroflex Class 0 - 51X50 (3S/T)</t>
  </si>
  <si>
    <t>AFFOM54X50</t>
  </si>
  <si>
    <t>Ống cao su lưu hóa Aeroflex Class 0 - 54X50 (3S/T)</t>
  </si>
  <si>
    <t>AFFOM57X50</t>
  </si>
  <si>
    <t>Ống cao su lưu hóa Aeroflex Class 0 - 57X50 (3S/T)</t>
  </si>
  <si>
    <t>AFFOM60X50</t>
  </si>
  <si>
    <t>Ống cao su lưu hóa Aeroflex Class 0 - 60X50 (3S/T)</t>
  </si>
  <si>
    <t>AFFOM64X50</t>
  </si>
  <si>
    <t>Ống cao su lưu hóa Aeroflex Class 0 - 64X50 (3S/T)</t>
  </si>
  <si>
    <t>AFFOM67X50</t>
  </si>
  <si>
    <t>Ống cao su lưu hóa Aeroflex Class 0 - 67X50 (3S/T)</t>
  </si>
  <si>
    <t>AFFOM73X50</t>
  </si>
  <si>
    <t>Ống cao su lưu hóa Aeroflex Class 0 - 73X50 (2S/T)</t>
  </si>
  <si>
    <t>AFFOM76X50</t>
  </si>
  <si>
    <t>Ống cao su lưu hóa Aeroflex Class 0 - 76X50 (2S/T)</t>
  </si>
  <si>
    <t>AFFOM80X50</t>
  </si>
  <si>
    <t>Ống cao su lưu hóa Aeroflex Class 0 - 80X50 (2S/T)</t>
  </si>
  <si>
    <t>AFFOM83X50</t>
  </si>
  <si>
    <t>Ống cao su lưu hóa Aeroflex Class 0 - 83X50 (2S/T)</t>
  </si>
  <si>
    <t>AFFOM90X50</t>
  </si>
  <si>
    <t>Ống cao su lưu hóa Aeroflex Class 0 - 90X50 (2S/T)</t>
  </si>
  <si>
    <t>AFFOM92X50</t>
  </si>
  <si>
    <t>Ống cao su lưu hóa Aeroflex Class 0 - 92X50 (2S/T)</t>
  </si>
  <si>
    <t>AFFOM98X50</t>
  </si>
  <si>
    <t>Ống cao su lưu hóa Aeroflex Class 0 - 98X50 (2S/T)</t>
  </si>
  <si>
    <t>AFFOM102X50</t>
  </si>
  <si>
    <t>Ống cao su lưu hóa Aeroflex Class 0 - 102X50 (2S/T)</t>
  </si>
  <si>
    <t>AFFOM105X50</t>
  </si>
  <si>
    <t>Ống cao su lưu hóa Aeroflex Class 0 - 105X50 (2S/T)</t>
  </si>
  <si>
    <t>AFFOM109X50</t>
  </si>
  <si>
    <t>Ống cao su lưu hóa Aeroflex Class 0 - 109X50 (2S/T)</t>
  </si>
  <si>
    <t>AFFOM115X50</t>
  </si>
  <si>
    <t>Ống cao su lưu hóa Aeroflex Class 0 - 115X50 (2S/T)</t>
  </si>
  <si>
    <t>AFFOM127X50</t>
  </si>
  <si>
    <t>Ống cao su lưu hóa Aeroflex Class 0 - 127X50 (2S/T)</t>
  </si>
  <si>
    <t>AFFOM130X50</t>
  </si>
  <si>
    <t>Ống cao su lưu hóa Aeroflex Class 0 - 130X50 (2S/T)</t>
  </si>
  <si>
    <t>AFFOM140X50</t>
  </si>
  <si>
    <t>Ống cao su lưu hóa Aeroflex Class 0 - 140X50 (2S/T)</t>
  </si>
  <si>
    <t>AFFOM165X50</t>
  </si>
  <si>
    <t>Ống cao su lưu hóa Aeroflex Class 0 - 165X50 (2S/T)</t>
  </si>
  <si>
    <t>SUP-TDI</t>
  </si>
  <si>
    <t>XTS0612224</t>
  </si>
  <si>
    <t>Tấm cao su lưu hóa Superlon D6x1.22x24</t>
  </si>
  <si>
    <t>XTS0612224B</t>
  </si>
  <si>
    <t>Tấm cao su lưu hóa Superlon D6x1.22x24 - Bạc</t>
  </si>
  <si>
    <t>XTS0612224D</t>
  </si>
  <si>
    <t>Tấm cao su lưu hóa Superlon D6x1.22x24 - Dính</t>
  </si>
  <si>
    <t>XTS0612224BD</t>
  </si>
  <si>
    <t>Tấm cao su lưu hóa Superlon D6x1.22x24 - Bạc+Dính</t>
  </si>
  <si>
    <t>XTS0612224D2M</t>
  </si>
  <si>
    <t>Tấm cao su lưu hóa Superlon D6x1.22x24 - 2 mặt dính</t>
  </si>
  <si>
    <t>SUP-TTD</t>
  </si>
  <si>
    <t>XTS1012221</t>
  </si>
  <si>
    <t>Tấm cao su lưu hóa Superlon D10x1.22x21</t>
  </si>
  <si>
    <t>XTS1012221B</t>
  </si>
  <si>
    <t>Tấm cao su lưu hóa Superlon D10x1.22x21 - Bạc</t>
  </si>
  <si>
    <t>XTS1012221D</t>
  </si>
  <si>
    <t>Tấm cao su lưu hóa Superlon D10x1.22x21 - Dính</t>
  </si>
  <si>
    <t>XTS1012221BD</t>
  </si>
  <si>
    <t>Tấm cao su lưu hóa Superlon D10x1.22x21 - Bạc+Dính</t>
  </si>
  <si>
    <t>XTS1012221D2M</t>
  </si>
  <si>
    <t>Tấm cao su lưu hóa Superlon D10x1.22x21 - 2 mặt dính</t>
  </si>
  <si>
    <t>XTS1312215</t>
  </si>
  <si>
    <t>Tấm cao su lưu hóa Superlon D13x1.22x15</t>
  </si>
  <si>
    <t>SUP-T</t>
  </si>
  <si>
    <t>XTS1312215B</t>
  </si>
  <si>
    <t>Tấm cao su lưu hóa Superlon D13x1.22x15 - Bạc</t>
  </si>
  <si>
    <t>XTS1312215D</t>
  </si>
  <si>
    <t>Tấm cao su lưu hóa Superlon D13x1.22x15 - Dính</t>
  </si>
  <si>
    <t>XTS1312215BD</t>
  </si>
  <si>
    <t>Tấm cao su lưu hóa Superlon D13x1.22x15 - Bạc+Dính</t>
  </si>
  <si>
    <t>XTS1312215D2M</t>
  </si>
  <si>
    <t>Tấm cao su lưu hóa Superlon D13x1.22x15 - 2 mặt dính</t>
  </si>
  <si>
    <t>XTS1612214</t>
  </si>
  <si>
    <t>Tấm cao su lưu hóa Superlon D16x1.22x14</t>
  </si>
  <si>
    <t>XTS1612214B</t>
  </si>
  <si>
    <t>Tấm cao su lưu hóa Superlon D16x1.22x14 - Bạc</t>
  </si>
  <si>
    <t>XTS1612214D</t>
  </si>
  <si>
    <t>Tấm cao su lưu hóa Superlon D16x1.22x14 - Dính</t>
  </si>
  <si>
    <t>XTS1612214BD</t>
  </si>
  <si>
    <t>Tấm cao su lưu hóa Superlon D16x1.22x14 - Bạc+Dính</t>
  </si>
  <si>
    <t>XTS1612214D2M</t>
  </si>
  <si>
    <t>Tấm cao su lưu hóa Superlon D16x1.22x14 - 2 mặt dính</t>
  </si>
  <si>
    <t>XTS1912209</t>
  </si>
  <si>
    <t>Tấm cao su lưu hóa Superlon D19x1.22x09</t>
  </si>
  <si>
    <t>XTS1912209B</t>
  </si>
  <si>
    <t>Tấm cao su lưu hóa Superlon D19x1.22x09 - Bạc</t>
  </si>
  <si>
    <t>XTS1912209D</t>
  </si>
  <si>
    <t>Tấm cao su lưu hóa Superlon D19x1.22x09 - Dính</t>
  </si>
  <si>
    <t>XTS1912209BD</t>
  </si>
  <si>
    <t>Tấm cao su lưu hóa Superlon D19x1.22x09 - Bạc+Dính</t>
  </si>
  <si>
    <t>XTS1912209D2M</t>
  </si>
  <si>
    <t>Tấm cao su lưu hóa Superlon D19x1.22x09 - 2 mặt dính</t>
  </si>
  <si>
    <t>XTS2512208</t>
  </si>
  <si>
    <t>Tấm cao su lưu hóa Superlon D25x1.22x08</t>
  </si>
  <si>
    <t>XTS2512208B</t>
  </si>
  <si>
    <t>Tấm cao su lưu hóa Superlon D25x1.22x08 - Bạc</t>
  </si>
  <si>
    <t>XTS2512208D</t>
  </si>
  <si>
    <t>Tấm cao su lưu hóa Superlon D25x1.22x08 - Dính</t>
  </si>
  <si>
    <t>XTS2512208BD</t>
  </si>
  <si>
    <t>Tấm cao su lưu hóa Superlon D25x1.22x08 - Bạc+Dính</t>
  </si>
  <si>
    <t>XTS2512208D2M</t>
  </si>
  <si>
    <t>Tấm cao su lưu hóa Superlon D25x1.22x08 - 2 mặt dính</t>
  </si>
  <si>
    <t>XTS3212206</t>
  </si>
  <si>
    <t>Tấm cao su lưu hóa Superlon D32x1.22x06</t>
  </si>
  <si>
    <t>XTS3212206B</t>
  </si>
  <si>
    <t>Tấm cao su lưu hóa Superlon D32x1.22x06 - Bạc</t>
  </si>
  <si>
    <t>XTS3212206D</t>
  </si>
  <si>
    <t>Tấm cao su lưu hóa Superlon D32x1.22x06 - Dính</t>
  </si>
  <si>
    <t>XTS3212206BD</t>
  </si>
  <si>
    <t>Tấm cao su lưu hóa Superlon D32x1.22x06 - Bạc+Dính</t>
  </si>
  <si>
    <t>XTS3212206D2M</t>
  </si>
  <si>
    <t>Tấm cao su lưu hóa Superlon D32x1.22x06 - 2 mặt dính</t>
  </si>
  <si>
    <t>XTS3812205</t>
  </si>
  <si>
    <t>Tấm cao su lưu hóa Superlon D38x1.22x05</t>
  </si>
  <si>
    <t>XTS3812205B</t>
  </si>
  <si>
    <t>Tấm cao su lưu hóa Superlon D38x1.22x05 - Bạc</t>
  </si>
  <si>
    <t>XTS3812205D</t>
  </si>
  <si>
    <t>Tấm cao su lưu hóa Superlon D38x1.22x05 - Dính</t>
  </si>
  <si>
    <t>XTS3812205BD</t>
  </si>
  <si>
    <t>Tấm cao su lưu hóa Superlon D38x1.22x05 - Bạc+Dính</t>
  </si>
  <si>
    <t>XTS3812205D2M</t>
  </si>
  <si>
    <t>Tấm cao su lưu hóa Superlon D38x1.22x05 - 2 mặt dính</t>
  </si>
  <si>
    <t>XTS5112204</t>
  </si>
  <si>
    <t>Tấm cao su lưu hóa Superlon D51x1.22x04</t>
  </si>
  <si>
    <t>XTS5112204B</t>
  </si>
  <si>
    <t>Tấm cao su lưu hóa Superlon D51x1.22x04 - Bạc</t>
  </si>
  <si>
    <t>XTS5112204D</t>
  </si>
  <si>
    <t>Tấm cao su lưu hóa Superlon D51x1.22x04 - Dính</t>
  </si>
  <si>
    <t>XTS5112204BD</t>
  </si>
  <si>
    <t>Tấm cao su lưu hóa Superlon D51x1.22x04 - Bạc+Dính</t>
  </si>
  <si>
    <t>XTS5112204D2M</t>
  </si>
  <si>
    <t>Tấm cao su lưu hóa Superlon D51x1.22x04 - 2 mặt dính</t>
  </si>
  <si>
    <t>Superlon C0</t>
  </si>
  <si>
    <t>XTS0612224C0</t>
  </si>
  <si>
    <t>Tấm cao su lưu hóa Superlon Class 0 D6x1.22x24</t>
  </si>
  <si>
    <t>XTS0612224BC0</t>
  </si>
  <si>
    <t>Tấm cao su lưu hóa Superlon Class 0 D6x1.22x24 - Bạc</t>
  </si>
  <si>
    <t>XTS0612224DC0</t>
  </si>
  <si>
    <t>Tấm cao su lưu hóa Superlon Class 0 D6x1.22x24 - Dính</t>
  </si>
  <si>
    <t>XTS0612224BDC0</t>
  </si>
  <si>
    <t>Tấm cao su lưu hóa Superlon Class 0 D6x1.22x24 - Bạc+Dính</t>
  </si>
  <si>
    <t>XTS0612224D2MC0</t>
  </si>
  <si>
    <t>Tấm cao su lưu hóa Superlon Class 0 D6x1.22x24 - 2 mặt dính</t>
  </si>
  <si>
    <t>XTS1012221C0</t>
  </si>
  <si>
    <t>Tấm cao su lưu hóa Superlon Class 0 D10x1.22x21</t>
  </si>
  <si>
    <t>XTS1012221BC0</t>
  </si>
  <si>
    <t>Tấm cao su lưu hóa Superlon Class 0 D10x1.22x21 - Bạc</t>
  </si>
  <si>
    <t>XTS1012221DC0</t>
  </si>
  <si>
    <t>Tấm cao su lưu hóa Superlon Class 0 D10x1.22x21 - Dính</t>
  </si>
  <si>
    <t>XTS1012221BDC0</t>
  </si>
  <si>
    <t>Tấm cao su lưu hóa Superlon Class 0 D10x1.22x21 - Bạc+Dính</t>
  </si>
  <si>
    <t>XTS1012221D2MC0</t>
  </si>
  <si>
    <t>Tấm cao su lưu hóa Superlon Class 0 D10x1.22x21 - 2 mặt dính</t>
  </si>
  <si>
    <t>XTS1312215C0</t>
  </si>
  <si>
    <t>Tấm cao su lưu hóa Superlon Class 0 D13x1.22x15</t>
  </si>
  <si>
    <t>XTS1312215BC0</t>
  </si>
  <si>
    <t>Tấm cao su lưu hóa Superlon Class 0 D13x1.22x15 - Bạc</t>
  </si>
  <si>
    <t>XTS1312215DC0</t>
  </si>
  <si>
    <t>Tấm cao su lưu hóa Superlon Class 0 D13x1.22x15 - Dính</t>
  </si>
  <si>
    <t>XTS1312215BDC0</t>
  </si>
  <si>
    <t>Tấm cao su lưu hóa Superlon Class 0 D13x1.22x15 - Bạc+Dính</t>
  </si>
  <si>
    <t>XTS1312215D2MC0</t>
  </si>
  <si>
    <t>Tấm cao su lưu hóa Superlon Class 0 D13x1.22x15 - 2 mặt dính</t>
  </si>
  <si>
    <t>XTS1612214C0</t>
  </si>
  <si>
    <t>Tấm cao su lưu hóa Superlon Class 0 D16x1.22x14</t>
  </si>
  <si>
    <t>XTS1612214BC0</t>
  </si>
  <si>
    <t>Tấm cao su lưu hóa Superlon Class 0 D16x1.22x14 - Bạc</t>
  </si>
  <si>
    <t>XTS1612214DC0</t>
  </si>
  <si>
    <t>Tấm cao su lưu hóa Superlon Class 0 D16x1.22x14 - Dính</t>
  </si>
  <si>
    <t>XTS1612214BDC0</t>
  </si>
  <si>
    <t>Tấm cao su lưu hóa Superlon Class 0 D16x1.22x14 - Bạc+Dính</t>
  </si>
  <si>
    <t>XTS1612214D2MC0</t>
  </si>
  <si>
    <t>Tấm cao su lưu hóa Superlon Class 0 D16x1.22x14 - 2 mặt dính</t>
  </si>
  <si>
    <t>XTS1912209C0</t>
  </si>
  <si>
    <t>Tấm cao su lưu hóa Superlon Class 0 D19x1.22x09</t>
  </si>
  <si>
    <t>XTS1912209BC0</t>
  </si>
  <si>
    <t>Tấm cao su lưu hóa Superlon Class 0 D19x1.22x09 - Bạc</t>
  </si>
  <si>
    <t>XTS1912209DC0</t>
  </si>
  <si>
    <t>Tấm cao su lưu hóa Superlon Class 0 D19x1.22x09 - Dính</t>
  </si>
  <si>
    <t>XTS1912209BDC0</t>
  </si>
  <si>
    <t>Tấm cao su lưu hóa Superlon Class 0 D19x1.22x09 - Bạc+Dính</t>
  </si>
  <si>
    <t>XTS1912209D2MC0</t>
  </si>
  <si>
    <t>Tấm cao su lưu hóa Superlon Class 0 D19x1.22x09 - 2 mặt dính</t>
  </si>
  <si>
    <t>XTS2512208C0</t>
  </si>
  <si>
    <t>Tấm cao su lưu hóa Superlon Class 0 D25x1.22x08</t>
  </si>
  <si>
    <t>XTS2512208BC0</t>
  </si>
  <si>
    <t>Tấm cao su lưu hóa Superlon Class 0 D25x1.22x08 - Bạc</t>
  </si>
  <si>
    <t>XTS2512208DC0</t>
  </si>
  <si>
    <t>Tấm cao su lưu hóa Superlon Class 0 D25x1.22x08 - Dính</t>
  </si>
  <si>
    <t>XTS2512208BDC0</t>
  </si>
  <si>
    <t>Tấm cao su lưu hóa Superlon Class 0 D25x1.22x08 - Bạc+Dính</t>
  </si>
  <si>
    <t>XTS2512208D2MC0</t>
  </si>
  <si>
    <t>Tấm cao su lưu hóa Superlon Class 0 D25x1.22x08 - 2 mặt dính</t>
  </si>
  <si>
    <t>XTS3212206C0</t>
  </si>
  <si>
    <t>Tấm cao su lưu hóa Superlon Class 0 D32x1.22x06</t>
  </si>
  <si>
    <t>XTS3212206BC0</t>
  </si>
  <si>
    <t>Tấm cao su lưu hóa Superlon Class 0 D32x1.22x06 - Bạc</t>
  </si>
  <si>
    <t>XTS3212206DC0</t>
  </si>
  <si>
    <t>Tấm cao su lưu hóa Superlon Class 0 D32x1.22x06 - Dính</t>
  </si>
  <si>
    <t>XTS3212206BDC0</t>
  </si>
  <si>
    <t>Tấm cao su lưu hóa Superlon Class 0 D32x1.22x06 - Bạc+Dính</t>
  </si>
  <si>
    <t>XTS3212206D2MC0</t>
  </si>
  <si>
    <t>Tấm cao su lưu hóa Superlon Class 0 D32x1.22x06 - 2 mặt dính</t>
  </si>
  <si>
    <t>XTS3812205C0</t>
  </si>
  <si>
    <t>Tấm cao su lưu hóa Superlon Class 0 D38x1.22x05</t>
  </si>
  <si>
    <t>XTS3812205BC0</t>
  </si>
  <si>
    <t>Tấm cao su lưu hóa Superlon Class 0 D38x1.22x05 - Bạc</t>
  </si>
  <si>
    <t>XTS3812205DC0</t>
  </si>
  <si>
    <t>Tấm cao su lưu hóa Superlon Class 0 D38x1.22x05 - Dính</t>
  </si>
  <si>
    <t>XTS3812205BDC0</t>
  </si>
  <si>
    <t>Tấm cao su lưu hóa Superlon Class 0 D38x1.22x05 - Bạc+Dính</t>
  </si>
  <si>
    <t>XTS3812205D2MC0</t>
  </si>
  <si>
    <t>Tấm cao su lưu hóa Superlon Class 0 D38x1.22x05 - 2 mặt dính</t>
  </si>
  <si>
    <t>XTS5112204C0</t>
  </si>
  <si>
    <t>Tấm cao su lưu hóa Superlon Class 0 D51x1.22x04</t>
  </si>
  <si>
    <t>XTS5112204BC0</t>
  </si>
  <si>
    <t>Tấm cao su lưu hóa Superlon Class 0 D51x1.22x04 - Bạc</t>
  </si>
  <si>
    <t>XTS5112204DC0</t>
  </si>
  <si>
    <t>Tấm cao su lưu hóa Superlon Class 0 D51x1.22x04 - Dính</t>
  </si>
  <si>
    <t>XTS5112204BDC0</t>
  </si>
  <si>
    <t>Tấm cao su lưu hóa Superlon Class 0 D51x1.22x04 - Bạc+Dính</t>
  </si>
  <si>
    <t>XTS5112204D2MC0</t>
  </si>
  <si>
    <t>Tấm cao su lưu hóa Superlon Class 0 D51x1.22x04 - 2 mặt dính</t>
  </si>
  <si>
    <t>XTS0614020</t>
  </si>
  <si>
    <t>Tấm cao su lưu hóa Superlon D6x1.40x20</t>
  </si>
  <si>
    <t>XTS0614020D</t>
  </si>
  <si>
    <t>Tấm cao su lưu hóa Superlon D6x1.40x20 - Dính</t>
  </si>
  <si>
    <t>SUP-TIB</t>
  </si>
  <si>
    <t>XTS1002015D</t>
  </si>
  <si>
    <t>Tấm cao su lưu hóa Superlon D10x0.20x15 - Dính</t>
  </si>
  <si>
    <t>XTS1014015</t>
  </si>
  <si>
    <t>Tấm cao su lưu hóa Superlon D10x1.40x15</t>
  </si>
  <si>
    <t>XTS1014015B</t>
  </si>
  <si>
    <t>Tấm cao su lưu hóa Superlon D10x1.40x15 - Bạc</t>
  </si>
  <si>
    <t>XTS1014015D</t>
  </si>
  <si>
    <t>Tấm cao su lưu hóa Superlon D10x1.40x15 - Dính</t>
  </si>
  <si>
    <t>XTS1014015BD</t>
  </si>
  <si>
    <t>Tấm cao su lưu hóa Superlon D10x1.40x15 - Bạc+Dính</t>
  </si>
  <si>
    <t>XTS1014015D2M</t>
  </si>
  <si>
    <t>Tấm cao su lưu hóa Superlon D10x1.40x15 - 2 mặt dính</t>
  </si>
  <si>
    <t>XTS13020914D</t>
  </si>
  <si>
    <t>Tấm cao su lưu hóa Superlon D13x0.20x9.14 - Dính</t>
  </si>
  <si>
    <t>XTS13122914</t>
  </si>
  <si>
    <t>Tấm cao su lưu hóa Superlon D13x1.22x9.14</t>
  </si>
  <si>
    <t>XTS1314015</t>
  </si>
  <si>
    <t>Tấm cao su lưu hóa Superlon D13x1.40x15</t>
  </si>
  <si>
    <t>XTS1314015B</t>
  </si>
  <si>
    <t>Tấm cao su lưu hóa Superlon D13x1.40x15 - Bạc</t>
  </si>
  <si>
    <t>XTS1314015D</t>
  </si>
  <si>
    <t>Tấm cao su lưu hóa Superlon D13x1.40x15 - Dính</t>
  </si>
  <si>
    <t>XTS1314015BD</t>
  </si>
  <si>
    <t>Tấm cao su lưu hóa Superlon D13x1.40x15 - Bạc+Dính</t>
  </si>
  <si>
    <t>XTS1314015D2M</t>
  </si>
  <si>
    <t>Tấm cao su lưu hóa Superlon D13x1.40x15 - 2 mặt dính</t>
  </si>
  <si>
    <t>XTS1914010</t>
  </si>
  <si>
    <t>Tấm cao su lưu hóa Superlon D19x1.40x10</t>
  </si>
  <si>
    <t>XTS1914010B</t>
  </si>
  <si>
    <t>Tấm cao su lưu hóa Superlon D19x1.40x10 - Bạc</t>
  </si>
  <si>
    <t>XTS1914010D</t>
  </si>
  <si>
    <t>Tấm cao su lưu hóa Superlon D19x1.40x10 - Dính</t>
  </si>
  <si>
    <t>XTS1914010BD</t>
  </si>
  <si>
    <t>Tấm cao su lưu hóa Superlon D19x1.40x10 - Bạc+Dính</t>
  </si>
  <si>
    <t>XTS1914010D2M</t>
  </si>
  <si>
    <t>Tấm cao su lưu hóa Superlon D19x1.40x10 - 2 mặt dính</t>
  </si>
  <si>
    <t>XTS25122914</t>
  </si>
  <si>
    <t>Tấm cao su lưu hóa Superlon D25x1.22x9.14</t>
  </si>
  <si>
    <t>XTS25122914BD</t>
  </si>
  <si>
    <t>Tấm cao su lưu hóa Superlon D25x1.22x9.14 - Bạc+Dính</t>
  </si>
  <si>
    <t>XTS2514010</t>
  </si>
  <si>
    <t>Tấm cao su lưu hóa Superlon D25x1.40x10</t>
  </si>
  <si>
    <t>XTS2514010B</t>
  </si>
  <si>
    <t>Tấm cao su lưu hóa Superlon D25x1.40x10 - Bạc</t>
  </si>
  <si>
    <t>XTS2514010D</t>
  </si>
  <si>
    <t>Tấm cao su lưu hóa Superlon D25x1.40x10 - Dính</t>
  </si>
  <si>
    <t>XTS2514010BD</t>
  </si>
  <si>
    <t>Tấm cao su lưu hóa Superlon D25x1.40x10 - Bạc+Dính</t>
  </si>
  <si>
    <t>XTS2514010D2M</t>
  </si>
  <si>
    <t>Tấm cao su lưu hóa Superlon D25x1.40x10 - 2 mặt dính</t>
  </si>
  <si>
    <t>XTS38100914</t>
  </si>
  <si>
    <t>Tấm cao su lưu hóa Superlon D38x1.00x9.14</t>
  </si>
  <si>
    <t>XTS38122914</t>
  </si>
  <si>
    <t>Tấm cao su lưu hóa Superlon D38x1.22x9.14</t>
  </si>
  <si>
    <t>XTS3814010</t>
  </si>
  <si>
    <t>Tấm cao su lưu hóa Superlon D38x1.40x10</t>
  </si>
  <si>
    <t>XTS3814010B</t>
  </si>
  <si>
    <t>Tấm cao su lưu hóa Superlon D38x1.40x10 - Bạc</t>
  </si>
  <si>
    <t>XTS3814010D</t>
  </si>
  <si>
    <t>Tấm cao su lưu hóa Superlon D38x1.40x10 - Dính</t>
  </si>
  <si>
    <t>XTS3814010BD</t>
  </si>
  <si>
    <t>Tấm cao su lưu hóa Superlon D38x1.40x10 - Bạc+Dính</t>
  </si>
  <si>
    <t>XTS3814010D2M</t>
  </si>
  <si>
    <t>Tấm cao su lưu hóa Superlon D38x1.40x10 - 2 mặt dính</t>
  </si>
  <si>
    <t>XTS50122914</t>
  </si>
  <si>
    <t>Tấm cao su lưu hóa Superlon D50x1.22x9.14</t>
  </si>
  <si>
    <t>XTS50122914B</t>
  </si>
  <si>
    <t>Tấm cao su lưu hóa Superlon D50x1.22x9.14 - Bạc</t>
  </si>
  <si>
    <t>XTS50122914D</t>
  </si>
  <si>
    <t>Tấm cao su lưu hóa Superlon D50x1.22x9.14 - Dính</t>
  </si>
  <si>
    <t>XTS50122914BD</t>
  </si>
  <si>
    <t>Tấm cao su lưu hóa Superlon D50x1.22x9.14 - Bạc+Dính</t>
  </si>
  <si>
    <t>XTS50122914D2M</t>
  </si>
  <si>
    <t>Tấm cao su lưu hóa Superlon D50x1.22x9.14 - 2 mặt dính</t>
  </si>
  <si>
    <t>XTSVN0612224</t>
  </si>
  <si>
    <t>XTSVN0612224B</t>
  </si>
  <si>
    <t>XTSVN0612224D</t>
  </si>
  <si>
    <t>XTSVN0612224BD</t>
  </si>
  <si>
    <t>XTSVN0612224D2M</t>
  </si>
  <si>
    <t>XTSVN1012221</t>
  </si>
  <si>
    <t>XTSVN1012221B</t>
  </si>
  <si>
    <t>XTSVN1012221D</t>
  </si>
  <si>
    <t>XTSVN1012221BD</t>
  </si>
  <si>
    <t>XTSVN1012221D2M</t>
  </si>
  <si>
    <t>XTSVN1312215</t>
  </si>
  <si>
    <t>XTSVN1312215B</t>
  </si>
  <si>
    <t>XTSVN1312215D</t>
  </si>
  <si>
    <t>XTSVN1312215BD</t>
  </si>
  <si>
    <t>XTSVN1312215D2M</t>
  </si>
  <si>
    <t>XTSVN1612214</t>
  </si>
  <si>
    <t>XTSVN1612214B</t>
  </si>
  <si>
    <t>XTSVN1612214D</t>
  </si>
  <si>
    <t>XTSVN1612214BD</t>
  </si>
  <si>
    <t>XTSVN1612214D2M</t>
  </si>
  <si>
    <t>XTSVN1912209</t>
  </si>
  <si>
    <t>XTSVN1912209B</t>
  </si>
  <si>
    <t>XTSVN1912209D</t>
  </si>
  <si>
    <t>XTSVN1912209BD</t>
  </si>
  <si>
    <t>XTSVN1912209D2M</t>
  </si>
  <si>
    <t>XTSVN2512208</t>
  </si>
  <si>
    <t>XTSVN2512208B</t>
  </si>
  <si>
    <t>XTSVN2512208D</t>
  </si>
  <si>
    <t>XTSVN2512208BD</t>
  </si>
  <si>
    <t>XTSVN2512208D2M</t>
  </si>
  <si>
    <t>XTSVN3212206</t>
  </si>
  <si>
    <t>XTSVN3212206B</t>
  </si>
  <si>
    <t>XTSVN3212206D</t>
  </si>
  <si>
    <t>XTSVN3212206BD</t>
  </si>
  <si>
    <t>XTSVN3212206D2M</t>
  </si>
  <si>
    <t>XTSVN3812205</t>
  </si>
  <si>
    <t>XTSVN3812205B</t>
  </si>
  <si>
    <t>XTSVN3812205D</t>
  </si>
  <si>
    <t>XTSVN3812205BD</t>
  </si>
  <si>
    <t>XTSVN3812205D2M</t>
  </si>
  <si>
    <t>XTSVN5112204</t>
  </si>
  <si>
    <t>XTSVN5112204B</t>
  </si>
  <si>
    <t>XTSVN5112204D</t>
  </si>
  <si>
    <t>XTSVN5112204BD</t>
  </si>
  <si>
    <t>XTSVN5112204D2M</t>
  </si>
  <si>
    <t>XTSVN0614020</t>
  </si>
  <si>
    <t>XTSVN1014015D</t>
  </si>
  <si>
    <t>XTSVN13020914D</t>
  </si>
  <si>
    <t>XTSVN13122914</t>
  </si>
  <si>
    <t>XTSVN1314015</t>
  </si>
  <si>
    <t>XTSVN1314015B</t>
  </si>
  <si>
    <t>XTSVN1314015D</t>
  </si>
  <si>
    <t>XTSVN1314015BD</t>
  </si>
  <si>
    <t>XTSVN1314015D2M</t>
  </si>
  <si>
    <t>XTSVN19122914</t>
  </si>
  <si>
    <t>Tấm cao su lưu hóa Superlon D19x1.22x9.14</t>
  </si>
  <si>
    <t>XTSVN19122914B</t>
  </si>
  <si>
    <t>Tấm cao su lưu hóa Superlon D19x1.22x9.14 - Bạc</t>
  </si>
  <si>
    <t>XTSVN19122914D</t>
  </si>
  <si>
    <t>Tấm cao su lưu hóa Superlon D19x1.22x9.14 - Dính</t>
  </si>
  <si>
    <t>XTSVN19122914BD</t>
  </si>
  <si>
    <t>Tấm cao su lưu hóa Superlon D19x1.22x9.14 - Bạc+Dính</t>
  </si>
  <si>
    <t>XTSVN1914010</t>
  </si>
  <si>
    <t>XTSVN1914010D</t>
  </si>
  <si>
    <t>XTSVN19140914</t>
  </si>
  <si>
    <t>Tấm cao su lưu hóa Superlon D19x1.40x9.14</t>
  </si>
  <si>
    <t>XTSVN19140914D</t>
  </si>
  <si>
    <t>Tấm cao su lưu hóa Superlon D19x1.40x9.14 - Dính</t>
  </si>
  <si>
    <t>XTSVN25122914</t>
  </si>
  <si>
    <t>XTSVN2514010</t>
  </si>
  <si>
    <t>XTSVN2514010D</t>
  </si>
  <si>
    <t>XTSVN2514010BD</t>
  </si>
  <si>
    <t>XTSVN2514010D2M</t>
  </si>
  <si>
    <t>XTSVN38100914</t>
  </si>
  <si>
    <t>XTSVN38122914</t>
  </si>
  <si>
    <t>XTSVN3814010D</t>
  </si>
  <si>
    <t>XTSVN3814010</t>
  </si>
  <si>
    <t>XTSVN51122914</t>
  </si>
  <si>
    <t>Tấm cao su lưu hóa Superlon D51x1.22x9.14</t>
  </si>
  <si>
    <t>XTSVN51122914D</t>
  </si>
  <si>
    <t>Tấm cao su lưu hóa Superlon D51x1.22x9.14 - Dính</t>
  </si>
  <si>
    <t>ARMAFLEX-T</t>
  </si>
  <si>
    <t>Tấm cao su lưu hóa Armaflex FRV Thái Lan D25x1.22x4</t>
  </si>
  <si>
    <t>XTA251204C0B</t>
  </si>
  <si>
    <t>Tấm cao su lưu hóa Armaflex D25x1.2x4 Class 0 - Bạc</t>
  </si>
  <si>
    <t>Armaflex MC</t>
  </si>
  <si>
    <t>Tấm cao su lưu hóa Armaflex Thái Lan D13x1.22x8</t>
  </si>
  <si>
    <t>XTA1612206</t>
  </si>
  <si>
    <t>Tấm cao su lưu hóa Armaflex Thái Lan D16 x1.22x6</t>
  </si>
  <si>
    <t>Tấm cao su lưu hóa Armaflex Thái Lan D25 x1.22x4 - Bạc+Dính</t>
  </si>
  <si>
    <t>Tấm cao su lưu hóa Armaflex Thái Lan D32x1.22x3 - Dính</t>
  </si>
  <si>
    <t>XTA5012203BD</t>
  </si>
  <si>
    <t>Tấm cao su lưu hóa Armaflex Thái Lan D50x1.22x3 - Bạc+Dính</t>
  </si>
  <si>
    <t>XAE-TDI</t>
  </si>
  <si>
    <t>XTAE0612022C0</t>
  </si>
  <si>
    <t>Tấm cao su lưu hóa Aeroflex Class 0 - D6x1.20x22</t>
  </si>
  <si>
    <t>XTAE0612022C0D</t>
  </si>
  <si>
    <t>Tấm cao su lưu hóa Aeroflex Class 0 - D6x1.20x22 Dính</t>
  </si>
  <si>
    <t>XTAE0612022C0B</t>
  </si>
  <si>
    <t>Tấm cao su lưu hóa Aeroflex Class 0 - D6x1.20x22 Bạc</t>
  </si>
  <si>
    <t>XTAE0612022C0D2M</t>
  </si>
  <si>
    <t>Tấm cao su lưu hóa Aeroflex Class 0 - D6x1.20x22 Dính 2 mặt</t>
  </si>
  <si>
    <t>XTAE0612022C0BD</t>
  </si>
  <si>
    <t>Tấm cao su lưu hóa Aeroflex Class 0 - D6x1.20x22 Bạc+Dính</t>
  </si>
  <si>
    <t>XTAE0912015C0</t>
  </si>
  <si>
    <t>Tấm cao su lưu hóa Aeroflex Class 0 - D9x1.20x15</t>
  </si>
  <si>
    <t>XTAE0912015C0D</t>
  </si>
  <si>
    <t>Tấm cao su lưu hóa Aeroflex Class 0 - D9x1.20x15 Dính</t>
  </si>
  <si>
    <t>XTAE0912015C0B</t>
  </si>
  <si>
    <t>Tấm cao su lưu hóa Aeroflex Class 0 - D9x1.20x15 Bạc</t>
  </si>
  <si>
    <t>XTAE0912015C0D2M</t>
  </si>
  <si>
    <t>Tấm cao su lưu hóa Aeroflex Class 0 - D9x1.20x15 Dính 2 mặt</t>
  </si>
  <si>
    <t>XTAE0912015C0BD</t>
  </si>
  <si>
    <t>Tấm cao su lưu hóa Aeroflex Class 0 - D9x1.20x15 Bạc+Dính</t>
  </si>
  <si>
    <t>XTAE1312011C0</t>
  </si>
  <si>
    <t>Tấm cao su lưu hóa Aeroflex Class 0 - D13x1.20x11</t>
  </si>
  <si>
    <t>XTAE1312011C0D</t>
  </si>
  <si>
    <t>Tấm cao su lưu hóa Aeroflex Class 0 - D13x1.20x11 Dính</t>
  </si>
  <si>
    <t>XTAE1312011C0B</t>
  </si>
  <si>
    <t>Tấm cao su lưu hóa Aeroflex Class 0 - D13x1.20x11 Bạc</t>
  </si>
  <si>
    <t>XTAE1312011C0D2M</t>
  </si>
  <si>
    <t>Tấm cao su lưu hóa Aeroflex Class 0 - D13x1.20x11 Dính 2 mặt</t>
  </si>
  <si>
    <t>XTAE1312011C0BD</t>
  </si>
  <si>
    <t>Tấm cao su lưu hóa Aeroflex Class 0 - D13x1.20x11 Bạc+Dính</t>
  </si>
  <si>
    <t>XTAE1612010C0</t>
  </si>
  <si>
    <t>Tấm cao su lưu hóa Aeroflex Class 0 - D16x1.20x10</t>
  </si>
  <si>
    <t>XTAE1612010C0D</t>
  </si>
  <si>
    <t>Tấm cao su lưu hóa Aeroflex Class 0 - D16x1.20x10 Dính</t>
  </si>
  <si>
    <t>XTAE1612010C0B</t>
  </si>
  <si>
    <t>Tấm cao su lưu hóa Aeroflex Class 0 - D16x1.20x10 Bạc</t>
  </si>
  <si>
    <t>XTAE1612010C0D2M</t>
  </si>
  <si>
    <t>Tấm cao su lưu hóa Aeroflex Class 0 - D16x1.20x10 Dính 2 mặt</t>
  </si>
  <si>
    <t>XTAE1612010C0BD</t>
  </si>
  <si>
    <t>Tấm cao su lưu hóa Aeroflex Class 0 - D16x1.20x10 Bạc+Dính</t>
  </si>
  <si>
    <t>XTAE191207C0</t>
  </si>
  <si>
    <t>Tấm cao su lưu hóa Aeroflex Class 0 - D19x1.20x7</t>
  </si>
  <si>
    <t>XTAE191207C0D</t>
  </si>
  <si>
    <t>Tấm cao su lưu hóa Aeroflex Class 0 - D19x1.20x7 Dính</t>
  </si>
  <si>
    <t>XTAE191207C0B</t>
  </si>
  <si>
    <t>Tấm cao su lưu hóa Aeroflex Class 0 - D19x1.20x7 Bạc</t>
  </si>
  <si>
    <t>XTAE191207C0D2M</t>
  </si>
  <si>
    <t>Tấm cao su lưu hóa Aeroflex Class 0 - D19x1.20x7 Dính 2 mặt</t>
  </si>
  <si>
    <t>XTAE191207C0BD</t>
  </si>
  <si>
    <t>Tấm cao su lưu hóa Aeroflex Class 0 - D19x1.20x7 Bạc+Dính</t>
  </si>
  <si>
    <t>XTAE251205C0</t>
  </si>
  <si>
    <t>Tấm cao su lưu hóa Aeroflex Class 0 - D25x1.20x5</t>
  </si>
  <si>
    <t>XTAE251205C0D</t>
  </si>
  <si>
    <t>Tấm cao su lưu hóa Aeroflex Class 0 - D25x1.20x5 Dính</t>
  </si>
  <si>
    <t>XTAE251205C0B</t>
  </si>
  <si>
    <t>Tấm cao su lưu hóa Aeroflex Class 0 - D25x1.20x5 Bạc</t>
  </si>
  <si>
    <t>XTAE251205C0D2M</t>
  </si>
  <si>
    <t>Tấm cao su lưu hóa Aeroflex Class 0 - D25x1.20x5 Dính 2 mặt</t>
  </si>
  <si>
    <t>XTAE251205C0BD</t>
  </si>
  <si>
    <t>Tấm cao su lưu hóa Aeroflex Class 0 - D25x1.20x5 Bạc+Dính</t>
  </si>
  <si>
    <t>XTAE321204C0</t>
  </si>
  <si>
    <t>Tấm cao su lưu hóa Aeroflex Class 0 - D32x1.20x4</t>
  </si>
  <si>
    <t>XTAE321204C0D</t>
  </si>
  <si>
    <t>Tấm cao su lưu hóa Aeroflex Class 0 - D32x1.20x4 Dính</t>
  </si>
  <si>
    <t>XTAE321204C0B</t>
  </si>
  <si>
    <t>Tấm cao su lưu hóa Aeroflex Class 0 - D32x1.20x4 Bạc</t>
  </si>
  <si>
    <t>XTAE321204C0D2M</t>
  </si>
  <si>
    <t>Tấm cao su lưu hóa Aeroflex Class 0 - D32x1.20x4 Dính 2 mặt</t>
  </si>
  <si>
    <t>XTAE321204C0BD</t>
  </si>
  <si>
    <t>Tấm cao su lưu hóa Aeroflex Class 0 - D32x1.20x4 Bạc+Dính</t>
  </si>
  <si>
    <t>XTAE381203C0</t>
  </si>
  <si>
    <t>Tấm cao su lưu hóa Aeroflex Class 0 - D38x1.20x3</t>
  </si>
  <si>
    <t>XTAE381203C0D</t>
  </si>
  <si>
    <t>Tấm cao su lưu hóa Aeroflex Class 0 - D38x1.20x3 Dính</t>
  </si>
  <si>
    <t>XTAE381203C0B</t>
  </si>
  <si>
    <t>Tấm cao su lưu hóa Aeroflex Class 0 - D38x1.20x3 Bạc</t>
  </si>
  <si>
    <t>XTAE381203C0D2M</t>
  </si>
  <si>
    <t>Tấm cao su lưu hóa Aeroflex Class 0 - D38x1.20x3 Dính 2 mặt</t>
  </si>
  <si>
    <t>XTAE381203C0BD</t>
  </si>
  <si>
    <t>Tấm cao su lưu hóa Aeroflex Class 0 - D38x1.20x3 Bạc+Dính</t>
  </si>
  <si>
    <t>XTAE501202C0</t>
  </si>
  <si>
    <t>Tấm cao su lưu hóa Aeroflex Class 0 - D50x1.20x2</t>
  </si>
  <si>
    <t>XTAE501202C0D</t>
  </si>
  <si>
    <t>Tấm cao su lưu hóa Aeroflex Class 0 - D50x1.20x2 Dính</t>
  </si>
  <si>
    <t>XTAE501202C0B</t>
  </si>
  <si>
    <t>Tấm cao su lưu hóa Aeroflex Class 0 - D50x1.20x2 Bạc</t>
  </si>
  <si>
    <t>XTAE501202C0D2M</t>
  </si>
  <si>
    <t>Tấm cao su lưu hóa Aeroflex Class 0 - D50x1.20x2 Dính 2 mặt</t>
  </si>
  <si>
    <t>XTAE501202C0BD</t>
  </si>
  <si>
    <t>Tấm cao su lưu hóa Aeroflex Class 0 - D50x1.20x2 Bạc+Dính</t>
  </si>
  <si>
    <t>Aeroflex Class A - MSR</t>
  </si>
  <si>
    <t>XTAE061222</t>
  </si>
  <si>
    <t>Tấm cao su lưu hóa Aeroflex MSR D6x1.20x22</t>
  </si>
  <si>
    <t>XTAE061222D</t>
  </si>
  <si>
    <t>Tấm cao su lưu hóa Aeroflex MSR D6x1.20x22 Dính</t>
  </si>
  <si>
    <t>XTAE061222B</t>
  </si>
  <si>
    <t>Tấm cao su lưu hóa Aeroflex MSR D6x1.20x22 Bạc</t>
  </si>
  <si>
    <t>XTAE061222D2M</t>
  </si>
  <si>
    <t>Tấm cao su lưu hóa Aeroflex MSR D6x1.20x22 2 mặt dính</t>
  </si>
  <si>
    <t>XTAE061222BD</t>
  </si>
  <si>
    <t>Tấm cao su lưu hóa Aeroflex MSR D6x1.20x22 Bạc dính</t>
  </si>
  <si>
    <t>XTAE091215</t>
  </si>
  <si>
    <t>Tấm cao su lưu hóa Aeroflex MSR D9x1.20x15</t>
  </si>
  <si>
    <t>XTAE091215D</t>
  </si>
  <si>
    <t>Tấm cao su lưu hóa Aeroflex MSR D9x1.20x15 Dính</t>
  </si>
  <si>
    <t>XTAE091215B</t>
  </si>
  <si>
    <t>Tấm cao su lưu hóa Aeroflex MSR D9x1.20x15 Bạc</t>
  </si>
  <si>
    <t>XTAE091215D2M</t>
  </si>
  <si>
    <t>Tấm cao su lưu hóa Aeroflex MSR D9x1.20x15 2 mặt dính</t>
  </si>
  <si>
    <t>XTAE091215BD</t>
  </si>
  <si>
    <t>Tấm cao su lưu hóa Aeroflex MSR D9x1.20x15 Bạc dính</t>
  </si>
  <si>
    <t>XTAE131211</t>
  </si>
  <si>
    <t>Tấm cao su lưu hóa Aeroflex MSR D13x1.20x11</t>
  </si>
  <si>
    <t>XTAE131211D</t>
  </si>
  <si>
    <t>Tấm cao su lưu hóa Aeroflex MSR D13x1.20x11 Dính</t>
  </si>
  <si>
    <t>XTAE131211B</t>
  </si>
  <si>
    <t>Tấm cao su lưu hóa Aeroflex MSR D13x1.20x11 Bạc</t>
  </si>
  <si>
    <t>XTAE131211D2M</t>
  </si>
  <si>
    <t>Tấm cao su lưu hóa Aeroflex MSR D13x1.20x11 2 mặt dính</t>
  </si>
  <si>
    <t>XTAE131211BD</t>
  </si>
  <si>
    <t>Tấm cao su lưu hóa Aeroflex MSR D13x1.20x11 Bạc dính</t>
  </si>
  <si>
    <t>XTAE161210</t>
  </si>
  <si>
    <t>Tấm cao su lưu hóa Aeroflex MSR D16x1.20x10</t>
  </si>
  <si>
    <t>XTAE161210D</t>
  </si>
  <si>
    <t>Tấm cao su lưu hóa Aeroflex MSR D16x1.20x10 Dính</t>
  </si>
  <si>
    <t>XTAE161210B</t>
  </si>
  <si>
    <t>Tấm cao su lưu hóa Aeroflex MSR D16x1.20x10 Bạc</t>
  </si>
  <si>
    <t>XTAE161210D2M</t>
  </si>
  <si>
    <t>Tấm cao su lưu hóa Aeroflex MSR D16x1.20x10 2 mặt dính</t>
  </si>
  <si>
    <t>XTAE161210BD</t>
  </si>
  <si>
    <t>Tấm cao su lưu hóa Aeroflex MSR D16x1.20x10 Bạc dính</t>
  </si>
  <si>
    <t>XTAE191207</t>
  </si>
  <si>
    <t>Tấm cao su lưu hóa Aeroflex MSR D19x1.20x7</t>
  </si>
  <si>
    <t>XTAE191207D</t>
  </si>
  <si>
    <t>Tấm cao su lưu hóa Aeroflex MSR D19x1.20x7 Dính</t>
  </si>
  <si>
    <t>XTAE191207B</t>
  </si>
  <si>
    <t>Tấm cao su lưu hóa Aeroflex MSR D19x1.20x7 Bạc</t>
  </si>
  <si>
    <t>XTAE191207D2M</t>
  </si>
  <si>
    <t>Tấm cao su lưu hóa Aeroflex MSR D19x1.20x7 2 mặt dính</t>
  </si>
  <si>
    <t>XTAE191207BD</t>
  </si>
  <si>
    <t>Tấm cao su lưu hóa Aeroflex MSR D19x1.20x7 Bạc dính</t>
  </si>
  <si>
    <t>XTAE251205</t>
  </si>
  <si>
    <t>Tấm cao su lưu hóa Aeroflex MSR D25x1.20x5</t>
  </si>
  <si>
    <t>XTAE251205D</t>
  </si>
  <si>
    <t>Tấm cao su lưu hóa Aeroflex MSR D25x1.20x5 Dính</t>
  </si>
  <si>
    <t>XTAE251205B</t>
  </si>
  <si>
    <t>Tấm cao su lưu hóa Aeroflex MSR D25x1.20x5 Bạc</t>
  </si>
  <si>
    <t>XTAE251205D2M</t>
  </si>
  <si>
    <t>Tấm cao su lưu hóa Aeroflex MSR D25x1.20x5 2 mặt dính</t>
  </si>
  <si>
    <t>XTAE251205BD</t>
  </si>
  <si>
    <t>Tấm cao su lưu hóa Aeroflex MSR D25x1.20x5 Bạc dính</t>
  </si>
  <si>
    <t>XAE-TIB</t>
  </si>
  <si>
    <t>XTAE321204</t>
  </si>
  <si>
    <t>Tấm cao su lưu hóa Aeroflex MSR D32x1.20x4</t>
  </si>
  <si>
    <t>XTAE321204D</t>
  </si>
  <si>
    <t>Tấm cao su lưu hóa Aeroflex MSR D32x1.20x4 Dính</t>
  </si>
  <si>
    <t>XTAE321204B</t>
  </si>
  <si>
    <t>Tấm cao su lưu hóa Aeroflex MSR D32x1.20x4 Bạc</t>
  </si>
  <si>
    <t>XTAE321204D2M</t>
  </si>
  <si>
    <t>Tấm cao su lưu hóa Aeroflex MSR D32x1.20x4 2 mặt dính</t>
  </si>
  <si>
    <t>XTAE321204BD</t>
  </si>
  <si>
    <t>Tấm cao su lưu hóa Aeroflex MSR D32x1.20x4 Bạc dính</t>
  </si>
  <si>
    <t>XTAE381203</t>
  </si>
  <si>
    <t>Tấm cao su lưu hóa Aeroflex MSR D38x1.20x3</t>
  </si>
  <si>
    <t>XTAE381203D</t>
  </si>
  <si>
    <t>Tấm cao su lưu hóa Aeroflex MSR D38x1.20x3 Dính</t>
  </si>
  <si>
    <t>XTAE381203B</t>
  </si>
  <si>
    <t>Tấm cao su lưu hóa Aeroflex MSR D38x1.20x3 Bạc</t>
  </si>
  <si>
    <t>XTAE381203D2M</t>
  </si>
  <si>
    <t>Tấm cao su lưu hóa Aeroflex MSR D38x1.20x3 2 mặt dính</t>
  </si>
  <si>
    <t>XTAE381203BD</t>
  </si>
  <si>
    <t>Tấm cao su lưu hóa Aeroflex MSR D38x1.20x3 Bạc dính</t>
  </si>
  <si>
    <t>XTAE501202</t>
  </si>
  <si>
    <t>Tấm cao su lưu hóa Aeroflex MSR D50x1.20x2</t>
  </si>
  <si>
    <t>XTAE501202D</t>
  </si>
  <si>
    <t>Tấm cao su lưu hóa Aeroflex MSR D50x1.20x2 Dính</t>
  </si>
  <si>
    <t>XTAE501202B</t>
  </si>
  <si>
    <t>Tấm cao su lưu hóa Aeroflex MSR D50x1.20x2 Bạc</t>
  </si>
  <si>
    <t>XTAE501202D2M</t>
  </si>
  <si>
    <t>Tấm cao su lưu hóa Aeroflex MSR D50x1.20x2 2 mặt dính</t>
  </si>
  <si>
    <t>XTAE501202BD</t>
  </si>
  <si>
    <t>Tấm cao su lưu hóa Aeroflex MSR D50x1.20x2 Bạc dính</t>
  </si>
  <si>
    <t>Aeroflex Class A - ACDIMSR</t>
  </si>
  <si>
    <t>XTAEACDI091215</t>
  </si>
  <si>
    <t>Tấm cao su lưu hóa Aeroflex ACDIMSR D9x1.20x15</t>
  </si>
  <si>
    <t>XTAEACDI091215D</t>
  </si>
  <si>
    <t>Tấm cao su lưu hóa Aeroflex ACDIMSR D9x1.20x15 Dính</t>
  </si>
  <si>
    <t>XTAEACDI091215B</t>
  </si>
  <si>
    <t>Tấm cao su lưu hóa Aeroflex ACDIMSR D9x1.20x15 Bạc</t>
  </si>
  <si>
    <t>XTAEACDI091215D2M</t>
  </si>
  <si>
    <t>Tấm cao su lưu hóa Aeroflex ACDIMSR D9x1.20x15 2 mặt dính</t>
  </si>
  <si>
    <t>XTAEACDI091215BD</t>
  </si>
  <si>
    <t>Tấm cao su lưu hóa Aeroflex ACDIMSR D9x1.20x15 Bạc dính</t>
  </si>
  <si>
    <t>XTAEACDI131211</t>
  </si>
  <si>
    <t>Tấm cao su lưu hóa Aeroflex ACDIMSR D13x1.20x11</t>
  </si>
  <si>
    <t>XTAEACDI131211D</t>
  </si>
  <si>
    <t>Tấm cao su lưu hóa Aeroflex ACDIMSR D13x1.20x11 Dính</t>
  </si>
  <si>
    <t>XTAEACDI131211B</t>
  </si>
  <si>
    <t>Tấm cao su lưu hóa Aeroflex ACDIMSR D13x1.20x11 Bạc</t>
  </si>
  <si>
    <t>XTAEACDI131211D2M</t>
  </si>
  <si>
    <t>Tấm cao su lưu hóa Aeroflex ACDIMSR D13x1.20x11 2 mặt dính</t>
  </si>
  <si>
    <t>XTAEACDI131211BD</t>
  </si>
  <si>
    <t>Tấm cao su lưu hóa Aeroflex ACDIMSR D13x1.20x11 Bạc dính</t>
  </si>
  <si>
    <t>XTAEACDI161210</t>
  </si>
  <si>
    <t>Tấm cao su lưu hóa Aeroflex ACDIMSR D16x1.20x10</t>
  </si>
  <si>
    <t>XAE-TTD</t>
  </si>
  <si>
    <t>XTAEACDI161210D</t>
  </si>
  <si>
    <t>Tấm cao su lưu hóa Aeroflex ACDIMSR D16x1.20x10 Dính</t>
  </si>
  <si>
    <t>XTAEACDI161210B</t>
  </si>
  <si>
    <t>Tấm cao su lưu hóa Aeroflex ACDIMSR D16x1.20x10 Bạc</t>
  </si>
  <si>
    <t>XTAEACDI161210D2M</t>
  </si>
  <si>
    <t>Tấm cao su lưu hóa Aeroflex ACDIMSR D16x1.20x10 2 mặt dính</t>
  </si>
  <si>
    <t>XTAEACDI161210BD</t>
  </si>
  <si>
    <t>Tấm cao su lưu hóa Aeroflex ACDIMSR D16x1.20x10 Bạc dính</t>
  </si>
  <si>
    <t>XTAEACDI191207</t>
  </si>
  <si>
    <t>Tấm cao su lưu hóa Aeroflex ACDIMSR D19x1.20x7</t>
  </si>
  <si>
    <t>XTAEACDI191207D</t>
  </si>
  <si>
    <t>Tấm cao su lưu hóa Aeroflex ACDIMSR D19x1.20x7 Dính</t>
  </si>
  <si>
    <t>XTAEACDI191207B</t>
  </si>
  <si>
    <t>Tấm cao su lưu hóa Aeroflex ACDIMSR D19x1.20x7 Bạc</t>
  </si>
  <si>
    <t>XTAEACDI191207D2M</t>
  </si>
  <si>
    <t>Tấm cao su lưu hóa Aeroflex ACDIMSR D19x1.20x7 2 mặt dính</t>
  </si>
  <si>
    <t>XTAEACDI191207BD</t>
  </si>
  <si>
    <t>Tấm cao su lưu hóa Aeroflex ACDIMSR D19x1.20x7 Bạc dính</t>
  </si>
  <si>
    <t>XTAEACDI251205</t>
  </si>
  <si>
    <t>Tấm cao su lưu hóa Aeroflex ACDIMSR D25x1.20x5</t>
  </si>
  <si>
    <t>XTAEACDI251205D</t>
  </si>
  <si>
    <t>Tấm cao su lưu hóa Aeroflex ACDIMSR D25x1.20x5 Dính</t>
  </si>
  <si>
    <t>XTAEACDI251205B</t>
  </si>
  <si>
    <t>Tấm cao su lưu hóa Aeroflex ACDIMSR D25x1.20x5 Bạc</t>
  </si>
  <si>
    <t>XTAEACDI251205D2M</t>
  </si>
  <si>
    <t>Tấm cao su lưu hóa Aeroflex ACDIMSR D25x1.20x5 2 mặt dính</t>
  </si>
  <si>
    <t>XTAEACDI251205BD</t>
  </si>
  <si>
    <t>Tấm cao su lưu hóa Aeroflex ACDIMSR D25x1.20x5 Bạc dính</t>
  </si>
  <si>
    <t>3. NHÓM GAS</t>
  </si>
  <si>
    <t>Chủng loại</t>
  </si>
  <si>
    <t>Đặc tính</t>
  </si>
  <si>
    <t>Chemours USA</t>
  </si>
  <si>
    <t>GASKHAC</t>
  </si>
  <si>
    <t>GA123CHEM-USA</t>
  </si>
  <si>
    <t>Gas lạnh R123 Chemours USA (45.4kg/bình)</t>
  </si>
  <si>
    <t>R123</t>
  </si>
  <si>
    <t>T</t>
  </si>
  <si>
    <t>GAS134C</t>
  </si>
  <si>
    <t>Gas lạnh 134a Freon Chemours USA (13.6kg/bình)</t>
  </si>
  <si>
    <t>GAS404C</t>
  </si>
  <si>
    <t>Gas lạnh Freon 404 Chemours USA (10.89kg/bình)</t>
  </si>
  <si>
    <t>Gas lạnh 404a Chemours (10.896 kg/bình) (Dupont cũ đổi tên)</t>
  </si>
  <si>
    <t>GAS407C</t>
  </si>
  <si>
    <t>Gas lạnh 407C Chemours USA (11.35kg/bình)</t>
  </si>
  <si>
    <t>GAS410C</t>
  </si>
  <si>
    <t>Gas lạnh Freon 410a Chemours (11.35kg/bình)</t>
  </si>
  <si>
    <t>Gas lạnh Freon 410a Chemours USA (11.35kg/bình)</t>
  </si>
  <si>
    <t>SRF Ấn Độ</t>
  </si>
  <si>
    <t>GASR22</t>
  </si>
  <si>
    <t>GA22SRF</t>
  </si>
  <si>
    <t>Gas lạnh R22 SRF Ấn Độ (13.6 kg/bình)</t>
  </si>
  <si>
    <t>GAS134S</t>
  </si>
  <si>
    <t>Gas lạnh SRF R134A Ấn Độ (13.6kg/bình)</t>
  </si>
  <si>
    <t>GASSRF</t>
  </si>
  <si>
    <t>Gas lạnh SRF R404A Ấn Độ (10.09kg/bình)</t>
  </si>
  <si>
    <t>Gas lạnh SRF R407C Ấn Độ (11.3kg/bình)</t>
  </si>
  <si>
    <t>GA410SRF</t>
  </si>
  <si>
    <t>Gas lạnh SRF R410A Ấn Độ (11.3kg/bình)</t>
  </si>
  <si>
    <t>Bestgas</t>
  </si>
  <si>
    <t>GASKHACLK</t>
  </si>
  <si>
    <t>Gas lạnh 404A Bestgas (10.9kg/bình)</t>
  </si>
  <si>
    <t xml:space="preserve">R404 </t>
  </si>
  <si>
    <t>Floron Ấn Độ</t>
  </si>
  <si>
    <t>GASFLORON</t>
  </si>
  <si>
    <t>GA134FLORON</t>
  </si>
  <si>
    <t>Gas lạnh R134a Floron Ấn Độ (13.6kg/bình)</t>
  </si>
  <si>
    <t>Gas lạnh Floron R134A Ấn Độ (3 kg/bình)</t>
  </si>
  <si>
    <t>B</t>
  </si>
  <si>
    <t>Refron</t>
  </si>
  <si>
    <t>Gas lạnh R22 Refron Ấn Độ (13.6 kg/bình)</t>
  </si>
  <si>
    <t>GA22L1(TO)</t>
  </si>
  <si>
    <t>Gas lạnh R22 Refron Ấn Độ (22.7 kg/bình)</t>
  </si>
  <si>
    <t>GASREFRON</t>
  </si>
  <si>
    <t>Gas lạnh R407 Refron Ấn Độ (11.3Kg/ bình)</t>
  </si>
  <si>
    <t>Gas lạnh R410 Refron Ấn Độ (11.3Kg/ bình)</t>
  </si>
  <si>
    <t>Akema</t>
  </si>
  <si>
    <t>GASARKEMA</t>
  </si>
  <si>
    <t>GA134AKMFOVT</t>
  </si>
  <si>
    <t>Gas lạnh 134 Akema Forace (13,6kg/bình) - Loại van to</t>
  </si>
  <si>
    <t>Taisei Ấn Độ</t>
  </si>
  <si>
    <t>GAS134T</t>
  </si>
  <si>
    <t>GA134TAI-AD</t>
  </si>
  <si>
    <t>Gas lạnh R134 TAISEI INDIA (13.6kg/bình)</t>
  </si>
  <si>
    <t>GAS022T</t>
  </si>
  <si>
    <t>Gas lạnh R22 Taisei Ấn Độ (13.6kg/bình)</t>
  </si>
  <si>
    <t>GA22TAISEITO</t>
  </si>
  <si>
    <t>Gas lạnh R22 Taisei Ấn Độ bình to (22.7 Kg/bình)</t>
  </si>
  <si>
    <t>GAS410T</t>
  </si>
  <si>
    <t>Gas lạnh R410 TAISEI INDIA (11.3kg/bình)</t>
  </si>
  <si>
    <t>Gas lạnh R22 Taisei ( 3Kg/bình)</t>
  </si>
  <si>
    <t>Gas lạnh R22 Taisei (13.6kg/bình)</t>
  </si>
  <si>
    <t>GAS032T</t>
  </si>
  <si>
    <t>Gas lạnh R32 Taisei (3Kg/bình)</t>
  </si>
  <si>
    <t>Gas lạnh R32 Taisei (7Kg/bình)</t>
  </si>
  <si>
    <t>Gas lạnh R32 Taisei ( 9.5Kg/bình)</t>
  </si>
  <si>
    <t>Gas lạnh R32 Taisei (10Kg/bình)</t>
  </si>
  <si>
    <t>Gas lạnh 134 Taisei Akashi - Nhật ( 13.60 kg/bình)</t>
  </si>
  <si>
    <t>Gas lạnh R134a Taisei (13.6 kg/bình)</t>
  </si>
  <si>
    <t>Gas lạnh R134a Taisei (3 kg/bình)</t>
  </si>
  <si>
    <t>Gas lạnh R410 TAISEI ( 2.8kg/bình)</t>
  </si>
  <si>
    <t>GA410TAI-TQ36</t>
  </si>
  <si>
    <t>Gas lạnh R410 TAISEI ( 3.6kg/bình)</t>
  </si>
  <si>
    <t>Gas lạnh R410 TAISEI ( 11.3kg/bình)</t>
  </si>
  <si>
    <t>GAS404T</t>
  </si>
  <si>
    <t>Gas lạnh R404A Taisei ( 2.7Kg/bình)</t>
  </si>
  <si>
    <t>Gas lạnh R404A Taisei (10.9Kg/bình)</t>
  </si>
  <si>
    <t>GAS407T</t>
  </si>
  <si>
    <t>Gas lạnh R407C Taisei ( 2.8Kg/bình)</t>
  </si>
  <si>
    <t>GASLK</t>
  </si>
  <si>
    <t>Gas lạnh R600A Taisei ( 3Kg/bình)</t>
  </si>
  <si>
    <t>Gas lạnh R600A Taisei ( 6.5Kg/bình)</t>
  </si>
  <si>
    <t>4. NHÓM CÁCH NHIỆT</t>
  </si>
  <si>
    <t>ỐNG GIÓ ORD</t>
  </si>
  <si>
    <t>OGOR-T</t>
  </si>
  <si>
    <t>OGT450</t>
  </si>
  <si>
    <t>Ống gió trơn D450</t>
  </si>
  <si>
    <t>OGOR-B</t>
  </si>
  <si>
    <t>OGT10010</t>
  </si>
  <si>
    <t>Ống gió trơn D100 (10m/c)</t>
  </si>
  <si>
    <t>OGT15010</t>
  </si>
  <si>
    <t>Ống gió trơn D150 (10m/c)</t>
  </si>
  <si>
    <t>OGT20010</t>
  </si>
  <si>
    <t>Ống gió trơn D200 (10m/c)</t>
  </si>
  <si>
    <t>OGT25010</t>
  </si>
  <si>
    <t>Ống gió trơn D250 (10m/c)</t>
  </si>
  <si>
    <t>OGT30010</t>
  </si>
  <si>
    <t>Ống gió trơn D300 (10m/c)</t>
  </si>
  <si>
    <t>OGB10010</t>
  </si>
  <si>
    <t>Ống gió bạc D100 (10m/c)</t>
  </si>
  <si>
    <t>OGB15010</t>
  </si>
  <si>
    <t>Ống gió bạc D150 (10m/c)</t>
  </si>
  <si>
    <t>OGB20010</t>
  </si>
  <si>
    <t>Ống gió bạc D200 (10m/c)</t>
  </si>
  <si>
    <t>OGB25010</t>
  </si>
  <si>
    <t>Ống gió bạc D250 (10m/c)</t>
  </si>
  <si>
    <t>OGB30010</t>
  </si>
  <si>
    <t>Ống gió bạc D300 (10m/c)</t>
  </si>
  <si>
    <t>OGB1003208</t>
  </si>
  <si>
    <t>Ống gió bạc D100 tỷ trọng 32kg/m3 (8m/c)</t>
  </si>
  <si>
    <t>OGB1253208</t>
  </si>
  <si>
    <t>Ống gió bạc D125 tỷ trọng 32kg/m3 (8m/c)</t>
  </si>
  <si>
    <t>OGB1503208</t>
  </si>
  <si>
    <t>Ống gió bạc D150 tỷ trọng 32kg/m3 (8m/c)</t>
  </si>
  <si>
    <t>Ống gió bạc D200 tỷ trọng 32kg/m3</t>
  </si>
  <si>
    <t>Ống gió bạc D250 tỷ trọng 32kg/m3</t>
  </si>
  <si>
    <t>Ống gió bạc D300 tỷ trọng 32kg/m3</t>
  </si>
  <si>
    <t>Ống gió bạc D350 tỷ trọng 32kg/m3</t>
  </si>
  <si>
    <t>Ống gió bạc D400 tỷ trọng 32kg/m3</t>
  </si>
  <si>
    <t>Ống gió bạc D450 tỷ trọng 32kg/m3</t>
  </si>
  <si>
    <t>OGB1253210</t>
  </si>
  <si>
    <t>Ống gió bạc D125 tỷ trọng 32kg/m3 (10m/c)</t>
  </si>
  <si>
    <t>OGB1503210</t>
  </si>
  <si>
    <t>Ống gió bạc D150 tỷ trọng 32kg/m3 ( 10m/c)</t>
  </si>
  <si>
    <t>OGB2003210</t>
  </si>
  <si>
    <t>Ống gió bạc D200 tỷ trọng 32kg/m3 (10m/c)</t>
  </si>
  <si>
    <t>OGB2503210</t>
  </si>
  <si>
    <t>Ống gió bạc D250 tỷ trọng 32kg/m3 (10m/c)</t>
  </si>
  <si>
    <t>OGB3002450</t>
  </si>
  <si>
    <t>Ống gió bạc D300 (tỷ trọng 24 dầy 50)</t>
  </si>
  <si>
    <t>OGB3003210</t>
  </si>
  <si>
    <t>Ống gió bạc D300 tỷ trọng 32kg/m3 (10m/c)</t>
  </si>
  <si>
    <t>OGB3503210</t>
  </si>
  <si>
    <t>Ống gió bạc D350 tỷ trọng 32kg/m3 (10m/c)</t>
  </si>
  <si>
    <t>OGB4003210</t>
  </si>
  <si>
    <t>Ống gió bạc D400 tỷ trọng 32kg/m3 (10m/c)</t>
  </si>
  <si>
    <t>ỐNG GIÓ TAISEI</t>
  </si>
  <si>
    <t>OGTS-T</t>
  </si>
  <si>
    <t>Ống gió trơn D100 TAISEI</t>
  </si>
  <si>
    <t>Ống gió trơn D125 TAISEI</t>
  </si>
  <si>
    <t>Ống gió trơn D150 TAISEI</t>
  </si>
  <si>
    <t>Ống gió trơn D200 TAISEI</t>
  </si>
  <si>
    <t>Ống gió trơn D250 TAISEI</t>
  </si>
  <si>
    <t>Ống gió trơn D300 TAISEI</t>
  </si>
  <si>
    <t>Ống gió trơn D350 TAISEI</t>
  </si>
  <si>
    <t>Ống gió trơn D400 TAISEI</t>
  </si>
  <si>
    <t>OGTTS450</t>
  </si>
  <si>
    <t>Ống gió trơn D450 TAISEI</t>
  </si>
  <si>
    <t>OGTS-B</t>
  </si>
  <si>
    <t>Ống gió bạc D100 TAISEI</t>
  </si>
  <si>
    <t>Ống gió bạc D125 TAISEI</t>
  </si>
  <si>
    <t>Ống gió bạc D150 TAISEI</t>
  </si>
  <si>
    <t>Ống gió bạc D200 TAISEI</t>
  </si>
  <si>
    <t>Ống gió bạc D250 TAISEI</t>
  </si>
  <si>
    <t>Ống gió bạc D300 TAISEI</t>
  </si>
  <si>
    <t>Ống gió bạc D350 TAISEI</t>
  </si>
  <si>
    <t>Ống gió bạc D400 TAISEI</t>
  </si>
  <si>
    <t>Ống gió bạc D450 TAISEI</t>
  </si>
  <si>
    <t>Ống gió bạc D100 TAISEI tỷ trọng 32kg/m3</t>
  </si>
  <si>
    <t>OGBTS12532</t>
  </si>
  <si>
    <t>Ống gió bạc D125 TAISEI tỷ trọng 32kg/m3</t>
  </si>
  <si>
    <t>Ống gió bạc D150 TAISEI tỷ trọng 32kg/m3</t>
  </si>
  <si>
    <t>Ống gió bạc D200 TAISEI tỷ trọng 32kg/m3</t>
  </si>
  <si>
    <t>Ống gió bạc D250 TAISEI tỷ trọng 32kg/m3</t>
  </si>
  <si>
    <t>Ống gió bạc D300 TAISEI tỷ trọng 32kg/m3</t>
  </si>
  <si>
    <t>Ống gió bạc D350 TAISEI tỷ trọng 32kg/m3</t>
  </si>
  <si>
    <t>Ống gió bạc D400 TAISEI tỷ trọng 32kg/m3</t>
  </si>
  <si>
    <t>Ống gió bạc D450 TAISEI tỷ trọng 32kg/m3</t>
  </si>
  <si>
    <t>Polyeste</t>
  </si>
  <si>
    <t>OGOR-P</t>
  </si>
  <si>
    <t>OGBPL450</t>
  </si>
  <si>
    <t>Ống gió bạc D450 Polyester (8m/cuộn)</t>
  </si>
  <si>
    <t>Bông khoáng - bông thủy tinh ORD</t>
  </si>
  <si>
    <t>BKKO</t>
  </si>
  <si>
    <t>BKDH28X25CB</t>
  </si>
  <si>
    <t>Bông khoáng dạng ống 28x25 có bạc</t>
  </si>
  <si>
    <t>BKDH34X25CB</t>
  </si>
  <si>
    <t>Bông khoáng dạng ống 34x25 có bạc</t>
  </si>
  <si>
    <t>BKDH43X25CB</t>
  </si>
  <si>
    <t>Bông khoáng dạng ống 43x25 có bạc</t>
  </si>
  <si>
    <t>BKDH48X25CB</t>
  </si>
  <si>
    <t>Bông khoáng dạng ống 48x25 có bạc</t>
  </si>
  <si>
    <t>BKDH60X25CB</t>
  </si>
  <si>
    <t>Bông khoáng dạng ống 60x25 có bạc</t>
  </si>
  <si>
    <t>BKDH76X25CB</t>
  </si>
  <si>
    <t>Bông khoáng dạng ống 76x25 có bạc</t>
  </si>
  <si>
    <t>BKDH114X25C</t>
  </si>
  <si>
    <t>Bông khoáng dạng ống 114x25 có bạc</t>
  </si>
  <si>
    <t>BKDH22X30CB</t>
  </si>
  <si>
    <t>Bông khoáng dạng ống 22x30 có bạc</t>
  </si>
  <si>
    <t>BKDH28X30CB</t>
  </si>
  <si>
    <t>Bông khoáng dạng ống 28x30 có bạc</t>
  </si>
  <si>
    <t>BKDH34X30CB</t>
  </si>
  <si>
    <t>Bông khoáng dạng ống 34x30 có bạc</t>
  </si>
  <si>
    <t>BKD4330CB</t>
  </si>
  <si>
    <t>Bông khoáng dạng ống 43x30 có bạc</t>
  </si>
  <si>
    <t>BKDH48X30CB</t>
  </si>
  <si>
    <t>Bông khoáng dạng ống 48x30 có bạc</t>
  </si>
  <si>
    <t>BKDH60X30CB</t>
  </si>
  <si>
    <t>Bông khoáng dạng ống 60x30 có bạc</t>
  </si>
  <si>
    <t>BKDH89X30CB</t>
  </si>
  <si>
    <t>Bông khoáng dạng ống 89x30 có bạc</t>
  </si>
  <si>
    <t>BKD11430CB</t>
  </si>
  <si>
    <t>Bông khoáng dạng ống 114x30 có bạc</t>
  </si>
  <si>
    <t>BKDH140X30CB</t>
  </si>
  <si>
    <t>Bông khoáng dạng ống 140x30 có bạc</t>
  </si>
  <si>
    <t>BKDH22X40CB</t>
  </si>
  <si>
    <t>Bông khoáng dạng ống 22x40 có bạc</t>
  </si>
  <si>
    <t>BKDH28X40CB</t>
  </si>
  <si>
    <t>Bông khoáng dạng ống 28x40 có bạc</t>
  </si>
  <si>
    <t>BKDH34X40CB</t>
  </si>
  <si>
    <t>Bông khoáng dạng ống 34x40 có bạc</t>
  </si>
  <si>
    <t>BKDH43X40CB</t>
  </si>
  <si>
    <t>Bông khoáng dạng ống 43x40 có bạc</t>
  </si>
  <si>
    <t>BKDH48X40CB</t>
  </si>
  <si>
    <t>Bông khoáng dạng ống 48x40 có bạc</t>
  </si>
  <si>
    <t>BKDH60X40CB</t>
  </si>
  <si>
    <t>Bông khoáng dạng ống 60x40 có bạc</t>
  </si>
  <si>
    <t>BKDH76X40CB</t>
  </si>
  <si>
    <t>Bông khoáng dạng ống 76x40 có bạc</t>
  </si>
  <si>
    <t>BKDO8940CB</t>
  </si>
  <si>
    <t>Bông khoáng dạng ống 89x40 có bạc</t>
  </si>
  <si>
    <t>BKD11440CB</t>
  </si>
  <si>
    <t>Bông khoáng dạng ống 114x40 có bạc</t>
  </si>
  <si>
    <t>BKDO14040CB</t>
  </si>
  <si>
    <t>Bông khoáng dạng ống 140x40 có bạc</t>
  </si>
  <si>
    <t>BKDO16940CB</t>
  </si>
  <si>
    <t>Bông khoáng dạng ống 169x40 có bạc</t>
  </si>
  <si>
    <t>BKDH219X40CB</t>
  </si>
  <si>
    <t>Bông khoáng dạng ống 219x40 có bạc</t>
  </si>
  <si>
    <t>BKDO273X40</t>
  </si>
  <si>
    <t>Bông khoáng dạng ống 273x40 có bạc</t>
  </si>
  <si>
    <t>BKDH325X40CB</t>
  </si>
  <si>
    <t>Bông khoáng dạng ống 325x40 có bạc</t>
  </si>
  <si>
    <t>BKDH22X50CB</t>
  </si>
  <si>
    <t>Bông khoáng dạng ống 22x50 có bạc</t>
  </si>
  <si>
    <t>BKDH22X50KB</t>
  </si>
  <si>
    <t>Bông khoáng dạng ống 22x50 không bạc</t>
  </si>
  <si>
    <t>BKDO2850CB</t>
  </si>
  <si>
    <t>Bông khoáng dạng ống 28x50 có bạc</t>
  </si>
  <si>
    <t>BKDO2850KB</t>
  </si>
  <si>
    <t>Bông khoáng dạng ống 28x50 không bạc</t>
  </si>
  <si>
    <t>BKDO3450CB</t>
  </si>
  <si>
    <t>Bông khoáng dạng ống 34x50 có bạc</t>
  </si>
  <si>
    <t>BKDO3450KB</t>
  </si>
  <si>
    <t>Bông khoáng dạng ống 34x50 không bạc</t>
  </si>
  <si>
    <t>BKDO4350CB</t>
  </si>
  <si>
    <t>Bông khoáng dạng ống 43x50 có bạc</t>
  </si>
  <si>
    <t>BKDO4350KB</t>
  </si>
  <si>
    <t>Bông khoáng dạng ống 43x50 không bạc</t>
  </si>
  <si>
    <t>BKDO4850CB</t>
  </si>
  <si>
    <t>Bông khoáng dạng ống 48x50 có bạc</t>
  </si>
  <si>
    <t>BKDO4850KB</t>
  </si>
  <si>
    <t>Bông khoáng dạng ống 48x50 không bạc</t>
  </si>
  <si>
    <t>HKBKC6050CB</t>
  </si>
  <si>
    <t>Bông khoáng dạng ống 60x50 có bạc</t>
  </si>
  <si>
    <t>HKBKC6050KB</t>
  </si>
  <si>
    <t>Bông khoáng dạng ống 60x50 không bạc</t>
  </si>
  <si>
    <t>BKDO7650CB</t>
  </si>
  <si>
    <t>Bông khoáng dạng ống 76x50 có bạc</t>
  </si>
  <si>
    <t>BKDO7650KB</t>
  </si>
  <si>
    <t>Bông khoáng dạng ống 76x50 không bạc</t>
  </si>
  <si>
    <t>BKDH89X50CB</t>
  </si>
  <si>
    <t>Bông khoáng dạng ống 89x50 có bạc</t>
  </si>
  <si>
    <t>BKDO8950KB</t>
  </si>
  <si>
    <t>Bông khoáng dạng ống 89x50 không bạc</t>
  </si>
  <si>
    <t>BKDH114X50CB</t>
  </si>
  <si>
    <t>Bông khoáng dạng ống 114x50 có bạc</t>
  </si>
  <si>
    <t>BKDO11450KB</t>
  </si>
  <si>
    <t>Bông khoáng dạng ống 114x50 không bạc</t>
  </si>
  <si>
    <t>BKDO14050CB</t>
  </si>
  <si>
    <t>Bông khoáng dạng ống 140x50 có bạc</t>
  </si>
  <si>
    <t>BKDO14050KB</t>
  </si>
  <si>
    <t>Bông khoáng dạng ống 140x50 không bạc</t>
  </si>
  <si>
    <t>BKDH169X50CB</t>
  </si>
  <si>
    <t>Bông khoáng dạng ống 169x50 có bạc</t>
  </si>
  <si>
    <t>BKDO21950CB</t>
  </si>
  <si>
    <t>Bông khoáng dạng ống 219x50 có bạc</t>
  </si>
  <si>
    <t>BKDO27350CB</t>
  </si>
  <si>
    <t>Bông khoáng dạng ống 273x50 có bạc</t>
  </si>
  <si>
    <t>BKDOD325X50CB</t>
  </si>
  <si>
    <t>Bông khoáng dạng ống 325x50 có bạc</t>
  </si>
  <si>
    <t>BKDO2260CB</t>
  </si>
  <si>
    <t>Bông khoáng dạng ống 22x60 có bạc</t>
  </si>
  <si>
    <t>BKDO3460CB</t>
  </si>
  <si>
    <t>Bông khoáng dạng ống 34x60 có bạc</t>
  </si>
  <si>
    <t>BKDO4360CB</t>
  </si>
  <si>
    <t>Bông khoáng dạng ống 43x60 có bạc</t>
  </si>
  <si>
    <t>BKDO4860CB</t>
  </si>
  <si>
    <t>Bông khoáng dạng ống 48x60 có bạc</t>
  </si>
  <si>
    <t>BKDO6060CB</t>
  </si>
  <si>
    <t>Bông khoáng dạng ống 60x60 có bạc</t>
  </si>
  <si>
    <t>BKDO7660CB</t>
  </si>
  <si>
    <t>Bông khoáng dạng ống 76x60 có bạc</t>
  </si>
  <si>
    <t>BKDO8960CB</t>
  </si>
  <si>
    <t>Bông khoáng dạng ống 89x60 có bạc</t>
  </si>
  <si>
    <t>BKDO11460CB</t>
  </si>
  <si>
    <t>Bông khoáng dạng ống 114x60 có bạc</t>
  </si>
  <si>
    <t>BKDO14060CB</t>
  </si>
  <si>
    <t>Bông khoáng dạng ống 140x60 có bạc</t>
  </si>
  <si>
    <t>BKDO2280CB</t>
  </si>
  <si>
    <t>Bông khoáng dạng ống 22x80 có bạc</t>
  </si>
  <si>
    <t>BKDO3480CB</t>
  </si>
  <si>
    <t>Bông khoáng dạng ống 34x80 có bạc</t>
  </si>
  <si>
    <t>BKDO4380CB</t>
  </si>
  <si>
    <t>Bông khoáng dạng ống 43x80 có bạc</t>
  </si>
  <si>
    <t>BKDO4880CB</t>
  </si>
  <si>
    <t>Bông khoáng dạng ống 48x80 có bạc</t>
  </si>
  <si>
    <t>BKDO6080CB</t>
  </si>
  <si>
    <t>Bông khoáng dạng ống 60x80 có bạc</t>
  </si>
  <si>
    <t>BKDO7680CB</t>
  </si>
  <si>
    <t>Bông khoáng dạng ống 76x80 có bạc</t>
  </si>
  <si>
    <t>BKDO8980CB</t>
  </si>
  <si>
    <t>Bông khoáng dạng ống 89x80 có bạc</t>
  </si>
  <si>
    <t>BKDO11480CB</t>
  </si>
  <si>
    <t>Bông khoáng dạng ống 114x80 có bạc</t>
  </si>
  <si>
    <t>BKDO14080CB</t>
  </si>
  <si>
    <t>Bông khoáng dạng ống 140x80 có bạc</t>
  </si>
  <si>
    <t>BKDO16980CB</t>
  </si>
  <si>
    <t>Bông khoáng dạng ống 169x80 có bạc</t>
  </si>
  <si>
    <t>BKDO22x100CB</t>
  </si>
  <si>
    <t>Bông khoáng dạng ống 22x100 có bạc</t>
  </si>
  <si>
    <t>BKDO34x100CB</t>
  </si>
  <si>
    <t>Bông khoáng dạng ống 34x100 có bạc</t>
  </si>
  <si>
    <t>BKDO43x100CB</t>
  </si>
  <si>
    <t>Bông khoáng dạng ống 43x100 có bạc</t>
  </si>
  <si>
    <t>BKDO48x100CB</t>
  </si>
  <si>
    <t>Bông khoáng dạng ống 48x100 có bạc</t>
  </si>
  <si>
    <t>BKDO60x100CB</t>
  </si>
  <si>
    <t>Bông khoáng dạng ống 60x100 có bạc</t>
  </si>
  <si>
    <t>BKDO76x100CB</t>
  </si>
  <si>
    <t>Bông khoáng dạng ống 76x100 có bạc</t>
  </si>
  <si>
    <t>BKDO89x100CB</t>
  </si>
  <si>
    <t>Bông khoáng dạng ống 89x100 có bạc</t>
  </si>
  <si>
    <t>BKDO114x100CB</t>
  </si>
  <si>
    <t>Bông khoáng dạng ống 114x100 có bạc</t>
  </si>
  <si>
    <t>BKDO140x100CB</t>
  </si>
  <si>
    <t>Bông khoáng dạng ống 140x100 có bạc</t>
  </si>
  <si>
    <t>BKDO169x100CB</t>
  </si>
  <si>
    <t>Bông khoáng dạng ống 169x100 có bạc</t>
  </si>
  <si>
    <t>BKDO2260KB</t>
  </si>
  <si>
    <t>Bông khoáng dạng ống 22x60 không bạc</t>
  </si>
  <si>
    <t>BKDO3460KB</t>
  </si>
  <si>
    <t>Bông khoáng dạng ống 34x60 không bạc</t>
  </si>
  <si>
    <t>BKDO4360KB</t>
  </si>
  <si>
    <t>Bông khoáng dạng ống 43x60 không bạc</t>
  </si>
  <si>
    <t>BKDO4860KB</t>
  </si>
  <si>
    <t>Bông khoáng dạng ống 48x60 không bạc</t>
  </si>
  <si>
    <t>BKDO6060KB</t>
  </si>
  <si>
    <t>Bông khoáng dạng ống 60x60 không bạc</t>
  </si>
  <si>
    <t>BKDO7660KB</t>
  </si>
  <si>
    <t>Bông khoáng dạng ống 76x60 không bạc</t>
  </si>
  <si>
    <t>BKDO8960KB</t>
  </si>
  <si>
    <t>Bông khoáng dạng ống 89x60 không bạc</t>
  </si>
  <si>
    <t>BKDO11460KB</t>
  </si>
  <si>
    <t>Bông khoáng dạng ống 114x60 không bạc</t>
  </si>
  <si>
    <t>BKDO14060KB</t>
  </si>
  <si>
    <t>Bông khoáng dạng ống 140x60 không bạc</t>
  </si>
  <si>
    <t>BKDO16960KB</t>
  </si>
  <si>
    <t>Bông khoáng dạng ống 169x60 không bạc</t>
  </si>
  <si>
    <t>BKDO2280KB</t>
  </si>
  <si>
    <t>Bông khoáng dạng ống 22x80 không bạc</t>
  </si>
  <si>
    <t>BKDO3480KB</t>
  </si>
  <si>
    <t>Bông khoáng dạng ống 34x80 không bạc</t>
  </si>
  <si>
    <t>BKDO4380KB</t>
  </si>
  <si>
    <t>Bông khoáng dạng ống 43x80 không bạc</t>
  </si>
  <si>
    <t>BKDO4880KB</t>
  </si>
  <si>
    <t>Bông khoáng dạng ống 48x80 không bạc</t>
  </si>
  <si>
    <t>BKDO6080KB</t>
  </si>
  <si>
    <t>Bông khoáng dạng ống 60x80 không bạc</t>
  </si>
  <si>
    <t>BKDO7680KB</t>
  </si>
  <si>
    <t>Bông khoáng dạng ống 76x80 không bạc</t>
  </si>
  <si>
    <t>BKDO8980KB</t>
  </si>
  <si>
    <t>Bông khoáng dạng ống 89x80 không bạc</t>
  </si>
  <si>
    <t>BKDO11480KB</t>
  </si>
  <si>
    <t>Bông khoáng dạng ống 114x80 không bạc</t>
  </si>
  <si>
    <t>BKDO14080KB</t>
  </si>
  <si>
    <t>Bông khoáng dạng ống 140x80 không bạc</t>
  </si>
  <si>
    <t>BKDO16980KB</t>
  </si>
  <si>
    <t>Bông khoáng dạng ống 169x80 không bạc</t>
  </si>
  <si>
    <t>BKDO22x100KB</t>
  </si>
  <si>
    <t>Bông khoáng dạng ống 22x100 không bạc</t>
  </si>
  <si>
    <t>BKDO34x100KB</t>
  </si>
  <si>
    <t>Bông khoáng dạng ống 34x100 không bạc</t>
  </si>
  <si>
    <t>BKDO43x100KB</t>
  </si>
  <si>
    <t>Bông khoáng dạng ống 43x100 không bạc</t>
  </si>
  <si>
    <t>BKDO48x100KB</t>
  </si>
  <si>
    <t>Bông khoáng dạng ống 48x100 không bạc</t>
  </si>
  <si>
    <t>BKDO60x100KB</t>
  </si>
  <si>
    <t>Bông khoáng dạng ống 60x100 không bạc</t>
  </si>
  <si>
    <t>BKDO76x100KB</t>
  </si>
  <si>
    <t>Bông khoáng dạng ống 76x100 không bạc</t>
  </si>
  <si>
    <t>BKDO89x100KB</t>
  </si>
  <si>
    <t>Bông khoáng dạng ống 89x100 không bạc</t>
  </si>
  <si>
    <t>BKDO114x100KB</t>
  </si>
  <si>
    <t>Bông khoáng dạng ống 114x100 không bạc</t>
  </si>
  <si>
    <t>BKDO140x100KB</t>
  </si>
  <si>
    <t>Bông khoáng dạng ống 140x100 không bạc</t>
  </si>
  <si>
    <t>BKDO169x100KB</t>
  </si>
  <si>
    <t>Bông khoáng dạng ống 169x100 không bạc</t>
  </si>
  <si>
    <t>BKKK</t>
  </si>
  <si>
    <t>HKBK4050CB</t>
  </si>
  <si>
    <t>Bông khoáng dạng kiện 40x50 có bạc</t>
  </si>
  <si>
    <t>HKBK4050</t>
  </si>
  <si>
    <t>Bông khoáng dạng kiện 40x50 không bạc</t>
  </si>
  <si>
    <t>HKBK5050CB</t>
  </si>
  <si>
    <t>Bông khoáng dạng kiện 50x50 có bạc</t>
  </si>
  <si>
    <t>HKBKT5050</t>
  </si>
  <si>
    <t>Bông khoáng dạng kiện 50x50 không bạc</t>
  </si>
  <si>
    <t>HKBKT6050CB</t>
  </si>
  <si>
    <t>Bông khoáng dạng kiện 60x50 có bạc</t>
  </si>
  <si>
    <t>HKBKT6050</t>
  </si>
  <si>
    <t>Bông khoáng dạng kiện 60x50 không bạc</t>
  </si>
  <si>
    <t>HKBK8050</t>
  </si>
  <si>
    <t>Bông khoáng dạng kiện 80x50 không bạc</t>
  </si>
  <si>
    <t>HKBK8050CB</t>
  </si>
  <si>
    <t>Bông khoáng dạng kiện 80x50 có bạc</t>
  </si>
  <si>
    <t>HKBK10050</t>
  </si>
  <si>
    <t>Bông khoáng dạng kiện 100x50 không bạc</t>
  </si>
  <si>
    <t>HKBKT13050</t>
  </si>
  <si>
    <t>Bông khoáng dạng kiện 130x50 không bạc</t>
  </si>
  <si>
    <t>HKBK28800CB</t>
  </si>
  <si>
    <t>Bông khoáng dạng kiện 28x80 có bạc</t>
  </si>
  <si>
    <t>HKBK8080</t>
  </si>
  <si>
    <t>Bông khoáng dạng kiện 80x80 không bạc</t>
  </si>
  <si>
    <t>HKBK60100CB</t>
  </si>
  <si>
    <t>Bông khoáng dạng kiện 60x100 có bạc</t>
  </si>
  <si>
    <t>HKBK114110CB</t>
  </si>
  <si>
    <t>Bông khoáng dạng kiện 114x110 có bạc</t>
  </si>
  <si>
    <t>BTTO</t>
  </si>
  <si>
    <t>HKBK22X30CB</t>
  </si>
  <si>
    <t>Bông thủy tinh dạng ống 22x30 có bạc</t>
  </si>
  <si>
    <t>HKBK25x30</t>
  </si>
  <si>
    <t>Bông thủy tinh dạng ống 25x30</t>
  </si>
  <si>
    <t>BTTO28X30CB</t>
  </si>
  <si>
    <t>Bông thủy tinh dạng ống 28x30 có bạc</t>
  </si>
  <si>
    <t>HKBK28X30</t>
  </si>
  <si>
    <t>Bông thủy tinh dạng ống 28x30</t>
  </si>
  <si>
    <t>BTTO34X30CB</t>
  </si>
  <si>
    <t>Bông thủy tinh dạng ống 34x30 có bạc</t>
  </si>
  <si>
    <t>HKBK43X30</t>
  </si>
  <si>
    <t>Bông thủy tinh dạng ống 43x30</t>
  </si>
  <si>
    <t>BTTO43X30CB</t>
  </si>
  <si>
    <t>Bông thủy tinh dạng ống 43x30 có bạc</t>
  </si>
  <si>
    <t>BTTO48X30CB</t>
  </si>
  <si>
    <t>Bông thủy tinh dạng ống 48x30 có bạc</t>
  </si>
  <si>
    <t>HKBK60X30CB</t>
  </si>
  <si>
    <t>Bông thủy tinh dạng ống 60x30 có bạc</t>
  </si>
  <si>
    <t>HKBK76X30</t>
  </si>
  <si>
    <t>Bông thủy tinh dạng ống 76x30</t>
  </si>
  <si>
    <t>BTTO76X30CB</t>
  </si>
  <si>
    <t>Bông thủy tinh dạng ống 76x30 có bạc</t>
  </si>
  <si>
    <t>BTTO89X30CB</t>
  </si>
  <si>
    <t>Bông thủy tinh dạng ống 89x30 có bạc</t>
  </si>
  <si>
    <t>BKDH114X30CB</t>
  </si>
  <si>
    <t>Bông thủy tinh dạng ống 114x30 có bạc</t>
  </si>
  <si>
    <t>BTTO169X30CB</t>
  </si>
  <si>
    <t>Bông thủy tinh dạng ống 169x30 có bạc</t>
  </si>
  <si>
    <t>BTTO22X40CB</t>
  </si>
  <si>
    <t>Bông thủy tinh dạng ống 22x40 có bạc</t>
  </si>
  <si>
    <t>BTTO28X40CB</t>
  </si>
  <si>
    <t>Bông thủy tinh dạng ống 28x40 có bạc</t>
  </si>
  <si>
    <t>BTTO34X40CB</t>
  </si>
  <si>
    <t>Bông thủy tinh dạng ống 34x40 có bạc</t>
  </si>
  <si>
    <t>BKDH43X40</t>
  </si>
  <si>
    <t>Bông thủy tinh dạng ống 43x40</t>
  </si>
  <si>
    <t>BTTO43X40CB</t>
  </si>
  <si>
    <t>Bông thủy tinh dạng ống 43x40 có bạc</t>
  </si>
  <si>
    <t>HKBK48X40CB</t>
  </si>
  <si>
    <t>Bông thủy tinh dạng ống 48x40 có bạc</t>
  </si>
  <si>
    <t>HKBK48X40</t>
  </si>
  <si>
    <t>Bông thủy tinh dạng ống 48x40</t>
  </si>
  <si>
    <t>BTTO60X40CB</t>
  </si>
  <si>
    <t>Bông thủy tinh dạng ống 60x40 có bạc</t>
  </si>
  <si>
    <t>BTTO76X40CB</t>
  </si>
  <si>
    <t>Bông thủy tinh dạng ống 76x40 có bạc</t>
  </si>
  <si>
    <t>HKBK76X40</t>
  </si>
  <si>
    <t>Bông thủy tinh dạng ống 76x40</t>
  </si>
  <si>
    <t>BKDH89X40</t>
  </si>
  <si>
    <t>Bông thủy tinh dạng ống 89x40</t>
  </si>
  <si>
    <t>BTTO89X40CB</t>
  </si>
  <si>
    <t>Bông thủy tinh dạng ống 89x40 có bạc</t>
  </si>
  <si>
    <t>HKBK89X40</t>
  </si>
  <si>
    <t>BTTO114X40CB</t>
  </si>
  <si>
    <t>Bông thủy tinh dạng ống 114x40 có bạc</t>
  </si>
  <si>
    <t>HKBK114X40</t>
  </si>
  <si>
    <t>Bông thủy tinh dạng ống 114x40</t>
  </si>
  <si>
    <t>BTTO140X40CB</t>
  </si>
  <si>
    <t>Bông thủy tinh dạng ống 140x40 có bạc</t>
  </si>
  <si>
    <t>BTTO169X40CB</t>
  </si>
  <si>
    <t>Bông thủy tinh dạng ống 169x40 có bạc</t>
  </si>
  <si>
    <t>BTTO219X40CB</t>
  </si>
  <si>
    <t>Bông thủy tinh dạng ống 219x40 có bạc</t>
  </si>
  <si>
    <t>BTTO260X40CB</t>
  </si>
  <si>
    <t>Bông thủy tinh dạng ống 260x40 có bạc</t>
  </si>
  <si>
    <t>BTTO273X40CB</t>
  </si>
  <si>
    <t>Bông thủy tinh dạng ống 273x40 có bạc</t>
  </si>
  <si>
    <t>BTTO325X40CB</t>
  </si>
  <si>
    <t>Bông thủy tinh dạng ống 325x40 có bạc</t>
  </si>
  <si>
    <t>BTTO22X50CB</t>
  </si>
  <si>
    <t>Bông thủy tinh dạng ống 22x50 có bạc</t>
  </si>
  <si>
    <t>BKDO22X50</t>
  </si>
  <si>
    <t>Bông thủy tinh dạng ống 22x50</t>
  </si>
  <si>
    <t>BKDO28X50</t>
  </si>
  <si>
    <t>Bông thủy tinh dạng ống 28x50</t>
  </si>
  <si>
    <t>BTTO28X50KB</t>
  </si>
  <si>
    <t>Bông thủy tinh dạng ống 28x50 không bạc</t>
  </si>
  <si>
    <t>BTTO28X50CB</t>
  </si>
  <si>
    <t>Bông thủy tinh dạng ống 28X50 có bạc</t>
  </si>
  <si>
    <t>BKDO34X50</t>
  </si>
  <si>
    <t>Bông thủy tinh dạng ống 34x50</t>
  </si>
  <si>
    <t>BTTO34X50KB</t>
  </si>
  <si>
    <t>Bông thủy tinh dạng ống 34x50 không bạc</t>
  </si>
  <si>
    <t>BTTO34X50CB</t>
  </si>
  <si>
    <t>Bông thủy tinh dạng ống 34x50 có bạc</t>
  </si>
  <si>
    <t>Bông thủy tinh dạng ống 43x50 có bạc</t>
  </si>
  <si>
    <t>BKDO43X50</t>
  </si>
  <si>
    <t>Bông thủy tinh dạng ống 43x50</t>
  </si>
  <si>
    <t>BTTO43X50KB</t>
  </si>
  <si>
    <t>Bông thủy tinh dạng ống 43x50 không bạc</t>
  </si>
  <si>
    <t>BTTO48X50KB</t>
  </si>
  <si>
    <t>Bông thủy tinh dạng ống 48x50 không bạc</t>
  </si>
  <si>
    <t>BTTO48X50CB</t>
  </si>
  <si>
    <t>Bông thủy tinh dạng ống 48X50 có bạc</t>
  </si>
  <si>
    <t>BTTO60X50CB</t>
  </si>
  <si>
    <t>Bông thủy tinh dạng ống 60x50 có bạc</t>
  </si>
  <si>
    <t>BTTO60X50KB</t>
  </si>
  <si>
    <t>Bông thủy tinh dạng ống 60x50 không bạc</t>
  </si>
  <si>
    <t>HKBK60X50</t>
  </si>
  <si>
    <t>Bông thủy tinh dạng ống 60x50</t>
  </si>
  <si>
    <t>BKDO76X50</t>
  </si>
  <si>
    <t>Bông thủy tinh dạng ống 76x50</t>
  </si>
  <si>
    <t>BTTO76X50CB</t>
  </si>
  <si>
    <t>Bông thủy tinh dạng ống 76x50 có bạc</t>
  </si>
  <si>
    <t>BTTO76X50KB</t>
  </si>
  <si>
    <t>Bông thủy tinh dạng ống 76x50 không bạc</t>
  </si>
  <si>
    <t>BKDO89X50</t>
  </si>
  <si>
    <t>Bông thủy tinh dạng ống 89x50</t>
  </si>
  <si>
    <t>BTTO89X50KB</t>
  </si>
  <si>
    <t>Bông thủy tinh dạng ống 89x50 không bạc</t>
  </si>
  <si>
    <t>BTTO89X50CB</t>
  </si>
  <si>
    <t>Bông thủy tinh dạng ống 89x50 có bạc</t>
  </si>
  <si>
    <t>BKDO108X50</t>
  </si>
  <si>
    <t>Bông thủy tinh dạng ống 108x50 có bạc</t>
  </si>
  <si>
    <t>BKDO114X50</t>
  </si>
  <si>
    <t>Bông thủy tinh dạng ống 114x50</t>
  </si>
  <si>
    <t>BTTO114X50KB</t>
  </si>
  <si>
    <t>Bông thủy tinh dạng ống 114x50 không bạc</t>
  </si>
  <si>
    <t>BTTO114X50CB</t>
  </si>
  <si>
    <t>Bông thủy tinh dạng ống 114x50 có bạc</t>
  </si>
  <si>
    <t>BTTO13350</t>
  </si>
  <si>
    <t>Bông thủy tinh dạng ống 133x50 có bạc</t>
  </si>
  <si>
    <t>BTTO140X50KB</t>
  </si>
  <si>
    <t>Bông thủy tinh dạng ống 140x50 không bạc</t>
  </si>
  <si>
    <t>HKBK140X50</t>
  </si>
  <si>
    <t>Bông thủy tinh dạng ống 140x50</t>
  </si>
  <si>
    <t>BTTO140X50CB</t>
  </si>
  <si>
    <t>Bông thủy tinh dạng ống 140x50 có bạc</t>
  </si>
  <si>
    <t>BTTO169X50CB</t>
  </si>
  <si>
    <t>Bông thủy tinh dạng ống 169x50 có bạc</t>
  </si>
  <si>
    <t>BTTO169X50KB</t>
  </si>
  <si>
    <t>Bông thủy tinh dạng ống 169x50 không bạc</t>
  </si>
  <si>
    <t>HKBK169X50</t>
  </si>
  <si>
    <t>Bông thủy tinh dạng ống 169x50</t>
  </si>
  <si>
    <t>BTTO219X50CB</t>
  </si>
  <si>
    <t>Bông thủy tinh dạng ống 219x50 có bạc</t>
  </si>
  <si>
    <t>BTTO219X50KB</t>
  </si>
  <si>
    <t>Bông thủy tinh dạng ống 219x50 không bạc</t>
  </si>
  <si>
    <t>HKBK219X50</t>
  </si>
  <si>
    <t>Bông thủy tinh dạng ống 219x50</t>
  </si>
  <si>
    <t>BTTO265X50CB</t>
  </si>
  <si>
    <t>Bông thủy tinh dạng ống 265x50 có bạc</t>
  </si>
  <si>
    <t>BTTO265X50KB</t>
  </si>
  <si>
    <t>Bông thủy tinh dạng ống 265x50 không bạc</t>
  </si>
  <si>
    <t>BKĐH27350</t>
  </si>
  <si>
    <t>Bông thủy tinh dạng ống 273x50</t>
  </si>
  <si>
    <t>BKDH275X50</t>
  </si>
  <si>
    <t>Bông thủy tinh dạng ống 275x50</t>
  </si>
  <si>
    <t>BTTO273X50CB</t>
  </si>
  <si>
    <t>Bông thủy tinh dạng ống 273x50 có bạc</t>
  </si>
  <si>
    <t>BTTO273X50KB</t>
  </si>
  <si>
    <t>Bông thủy tinh dạng ống 273x50 không bạc</t>
  </si>
  <si>
    <t>BTTO325X50CB</t>
  </si>
  <si>
    <t>Bông thủy tinh dạng ống 325x50 có bạc</t>
  </si>
  <si>
    <t>BTTO325X50KB</t>
  </si>
  <si>
    <t>Bông thủy tinh dạng ống 325x50 không bạc</t>
  </si>
  <si>
    <t>HKBK325X50</t>
  </si>
  <si>
    <t>Bông thủy tinh dạng ống 325x50</t>
  </si>
  <si>
    <t>BTTO375X50CB</t>
  </si>
  <si>
    <t>Bông thủy tinh dạng ống 375x50 Có bạc</t>
  </si>
  <si>
    <t>BKDH377x50</t>
  </si>
  <si>
    <t>Bông thủy tinh dạng ống 377x50</t>
  </si>
  <si>
    <t>BTTO377X50KB</t>
  </si>
  <si>
    <t>Bông thủy tinh dạng ống 377x50 không bạc</t>
  </si>
  <si>
    <t>BTTO377X50CB</t>
  </si>
  <si>
    <t>Bông thủy tinh dạng ống 377x50 có bạc</t>
  </si>
  <si>
    <t>BKĐH42650</t>
  </si>
  <si>
    <t>Bông thủy tinh dạng ống 426x50</t>
  </si>
  <si>
    <t>BTTO425X50CB</t>
  </si>
  <si>
    <t>Bông thủy tinh dạng ống 425x50 có bạc</t>
  </si>
  <si>
    <t>BTTO43X60CB</t>
  </si>
  <si>
    <t>Bông thủy tinh dạng ống 43x60 có bạc</t>
  </si>
  <si>
    <t>BKDH60X60CB</t>
  </si>
  <si>
    <t>Bông thủy tinh dạng ống 60x60 có bạc</t>
  </si>
  <si>
    <t>BTTO140X80CB</t>
  </si>
  <si>
    <t>Bông thủy tinh dạng ống 140x80 có bạc</t>
  </si>
  <si>
    <t>BKDH34X80</t>
  </si>
  <si>
    <t>Bông thủy tinh dạng ống 34x80 có bạc</t>
  </si>
  <si>
    <t>BTTO60X80CB</t>
  </si>
  <si>
    <t>Bông thủy tinh dạng ống 60x80 có bạc</t>
  </si>
  <si>
    <t>BTTO89X80CB</t>
  </si>
  <si>
    <t>Bông thủy tinh dạng ống 89x80 có bạc</t>
  </si>
  <si>
    <t>BTTO114X80CB</t>
  </si>
  <si>
    <t>Bông thủy tinh dạng ống 114x80 có bạc</t>
  </si>
  <si>
    <t>BTTO169X80CB</t>
  </si>
  <si>
    <t>Bông thủy tinh dạng ống 169x80 có bạc</t>
  </si>
  <si>
    <t>BTTO219X80CB</t>
  </si>
  <si>
    <t>Bông thủy tinh dạng ống 219x80 có bạc</t>
  </si>
  <si>
    <t>BTTO273X80CB</t>
  </si>
  <si>
    <t>Bông thủy tinh dạng ống 273x80 có bạc</t>
  </si>
  <si>
    <t>BTTO325X80CB</t>
  </si>
  <si>
    <t>Bông thủy tinh dạng ống 325x80 có bạc</t>
  </si>
  <si>
    <t>BTTO425X80CB</t>
  </si>
  <si>
    <t>Bông thủy tinh dạng ống 425x80 có bạc</t>
  </si>
  <si>
    <t>BTTT</t>
  </si>
  <si>
    <t>HKBTT24X2524</t>
  </si>
  <si>
    <t>Bông thủy tinh 24x25 có bạc (24m2/cuộn)</t>
  </si>
  <si>
    <t>HKBTT24X25</t>
  </si>
  <si>
    <t>Bông thủy tinh 24x25 có bạc (36m2/cuộn)</t>
  </si>
  <si>
    <t>HKBTT32x25(18m)</t>
  </si>
  <si>
    <t>Bông thủy tinh 32x25 có bạc (18m2/cuộn)</t>
  </si>
  <si>
    <t>HKBTT32X25</t>
  </si>
  <si>
    <t>Bông thủy tinh 32x25 có bạc (24m2/cuộn)</t>
  </si>
  <si>
    <t>HKBTT48x25</t>
  </si>
  <si>
    <t>Bông thủy tinh 48x25 có bạc (24m2/cuộn)</t>
  </si>
  <si>
    <t>HKBTT12X50CB</t>
  </si>
  <si>
    <t>Bông thủy tinh 12x50 có bạc (36m2/cuộn)</t>
  </si>
  <si>
    <t>HKBTT24X50</t>
  </si>
  <si>
    <t>Bông thủy tinh 24x50 có bạc (24m2/cuộn)</t>
  </si>
  <si>
    <t>HKBTT32X50</t>
  </si>
  <si>
    <t>Bông thủy tinh 32x50 có bạc (18m2/cuộn)</t>
  </si>
  <si>
    <t>HKBTT32X50KC</t>
  </si>
  <si>
    <t>Bông thủy tinh 32x50 có bạc (18m2/cuộn) không bao chữ</t>
  </si>
  <si>
    <t>HKBTT48X50</t>
  </si>
  <si>
    <t>Bông thủy tinh 48x50 có bạc (8.64m2/cuộn)</t>
  </si>
  <si>
    <t>HKBTT48x50B</t>
  </si>
  <si>
    <t>Bông thủy tinh 48x50 có bạc (12m2/cuộn)</t>
  </si>
  <si>
    <t>HKBTTKB32x25</t>
  </si>
  <si>
    <t>Bông thủy tinh 32x25 không bạc (24m2/cuộn)</t>
  </si>
  <si>
    <t>HKBTT12X50KB</t>
  </si>
  <si>
    <t>Bông thủy tinh 12x50 không bạc (36m2/cuộn)</t>
  </si>
  <si>
    <t>HKBTTKB24x25</t>
  </si>
  <si>
    <t>Bông thủy tinh 24x25 không bạc (36m2/cuộn)</t>
  </si>
  <si>
    <t>HKBTT24X50KB</t>
  </si>
  <si>
    <t>Bông thủy tinh 24x50 không bạc (24m2/cuộn)</t>
  </si>
  <si>
    <t>HKBTT32X50KB</t>
  </si>
  <si>
    <t>Bông thủy tinh 32x50 không bạc (18m2/cuộn)</t>
  </si>
  <si>
    <t>HKBTTK4850CB</t>
  </si>
  <si>
    <t>Bông thủy tinh dạng kiện 48x50 có bạc</t>
  </si>
  <si>
    <t>HKBTTK4850KB</t>
  </si>
  <si>
    <t>Bông thủy tinh dạng kiện 48x50 không bạc</t>
  </si>
  <si>
    <t>Bông khoáng - bông thủy tinh Taisei</t>
  </si>
  <si>
    <t>BTTTS</t>
  </si>
  <si>
    <t>HKBTTTAISEI32X25</t>
  </si>
  <si>
    <t>Bông thủy tinh TAISEI 32x25 có bạc (24m2/cuộn)</t>
  </si>
  <si>
    <t>HKBTTTAISEI48x25</t>
  </si>
  <si>
    <t>Bông thủy tinh TAISEI 48x25 có bạc (18m2/cuộn)</t>
  </si>
  <si>
    <t>HKBTTTAISEI12X50</t>
  </si>
  <si>
    <t>Bông thủy tinh TAISEI 12x50 có bạc (36m2/cuộn)</t>
  </si>
  <si>
    <t>HKBTTTAISEI24X50</t>
  </si>
  <si>
    <t>Bông thủy tinh TAISEI 24x50 có bạc (24m2/cuộn)</t>
  </si>
  <si>
    <t>HKBTTTAISEI32X50</t>
  </si>
  <si>
    <t>Bông thủy tinh TAISEI 32x50 có bạc (18m2/cuộn)</t>
  </si>
  <si>
    <t>HKBTTTAISEI48x50</t>
  </si>
  <si>
    <t>Bông thủy tinh TAISEI 48x50 có bạc (8.64m2/cuộn)</t>
  </si>
  <si>
    <t>HKBTTTAISEI32X25KB</t>
  </si>
  <si>
    <t>Bông thủy tinh TAISEI 32x25 không bạc (24m2/cuộn)</t>
  </si>
  <si>
    <t>HKBTTTAISEI12X50KB</t>
  </si>
  <si>
    <t>Bông thủy tinh TAISEI 12x50 không bạc (36m2/cuộn)</t>
  </si>
  <si>
    <t>HKBTTTAISEI24X50KB</t>
  </si>
  <si>
    <t>Bông thủy tinh TAISEI 24x50 không bạc (24m2/cuộn)</t>
  </si>
  <si>
    <t>HKBTTTAISEI32X50KB</t>
  </si>
  <si>
    <t>Bông thủy tinh TAISEI 32x50 không bạc (18m2/cuộn)</t>
  </si>
  <si>
    <t>HKBTTTAISEI48x25KB</t>
  </si>
  <si>
    <t>Bông thủy tinh TAISEI 48x25 không bạc (18m2/cuộn)</t>
  </si>
  <si>
    <t>HKBTTTAISEI48x50KB</t>
  </si>
  <si>
    <t>Bông thủy tinh TAISEI 48x50 không bạc (8.64m2/cuộn)</t>
  </si>
  <si>
    <t>Mút xốp</t>
  </si>
  <si>
    <t>MUTXBD</t>
  </si>
  <si>
    <t>Mút xốp bạc + dính 5mm</t>
  </si>
  <si>
    <t>Mút xốp bạc + dính 10mm</t>
  </si>
  <si>
    <t>Mút xốp bạc + dính 15mm</t>
  </si>
  <si>
    <t>Mút xốp bạc + dính 20mm</t>
  </si>
  <si>
    <t>Mút xốp bạc + dính 25mm</t>
  </si>
  <si>
    <t>Mút xốp bạc + dính 30mm</t>
  </si>
  <si>
    <t>HKMUTXBD35</t>
  </si>
  <si>
    <t>Mút xốp bạc + dính 35mm</t>
  </si>
  <si>
    <t>Mút xốp bạc + dính 50mm</t>
  </si>
  <si>
    <t>MUTXKBD</t>
  </si>
  <si>
    <t>HKXKBD05</t>
  </si>
  <si>
    <t>Mút xốp không bạc + dính 05mm</t>
  </si>
  <si>
    <t>HKXKBD20</t>
  </si>
  <si>
    <t>Mút xốp không bạc + dính 20mm</t>
  </si>
  <si>
    <t>HKMXKB02</t>
  </si>
  <si>
    <t>Mút xốp không bạc + không dính 02mm</t>
  </si>
  <si>
    <t>HKMXKB04</t>
  </si>
  <si>
    <t>Mút xốp không bạc + không dính 05mm</t>
  </si>
  <si>
    <t>HKMXKB20</t>
  </si>
  <si>
    <t>Mút xốp không bạc + không dính 20mm</t>
  </si>
  <si>
    <t>HKMXKB25</t>
  </si>
  <si>
    <t>Mút xốp không bạc + không dính 25mm</t>
  </si>
  <si>
    <t>HKMXKB30</t>
  </si>
  <si>
    <t>Mút xốp không bạc + không dính 30mm</t>
  </si>
  <si>
    <t>HKMXKB50</t>
  </si>
  <si>
    <t>Mút xốp không bạc + không dính 50mm</t>
  </si>
  <si>
    <t>MUTXT</t>
  </si>
  <si>
    <t>Mút xốp bạc không dính 05mm</t>
  </si>
  <si>
    <t>Mút xốp bạc không dính 10mm</t>
  </si>
  <si>
    <t>Mút xốp bạc không dính 15mm</t>
  </si>
  <si>
    <t>Mút xốp bạc không dính 20mm</t>
  </si>
  <si>
    <t>Mút xốp bạc không dính 25mm</t>
  </si>
  <si>
    <t>Mút xốp bạc không dính 30mm</t>
  </si>
  <si>
    <t>HKMXBKD35</t>
  </si>
  <si>
    <t>Mút xốp bạc không dính 35mm</t>
  </si>
  <si>
    <t>HKXB40</t>
  </si>
  <si>
    <t>Mút xốp bạc không dính 40mm</t>
  </si>
  <si>
    <t>Mút xốp bạc không dính 50mm</t>
  </si>
  <si>
    <t>Xốp kép</t>
  </si>
  <si>
    <t>XOPKEPKR</t>
  </si>
  <si>
    <t>XK0610</t>
  </si>
  <si>
    <t>Xốp kép 6 +10</t>
  </si>
  <si>
    <t>XK0612</t>
  </si>
  <si>
    <t>Xốp kép 6 + 12</t>
  </si>
  <si>
    <t>XK0616200</t>
  </si>
  <si>
    <t>Xốp kép 6 + 16 ( 200m)</t>
  </si>
  <si>
    <t>XK010162</t>
  </si>
  <si>
    <t>Xốp kép 10+16 (200)</t>
  </si>
  <si>
    <t>XK01019200</t>
  </si>
  <si>
    <t>Xốp kép 10+19 (200)</t>
  </si>
  <si>
    <t>XKKOREA0610</t>
  </si>
  <si>
    <t>Xốp kép KOREA 6 +10</t>
  </si>
  <si>
    <t>XKKOREA0612</t>
  </si>
  <si>
    <t>Xốp kép KOREA 6 +12</t>
  </si>
  <si>
    <t>XKKOREA0616</t>
  </si>
  <si>
    <t>Xốp kép KOREA 6 +16</t>
  </si>
  <si>
    <t>XKKOREA1016</t>
  </si>
  <si>
    <t>Xốp kép KOREA 10 + 16</t>
  </si>
  <si>
    <t>XKKOREA1019</t>
  </si>
  <si>
    <t>Xốp kép KOREA 10 + 19</t>
  </si>
  <si>
    <t>XOPKEPTS</t>
  </si>
  <si>
    <t>Xốp kép TAISEI 06 + 10 ( 200m)</t>
  </si>
  <si>
    <t>Xốp kép TAISEI 06 + 12 (200m)</t>
  </si>
  <si>
    <t>Xốp kép TAISEI 06 + 16 (200m)</t>
  </si>
  <si>
    <t>Xốp kép TAISEI 10 + 16 (200m)</t>
  </si>
  <si>
    <t>Xốp kép TAISEI 10 + 19 (200m)</t>
  </si>
  <si>
    <t>XKTSLT0610C1</t>
  </si>
  <si>
    <t>Xốp kép TAISEI 06 + 10 Class 1 (200m)</t>
  </si>
  <si>
    <t>XKTSLT0612C1</t>
  </si>
  <si>
    <t>Xốp kép TAISEI 06 + 12 Class 1 (200m)</t>
  </si>
  <si>
    <t>XKTSLT0616C1</t>
  </si>
  <si>
    <t>Xốp kép TAISEI 06 + 16 Class 1 (200m)</t>
  </si>
  <si>
    <t>XKTSLT1016C1</t>
  </si>
  <si>
    <t>Xốp kép TAISEI 10 + 16 Class 1 (200m)</t>
  </si>
  <si>
    <t>XKTSLT1019C1</t>
  </si>
  <si>
    <t>Xốp kép TAISEI 10 + 19 Class 1 (200m)</t>
  </si>
  <si>
    <t>XKTSLT0610C0</t>
  </si>
  <si>
    <t>Xốp kép TAISEI 06 + 10 Class 0 (200m)</t>
  </si>
  <si>
    <t>XKTSLT0612C0</t>
  </si>
  <si>
    <t>Xốp kép TAISEI 06 + 12 Class 0 (200m)</t>
  </si>
  <si>
    <t>XKTSLT0616C0</t>
  </si>
  <si>
    <t>Xốp kép TAISEI 06 + 16 Class 0 (200m)</t>
  </si>
  <si>
    <t>XKTSLT1016C0</t>
  </si>
  <si>
    <t>Xốp kép TAISEI 10 + 16 Class 0 (200m)</t>
  </si>
  <si>
    <t>XKTSLT1019C0</t>
  </si>
  <si>
    <t>Xốp kép TAISEI 10 + 19 Class 0 (200m)</t>
  </si>
  <si>
    <t>XKTSLX0610C1</t>
  </si>
  <si>
    <t>Xốp kép TAISEI lõi xám 06 + 10 Class 1 (200m)</t>
  </si>
  <si>
    <t>XKTSLX0612C1</t>
  </si>
  <si>
    <t>Xốp kép TAISEI lõi xám 06 + 12 Class 1 (200m)</t>
  </si>
  <si>
    <t>XKTSLX0616C1</t>
  </si>
  <si>
    <t>Xốp kép TAISEI lõi xám 06 + 16 Class 1 (200m)</t>
  </si>
  <si>
    <t>XKTSLX1016C1</t>
  </si>
  <si>
    <t>Xốp kép TAISEI lõi xám 10 + 16 Class 1 (200m)</t>
  </si>
  <si>
    <t>XKTSLX1019C1</t>
  </si>
  <si>
    <t>Xốp kép TAISEI lõi xám 10 + 19 Class 1 (200m)</t>
  </si>
  <si>
    <t>XKTSLX0610C0</t>
  </si>
  <si>
    <t>Xốp kép TAISEI lõi xám 06 + 10 Class 0 (200m)</t>
  </si>
  <si>
    <t>XKTSLX0612C0</t>
  </si>
  <si>
    <t>Xốp kép TAISEI lõi xám 06 + 12 Class 0 (200m)</t>
  </si>
  <si>
    <t>XKTSLX0616C0</t>
  </si>
  <si>
    <t>Xốp kép TAISEI lõi xám 06 + 16 Class 0 (200m)</t>
  </si>
  <si>
    <t>XKTSLX1016C0</t>
  </si>
  <si>
    <t>Xốp kép TAISEI lõi xám 10 + 16 Class 0 (200m)</t>
  </si>
  <si>
    <t>XKTSLX1019C0</t>
  </si>
  <si>
    <t>Xốp kép TAISEI lõi xám 10 + 19 Class 0 (200m)</t>
  </si>
  <si>
    <t>Xốp phun (PU)</t>
  </si>
  <si>
    <t>XOPPU</t>
  </si>
  <si>
    <t>HKXFBaDD MDI</t>
  </si>
  <si>
    <t>Polyurethan Xốp Đỏ Bayer (Desmodur 44V 20L MDI, 250kg)</t>
  </si>
  <si>
    <t>HKXFBaDDMR200</t>
  </si>
  <si>
    <t>Polyurethan Xốp Đỏ Japan MR200(250kg)</t>
  </si>
  <si>
    <t>HKXFBASDD(NM)</t>
  </si>
  <si>
    <t>Polyurethan Xốp đỏ, Basf (Elastopor H3610/0 C, B, 250kg)</t>
  </si>
  <si>
    <t>HKXFOriDX (NM)</t>
  </si>
  <si>
    <t>Polyurethan Xốp Xanh ORIKEN (RG 2610, 4002/ oriken, 210kg)</t>
  </si>
  <si>
    <t>HKXFOriDXRG4620</t>
  </si>
  <si>
    <t>Polyurethan Xốp Xanh ORIKEN (RG 4620/ oriken, 220kg)</t>
  </si>
  <si>
    <t>ZOANG</t>
  </si>
  <si>
    <t>HKBXD3X5X10ATT</t>
  </si>
  <si>
    <t>Zoăng (băng) xốp 3cmx5mmx10m</t>
  </si>
  <si>
    <t>HKBXD5X25X10ATT</t>
  </si>
  <si>
    <t>Zoăng (băng) xốp 5cmx25mmx10mm</t>
  </si>
  <si>
    <t>HKBXD5X35X10</t>
  </si>
  <si>
    <t>Zoăng (băng) xốp 5cmx35mmx10mm</t>
  </si>
  <si>
    <t>HKBXD5X5X10ATT</t>
  </si>
  <si>
    <t>Zoăng (băng) xốp 5cmx5mmx10m</t>
  </si>
  <si>
    <t>HKBXBAN2.5</t>
  </si>
  <si>
    <t>Zoăng (băng) xốp bản 2.5cm</t>
  </si>
  <si>
    <t>HKBXMNHAMBAN2.5</t>
  </si>
  <si>
    <t>HKBXBAN3</t>
  </si>
  <si>
    <t>Zoăng (băng) xốp bản 3cm</t>
  </si>
  <si>
    <t>HKBXD5X50X10</t>
  </si>
  <si>
    <t>Zoăng (băng) xốp bản 5cm</t>
  </si>
  <si>
    <t>HKBXD5X10X10</t>
  </si>
  <si>
    <t>Zoăng (băng) xốp dày 5cmx10mmx10m</t>
  </si>
  <si>
    <t>HKBXD5X30X10</t>
  </si>
  <si>
    <t>Zoăng (băng) xốp dày 5cmx30mmx10m</t>
  </si>
  <si>
    <t>ZBOA0350914</t>
  </si>
  <si>
    <t>Zoăng bảo ôn Armaflex bản 3mmx50mmx9.14 m</t>
  </si>
  <si>
    <t>5. NHÓM VẬT TƯ</t>
  </si>
  <si>
    <t>Co Đồng</t>
  </si>
  <si>
    <t>PKDCODONG</t>
  </si>
  <si>
    <t>HKCOD6</t>
  </si>
  <si>
    <t>Co đồng 6</t>
  </si>
  <si>
    <t>HKCOD10</t>
  </si>
  <si>
    <t>Co đồng 10</t>
  </si>
  <si>
    <t>HKCOD12</t>
  </si>
  <si>
    <t>Co đồng 12</t>
  </si>
  <si>
    <t>HKCOD16</t>
  </si>
  <si>
    <t>Co đồng 16</t>
  </si>
  <si>
    <t>HKCOD19</t>
  </si>
  <si>
    <t>Co đồng 19</t>
  </si>
  <si>
    <t>HKCOD22</t>
  </si>
  <si>
    <t>Co đồng 22</t>
  </si>
  <si>
    <t>HKCOD25</t>
  </si>
  <si>
    <t>Co đồng 25</t>
  </si>
  <si>
    <t>HKCOD28</t>
  </si>
  <si>
    <t>Co đồng 28</t>
  </si>
  <si>
    <t>HKCOD32</t>
  </si>
  <si>
    <t>Co đồng 32</t>
  </si>
  <si>
    <t>HKCOD35</t>
  </si>
  <si>
    <t>Co đồng 35</t>
  </si>
  <si>
    <t>HKCOD38</t>
  </si>
  <si>
    <t>Co đồng 38</t>
  </si>
  <si>
    <t>HKCOD42</t>
  </si>
  <si>
    <t>Co đồng 42</t>
  </si>
  <si>
    <t>HKCOD45</t>
  </si>
  <si>
    <t>Co đồng 45</t>
  </si>
  <si>
    <t>HKCOD51</t>
  </si>
  <si>
    <t>Co đồng 51</t>
  </si>
  <si>
    <t>HKCOD54</t>
  </si>
  <si>
    <t>Co đồng 54</t>
  </si>
  <si>
    <t>HKCOD67</t>
  </si>
  <si>
    <t>Co đồng 67</t>
  </si>
  <si>
    <t>HKCOD76</t>
  </si>
  <si>
    <t>Co đồng 76</t>
  </si>
  <si>
    <t>HKCOD79</t>
  </si>
  <si>
    <t>Co đồng 79</t>
  </si>
  <si>
    <t>HKCOD89</t>
  </si>
  <si>
    <t>Co đồng 89</t>
  </si>
  <si>
    <t>HKCO108</t>
  </si>
  <si>
    <t>Co đồng 108</t>
  </si>
  <si>
    <t>Nối Đồng</t>
  </si>
  <si>
    <t>PKDNOI</t>
  </si>
  <si>
    <t>HKNOI6</t>
  </si>
  <si>
    <t>Nối đồng 6</t>
  </si>
  <si>
    <t>HKNOI10</t>
  </si>
  <si>
    <t>Nối đồng 10</t>
  </si>
  <si>
    <t>HKNOI12</t>
  </si>
  <si>
    <t>Nối đồng 12</t>
  </si>
  <si>
    <t>HKNOI16</t>
  </si>
  <si>
    <t>Nối đồng 16</t>
  </si>
  <si>
    <t>HKNOI19</t>
  </si>
  <si>
    <t>Nối đồng 19</t>
  </si>
  <si>
    <t>HKNOI22</t>
  </si>
  <si>
    <t>Nối đồng 22</t>
  </si>
  <si>
    <t>HKNOI25</t>
  </si>
  <si>
    <t>Nối đồng 25</t>
  </si>
  <si>
    <t>HKNOI28</t>
  </si>
  <si>
    <t>Nối đồng 28</t>
  </si>
  <si>
    <t>HKNOI32</t>
  </si>
  <si>
    <t>Nối đồng 32</t>
  </si>
  <si>
    <t>HKNOI35</t>
  </si>
  <si>
    <t>Nối đồng 35</t>
  </si>
  <si>
    <t>HKNOI38</t>
  </si>
  <si>
    <t>Nối đồng 38</t>
  </si>
  <si>
    <t>HKNOI42</t>
  </si>
  <si>
    <t>Nối đồng 42</t>
  </si>
  <si>
    <t>HKNOI45</t>
  </si>
  <si>
    <t>Nối đồng 45</t>
  </si>
  <si>
    <t>HKNOI51</t>
  </si>
  <si>
    <t>Nối đồng 51</t>
  </si>
  <si>
    <t>HKNOI54</t>
  </si>
  <si>
    <t>Nối đồng 54</t>
  </si>
  <si>
    <t>HKNOI67</t>
  </si>
  <si>
    <t>Nối đồng 67</t>
  </si>
  <si>
    <t>HKNOI76</t>
  </si>
  <si>
    <t>Nối đồng 76</t>
  </si>
  <si>
    <t>HKNOI79</t>
  </si>
  <si>
    <t>Nối đồng 79</t>
  </si>
  <si>
    <t>HKNOI89</t>
  </si>
  <si>
    <t>Nối đồng 89</t>
  </si>
  <si>
    <t>HKNOI108</t>
  </si>
  <si>
    <t>Nối đồng 108</t>
  </si>
  <si>
    <t>Chếch Đồng</t>
  </si>
  <si>
    <t>PKDCHECH</t>
  </si>
  <si>
    <t>HKCHECH10</t>
  </si>
  <si>
    <t>Chếch đồng 10</t>
  </si>
  <si>
    <t>HKCHECH12</t>
  </si>
  <si>
    <t>Chếch đồng 12</t>
  </si>
  <si>
    <t>HKCHENH16</t>
  </si>
  <si>
    <t>Chếch đồng 16</t>
  </si>
  <si>
    <t>HKCHENH19</t>
  </si>
  <si>
    <t>Chếch đồng 19</t>
  </si>
  <si>
    <t>HKCHENH22</t>
  </si>
  <si>
    <t>Chếch đồng 22</t>
  </si>
  <si>
    <t>HKCHECH25</t>
  </si>
  <si>
    <t>Chếch đồng 25</t>
  </si>
  <si>
    <t>HKCHENH28</t>
  </si>
  <si>
    <t>Chếch đồng 28</t>
  </si>
  <si>
    <t>HKCHENH32</t>
  </si>
  <si>
    <t>Chếch đồng 32</t>
  </si>
  <si>
    <t>HKCHENH35</t>
  </si>
  <si>
    <t>Chếch đồng 35</t>
  </si>
  <si>
    <t>HKCHENH38</t>
  </si>
  <si>
    <t>Chếch đồng 38</t>
  </si>
  <si>
    <t>HKCHENH42</t>
  </si>
  <si>
    <t>Chếch đồng 42</t>
  </si>
  <si>
    <t>HKCHECH45</t>
  </si>
  <si>
    <t>Chếch đồng 45</t>
  </si>
  <si>
    <t>HKCHENH54</t>
  </si>
  <si>
    <t>Chếch đồng 54</t>
  </si>
  <si>
    <t>HKCHECH67</t>
  </si>
  <si>
    <t>Chếch đồng 67</t>
  </si>
  <si>
    <t>Tê Đồng</t>
  </si>
  <si>
    <t>PKDTE</t>
  </si>
  <si>
    <t>HKTE6</t>
  </si>
  <si>
    <t>Tê đồng 6</t>
  </si>
  <si>
    <t>HKTE10</t>
  </si>
  <si>
    <t>Tê đồng 10</t>
  </si>
  <si>
    <t>HKTE12</t>
  </si>
  <si>
    <t>Tê đồng 12</t>
  </si>
  <si>
    <t>HKTE16</t>
  </si>
  <si>
    <t>Tê đồng 16</t>
  </si>
  <si>
    <t>HKTE19</t>
  </si>
  <si>
    <t>Tê đồng 19</t>
  </si>
  <si>
    <t>HKTE22</t>
  </si>
  <si>
    <t>Tê đồng 22</t>
  </si>
  <si>
    <t>HKTE25</t>
  </si>
  <si>
    <t>Tê đồng 25</t>
  </si>
  <si>
    <t>HKTE28</t>
  </si>
  <si>
    <t>Tê đồng 28</t>
  </si>
  <si>
    <t>HKTE32</t>
  </si>
  <si>
    <t>Tê đồng 32</t>
  </si>
  <si>
    <t>HKTE35</t>
  </si>
  <si>
    <t>Tê đồng 35</t>
  </si>
  <si>
    <t>HKTE38</t>
  </si>
  <si>
    <t>Tê đồng 38</t>
  </si>
  <si>
    <t>HKTE42</t>
  </si>
  <si>
    <t>Tê đồng 42</t>
  </si>
  <si>
    <t>HKTE51</t>
  </si>
  <si>
    <t>Tê đồng 51</t>
  </si>
  <si>
    <t>HKTE54</t>
  </si>
  <si>
    <t>Tê đồng 54</t>
  </si>
  <si>
    <t>HKTE63</t>
  </si>
  <si>
    <t>Tê đồng 63</t>
  </si>
  <si>
    <t>TE67</t>
  </si>
  <si>
    <t>Tê đồng 67</t>
  </si>
  <si>
    <t>TE76</t>
  </si>
  <si>
    <t>Tê đồng 76</t>
  </si>
  <si>
    <t>HKTE79</t>
  </si>
  <si>
    <t>Tê đồng 79</t>
  </si>
  <si>
    <t>HKTE89</t>
  </si>
  <si>
    <t>Tê đồng 89</t>
  </si>
  <si>
    <t>HKTE108</t>
  </si>
  <si>
    <t>Tê đồng 108</t>
  </si>
  <si>
    <t>Thu Đồng</t>
  </si>
  <si>
    <t>PKDTHU</t>
  </si>
  <si>
    <t>HKTHU106</t>
  </si>
  <si>
    <t>Thu đồng 10, 6</t>
  </si>
  <si>
    <t>HKTHU1210</t>
  </si>
  <si>
    <t>Thu đồng 12, 10</t>
  </si>
  <si>
    <t>HKTHU126</t>
  </si>
  <si>
    <t>Thu đồng 12, 6</t>
  </si>
  <si>
    <t>HKTHU1610</t>
  </si>
  <si>
    <t>Thu đồng 16, 10</t>
  </si>
  <si>
    <t>HKTHU1612</t>
  </si>
  <si>
    <t>Thu đồng 16, 12</t>
  </si>
  <si>
    <t>HKTHU168</t>
  </si>
  <si>
    <t>Thu đồng 16, 8</t>
  </si>
  <si>
    <t>HKTHU1910</t>
  </si>
  <si>
    <t>Thu đồng 19, 10</t>
  </si>
  <si>
    <t>HKTHU1912</t>
  </si>
  <si>
    <t>Thu đồng 19, 12</t>
  </si>
  <si>
    <t>HKTHU1916</t>
  </si>
  <si>
    <t>Thu đồng 19, 16</t>
  </si>
  <si>
    <t>HKTHU2210</t>
  </si>
  <si>
    <t>Thu đồng 22, 10</t>
  </si>
  <si>
    <t>HKTHU2212</t>
  </si>
  <si>
    <t>Thu đồng 22, 12</t>
  </si>
  <si>
    <t>HKTHU2216</t>
  </si>
  <si>
    <t>Thu đồng 22, 16</t>
  </si>
  <si>
    <t>HKTHU2219</t>
  </si>
  <si>
    <t>Thu đồng 22, 19</t>
  </si>
  <si>
    <t>HKTHU2510</t>
  </si>
  <si>
    <t>Thu đồng 25, 10</t>
  </si>
  <si>
    <t>HKTHU2512</t>
  </si>
  <si>
    <t>Thu đồng 25, 12</t>
  </si>
  <si>
    <t>HKTHU2516</t>
  </si>
  <si>
    <t>Thu đồng 25, 16</t>
  </si>
  <si>
    <t>HKTHU2519</t>
  </si>
  <si>
    <t>Thu đồng 25, 19</t>
  </si>
  <si>
    <t>HKTHU2522</t>
  </si>
  <si>
    <t>Thu đồng 25, 22</t>
  </si>
  <si>
    <t>HKTHU2810</t>
  </si>
  <si>
    <t>Thu đồng 28, 10</t>
  </si>
  <si>
    <t>HKTHU2812</t>
  </si>
  <si>
    <t>Thu đồng 28, 12</t>
  </si>
  <si>
    <t>HKTHU2816</t>
  </si>
  <si>
    <t>Thu đồng 28, 16</t>
  </si>
  <si>
    <t>HKTHU2819</t>
  </si>
  <si>
    <t>Thu đồng 28, 19</t>
  </si>
  <si>
    <t>HKTHU2822</t>
  </si>
  <si>
    <t>Thu đồng 28, 22</t>
  </si>
  <si>
    <t>HKTHU2825</t>
  </si>
  <si>
    <t>Thu đồng 28, 25</t>
  </si>
  <si>
    <t>HKTTHU3222</t>
  </si>
  <si>
    <t>Thu đồng 32, 22</t>
  </si>
  <si>
    <t>HKTHU3225</t>
  </si>
  <si>
    <t>Thu đồng 32, 25</t>
  </si>
  <si>
    <t>HKTHU3228</t>
  </si>
  <si>
    <t>Thu đồng 32, 28</t>
  </si>
  <si>
    <t>HKTHU3510</t>
  </si>
  <si>
    <t>Thu đồng 35, 10</t>
  </si>
  <si>
    <t>HKTHU3512</t>
  </si>
  <si>
    <t>Thu đồng 35, 12</t>
  </si>
  <si>
    <t>HKTHU3516</t>
  </si>
  <si>
    <t>Thu đồng 35, 16</t>
  </si>
  <si>
    <t>HKTHU3519</t>
  </si>
  <si>
    <t>Thu đồng 35, 19</t>
  </si>
  <si>
    <t>HKTHU3522</t>
  </si>
  <si>
    <t>Thu đồng 35, 22</t>
  </si>
  <si>
    <t>HKTHU3525</t>
  </si>
  <si>
    <t>Thu đồng 35, 25</t>
  </si>
  <si>
    <t>HKTHU3528</t>
  </si>
  <si>
    <t>Thu đồng 35, 28</t>
  </si>
  <si>
    <t>HKTHU3825</t>
  </si>
  <si>
    <t>Thu đồng 38, 25</t>
  </si>
  <si>
    <t>HKTHU3832</t>
  </si>
  <si>
    <t>Thu đồng 38, 32</t>
  </si>
  <si>
    <t>HKTHU38-35</t>
  </si>
  <si>
    <t>Thu đồng 38, 35</t>
  </si>
  <si>
    <t>HKTHU4216</t>
  </si>
  <si>
    <t>Thu đồng 42, 16</t>
  </si>
  <si>
    <t>HKTHU4219</t>
  </si>
  <si>
    <t>Thu đồng 42, 19</t>
  </si>
  <si>
    <t>HKTHU4222</t>
  </si>
  <si>
    <t>Thu đồng 42, 22</t>
  </si>
  <si>
    <t>HKTHU4228</t>
  </si>
  <si>
    <t>Thu đồng 42, 28</t>
  </si>
  <si>
    <t>HKTHU4235</t>
  </si>
  <si>
    <t>Thu Đồng 42, 35</t>
  </si>
  <si>
    <t>HKTHU4238</t>
  </si>
  <si>
    <t>Thu Đồng 42, 38</t>
  </si>
  <si>
    <t>HKTHU5128</t>
  </si>
  <si>
    <t>Thu đồng 51, 28</t>
  </si>
  <si>
    <t>HKTHU5135</t>
  </si>
  <si>
    <t>Thu đồng 51, 35</t>
  </si>
  <si>
    <t>HKTHU5142</t>
  </si>
  <si>
    <t>Thu đồng 51, 42</t>
  </si>
  <si>
    <t>HKTHU5419</t>
  </si>
  <si>
    <t>Thu đồng 54, 19</t>
  </si>
  <si>
    <t>HKTHU5422</t>
  </si>
  <si>
    <t>Thu đồng 54, 22</t>
  </si>
  <si>
    <t>HKTHU5428</t>
  </si>
  <si>
    <t>Thu đồng 54, 28</t>
  </si>
  <si>
    <t>HKTHU5435</t>
  </si>
  <si>
    <t>Thu đồng 54, 35</t>
  </si>
  <si>
    <t>HKTHU5442</t>
  </si>
  <si>
    <t>Thu đồng 54, 42</t>
  </si>
  <si>
    <t>HKTHU5451</t>
  </si>
  <si>
    <t>Thu đồng 54, 51</t>
  </si>
  <si>
    <t>HKTHU6335</t>
  </si>
  <si>
    <t>Thu đồng 63, 35</t>
  </si>
  <si>
    <t>HKTHU6719</t>
  </si>
  <si>
    <t>Thu đồng 67, 19</t>
  </si>
  <si>
    <t>HKTHU6728</t>
  </si>
  <si>
    <t>Thu đồng 67, 28</t>
  </si>
  <si>
    <t>HKTHU6735</t>
  </si>
  <si>
    <t>Thu đồng 67, 35</t>
  </si>
  <si>
    <t>HKTHU6742</t>
  </si>
  <si>
    <t>Thu đồng 67, 42</t>
  </si>
  <si>
    <t>HKTHU6754</t>
  </si>
  <si>
    <t>Thu đồng 67, 54</t>
  </si>
  <si>
    <t>HKTHU7642</t>
  </si>
  <si>
    <t>Thu đồng 76, 42</t>
  </si>
  <si>
    <t>HKTHU7654</t>
  </si>
  <si>
    <t>Thu đồng 76, 54</t>
  </si>
  <si>
    <t>HKTHU7667</t>
  </si>
  <si>
    <t>Thu đồng 76, 67</t>
  </si>
  <si>
    <t>HKTHU7954</t>
  </si>
  <si>
    <t>Thu đồng 79, 54</t>
  </si>
  <si>
    <t>HKTHU7967</t>
  </si>
  <si>
    <t>Thu đồng 79, 67</t>
  </si>
  <si>
    <t>HKTHU8928</t>
  </si>
  <si>
    <t>Thu đồng 89, 28</t>
  </si>
  <si>
    <t>HKTHU8935</t>
  </si>
  <si>
    <t>Thu đồng 89, 35</t>
  </si>
  <si>
    <t>HKTHU8954</t>
  </si>
  <si>
    <t>Thu đồng 89, 54</t>
  </si>
  <si>
    <t>HKTHU8967</t>
  </si>
  <si>
    <t>Thu đồng 89, 67</t>
  </si>
  <si>
    <t>HKTHU8976</t>
  </si>
  <si>
    <t>Thu đồng 89, 76</t>
  </si>
  <si>
    <t>HKTHU108</t>
  </si>
  <si>
    <t>Thu đồng 108, 67</t>
  </si>
  <si>
    <t>Tê Thu Đồng</t>
  </si>
  <si>
    <t>PKDTETHU</t>
  </si>
  <si>
    <t>HKTTHU1210</t>
  </si>
  <si>
    <t>Tê thu 12, 10</t>
  </si>
  <si>
    <t>HKTTHU1610</t>
  </si>
  <si>
    <t>Tê thu 16, 12</t>
  </si>
  <si>
    <t>HKTTHU1912</t>
  </si>
  <si>
    <t>Tê thu 19, 12</t>
  </si>
  <si>
    <t>HKTTHU2212</t>
  </si>
  <si>
    <t>Tê thu 22, 12</t>
  </si>
  <si>
    <t>HKTTHU2216</t>
  </si>
  <si>
    <t>Tê thu 22, 16</t>
  </si>
  <si>
    <t>HKTTHU2810</t>
  </si>
  <si>
    <t>Tê thu 28, 10</t>
  </si>
  <si>
    <t>HKTTHU2812</t>
  </si>
  <si>
    <t>Tê thu 28, 12</t>
  </si>
  <si>
    <t>HKTTHU2816</t>
  </si>
  <si>
    <t>Tê thu 28, 16</t>
  </si>
  <si>
    <t>HKTTHU2822</t>
  </si>
  <si>
    <t>Tê thu 28, 22</t>
  </si>
  <si>
    <t>HKTTHU3228</t>
  </si>
  <si>
    <t>Tê thu 32, 28</t>
  </si>
  <si>
    <t>HKTTHU3510</t>
  </si>
  <si>
    <t>Tê thu 35, 10</t>
  </si>
  <si>
    <t>HKTTHU3512</t>
  </si>
  <si>
    <t>Tê thu 35, 12</t>
  </si>
  <si>
    <t>HKTTHU3516</t>
  </si>
  <si>
    <t>Tê thu 35, 16</t>
  </si>
  <si>
    <t>HKTTHU3519</t>
  </si>
  <si>
    <t>Tê thu 35, 19</t>
  </si>
  <si>
    <t>HKTTHU3528</t>
  </si>
  <si>
    <t>Tê thu 35, 28</t>
  </si>
  <si>
    <t>HKTTHU3822</t>
  </si>
  <si>
    <t>Tê thu 38, 22</t>
  </si>
  <si>
    <t>HKTTHU3825</t>
  </si>
  <si>
    <t>Tê thu 38, 25</t>
  </si>
  <si>
    <t>HKTTHU3828</t>
  </si>
  <si>
    <t>Tê thu 38, 28</t>
  </si>
  <si>
    <t>HKTTHU3832</t>
  </si>
  <si>
    <t>Tê thu 38, 32</t>
  </si>
  <si>
    <t>HKTTHU4228</t>
  </si>
  <si>
    <t>Tê thu 42, 28</t>
  </si>
  <si>
    <t>HKTTHU4235</t>
  </si>
  <si>
    <t>Tê thu 42, 35</t>
  </si>
  <si>
    <t>HKTTHU5135</t>
  </si>
  <si>
    <t>Tê thu 51, 35</t>
  </si>
  <si>
    <t>HKTTHU5422</t>
  </si>
  <si>
    <t>Tê thu 54, 22</t>
  </si>
  <si>
    <t>HKTTHU5435</t>
  </si>
  <si>
    <t>Tê thu 54, 35</t>
  </si>
  <si>
    <t>HKTTHU5438</t>
  </si>
  <si>
    <t>Tê thu 54, 38</t>
  </si>
  <si>
    <t>HKTTHU5442</t>
  </si>
  <si>
    <t>Tê thu 54, 42</t>
  </si>
  <si>
    <t>HKTTHU6335</t>
  </si>
  <si>
    <t>Tê thu 63, 35</t>
  </si>
  <si>
    <t>HKTTHU6742</t>
  </si>
  <si>
    <t>Tê thu 67, 42</t>
  </si>
  <si>
    <t>HKTTHU6754</t>
  </si>
  <si>
    <t>Tê thu 67, 54</t>
  </si>
  <si>
    <t>HKTTHU7635</t>
  </si>
  <si>
    <t>Tê thu 76, 35</t>
  </si>
  <si>
    <t>HKTTHU7642</t>
  </si>
  <si>
    <t>Tê thu 76, 42</t>
  </si>
  <si>
    <t>HKTTHU7654</t>
  </si>
  <si>
    <t>Tê thu 76, 54</t>
  </si>
  <si>
    <t>HKTTHU7667</t>
  </si>
  <si>
    <t>Tê thu 76, 67</t>
  </si>
  <si>
    <t>HKTTHU7922</t>
  </si>
  <si>
    <t>Tê thu 79, 22</t>
  </si>
  <si>
    <t>HKTTHU79-42</t>
  </si>
  <si>
    <t>Tê thu 79, 42</t>
  </si>
  <si>
    <t>HKTTHU7954</t>
  </si>
  <si>
    <t>Tê thu 79, 54</t>
  </si>
  <si>
    <t>HKTTHU8935</t>
  </si>
  <si>
    <t>Tê thu 89, 35</t>
  </si>
  <si>
    <t>HKTTHU8951</t>
  </si>
  <si>
    <t>Tê thu 89, 51</t>
  </si>
  <si>
    <t>Cút U</t>
  </si>
  <si>
    <t>PKDCUTU</t>
  </si>
  <si>
    <t>HKCU12</t>
  </si>
  <si>
    <t>Cút U 12</t>
  </si>
  <si>
    <t>HKCU16D</t>
  </si>
  <si>
    <t>Cút U 16 dày (NM)</t>
  </si>
  <si>
    <t>CUT19071</t>
  </si>
  <si>
    <t>Cút u 19x0.71</t>
  </si>
  <si>
    <t>PKDZACCO</t>
  </si>
  <si>
    <t>HKZCNO6</t>
  </si>
  <si>
    <t>Zacco 6 (ren ngoài)</t>
  </si>
  <si>
    <t>HKZCN10</t>
  </si>
  <si>
    <t>Zacco 10 (ren ngoài)</t>
  </si>
  <si>
    <t>HKZCN12</t>
  </si>
  <si>
    <t>Zacco 12 (ren ngoài)</t>
  </si>
  <si>
    <t>HKZCN16</t>
  </si>
  <si>
    <t>Zacco 16 (ren ngoài)</t>
  </si>
  <si>
    <t>DAN</t>
  </si>
  <si>
    <t>DAN8.5</t>
  </si>
  <si>
    <t>Dàn 8.5 cút</t>
  </si>
  <si>
    <t>DLDD71P</t>
  </si>
  <si>
    <t>Dàn lạnh DD7 1 pha (220v/1p/50hz)</t>
  </si>
  <si>
    <t>DLTSDD11.2/60-3p-11200W</t>
  </si>
  <si>
    <t>Dàn lạnh Taisei DD11.2/60-11200W(380v/3p/50hz)</t>
  </si>
  <si>
    <t>DLTSDD-30.0/160(380V)</t>
  </si>
  <si>
    <t>Dàn lạnh Taisei DD160-30.0/160 (380v/3p)</t>
  </si>
  <si>
    <t>DLTSDD-2.2/12-1p-2200W</t>
  </si>
  <si>
    <t>Dàn lạnh Taisei DD2.2/12-1p-2200W(220v/1p/50hz)</t>
  </si>
  <si>
    <t>DLTSDD-2.2/12-3p-2200W</t>
  </si>
  <si>
    <t>Dàn lạnh Taisei DD2.2/12-2200W(380v/3p/50hz)</t>
  </si>
  <si>
    <t>DLTSDD-2.8/15-1p-2800W</t>
  </si>
  <si>
    <t>Dàn lạnh Taisei DD2.8/15-2800W(220v/1p/50hz)</t>
  </si>
  <si>
    <t>DLTSDD-2.8/15-3p-2800W</t>
  </si>
  <si>
    <t>Dàn lạnh Taisei DD2.8/15-2800W(380v/3p/50hz)</t>
  </si>
  <si>
    <t>DLTSDD-3.7/22-1p-3700W</t>
  </si>
  <si>
    <t>Dàn lạnh Taisei DD3.7/22-3700W(220v/1p/50hz)</t>
  </si>
  <si>
    <t>DLTSDD-3.7/22-3p-3700W</t>
  </si>
  <si>
    <t>Dàn lạnh Taisei DD3.7/22-3700W(380v/3p/50hz)</t>
  </si>
  <si>
    <t>DLTSDD-5.6/30-3p-5600W</t>
  </si>
  <si>
    <t>Dàn lạnh Taisei DD5.6/30-5600W(380v/3p/50hz)</t>
  </si>
  <si>
    <t>DLTSDD-1.3/7-3p-1300W</t>
  </si>
  <si>
    <t>Dàn lạnh Taisei DD7 (380v/3p/50hz)</t>
  </si>
  <si>
    <t>DLTSDD7.5/40-3p-7500W</t>
  </si>
  <si>
    <t>Dàn lạnh Taisei DD7.5/40-7500W(380v/3p/50hz)</t>
  </si>
  <si>
    <t>DLTSDD-14.9/80-3p-14900W</t>
  </si>
  <si>
    <t>Dàn lạnh Taisei DD80 (380v/3p/50hz)</t>
  </si>
  <si>
    <t>DLTSDE0.45/2.5-1p-450W</t>
  </si>
  <si>
    <t>Dàn lạnh Taisei DE0.45/2.5-450W (220v/1p/50hz)</t>
  </si>
  <si>
    <t>DNTSFNA0.38/1.2-380W(DAN4</t>
  </si>
  <si>
    <t>Dàn Nóng Taisei FNA 0.38/1.2 (380W/220V) ( Dàn Mảnh 4M)</t>
  </si>
  <si>
    <t>DNTSFNA1.2/5.4-56W</t>
  </si>
  <si>
    <t>Dàn Nóng Taisei FNA1.2/5.4(56W/220V/50HZ)</t>
  </si>
  <si>
    <t>DNTSFNF15.2/53-6.5HP-3p</t>
  </si>
  <si>
    <t>Dàn Nóng Taisei FNF15.2/53-6.5HP(380V/3p/50Hz)</t>
  </si>
  <si>
    <t>DNTSFNF19.0/63-7.5HP-3p</t>
  </si>
  <si>
    <t>Dàn Nóng Taisei FNF19.0/63-7.5HP(380V/3p/50Hz)</t>
  </si>
  <si>
    <t>DLTSDD-14.9/80-3p-14901W</t>
  </si>
  <si>
    <t>DNTSFNF2.8/13-1p-2HP</t>
  </si>
  <si>
    <t>Dàn Nóng Taisei FNF2.8-2HP(220V/1p/50Hz)</t>
  </si>
  <si>
    <t>DNTSFNF5.5/20-1p-3HP</t>
  </si>
  <si>
    <t>Dàn Nóng Taisei FNF20-3HP(220V/1p/50Hz)</t>
  </si>
  <si>
    <t>DNTSFNF21.5/75-8.5HP-3p</t>
  </si>
  <si>
    <t>Dàn Nóng Taisei FNF21.5/75-8.5HP(380V/3p/50Hz)</t>
  </si>
  <si>
    <t>DNTSFNF24.2/88-3p-10HP</t>
  </si>
  <si>
    <t>Dàn Nóng Taisei FNF24.2-10HP (380v/3p/50hz)</t>
  </si>
  <si>
    <t>DNTSFNF36/130-3p-15HP</t>
  </si>
  <si>
    <t>Dàn Nóng Taisei FNF36-15HP (380v/3p/50hz)</t>
  </si>
  <si>
    <t>DNTSFNF5.5/20-3p-3HP</t>
  </si>
  <si>
    <t>Dàn Nóng Taisei FNF5.5-3HP (380v/3p/50hz)</t>
  </si>
  <si>
    <t>DNTSFNF8.8/30-1p-4HP</t>
  </si>
  <si>
    <t>Dàn Nóng Taisei FNF8.8/30-4HP(220V/1p/50Hz)</t>
  </si>
  <si>
    <t>DNTSFNF8.8/30-4HP-3p</t>
  </si>
  <si>
    <t>Dàn Nóng Taisei FNF8.8/30-4HP(380V/3p/50Hz)</t>
  </si>
  <si>
    <t>DNTSFNF9.0/42-5HP-3p</t>
  </si>
  <si>
    <t>Dàn Nóng Taisei FNF9.0/42-5HP(380V/3p/50Hz)</t>
  </si>
  <si>
    <t>Lốc</t>
  </si>
  <si>
    <t>LOCCOPELAND</t>
  </si>
  <si>
    <t>MNKZR61KH-TFD-522</t>
  </si>
  <si>
    <t>Máy nén khí Copeland cho Thiết Bị Lạnh ZR61KH-TFD-522(380v/3P/50Hz)</t>
  </si>
  <si>
    <t>MNKZR22K3-PFJ-522</t>
  </si>
  <si>
    <t>Máy nén khí cho TBị Lạnh MNKZR22K3-PFJ-522(220V420V50Hz)</t>
  </si>
  <si>
    <t>MNKZR26K3-PFJ-522</t>
  </si>
  <si>
    <t>Máy nén khí cho TBị Lạnh MNKZR26K3-PFJ-522(220V240V50Hz)</t>
  </si>
  <si>
    <t>MNKZR26K3-TFD-522</t>
  </si>
  <si>
    <t>Máy nén khí cho TBị Lạnh MNKZR26K3-TFD-522(380V420V50Hz)</t>
  </si>
  <si>
    <t>MNKZR28K3-TFD-522</t>
  </si>
  <si>
    <t>Máy nén khí cho TBị Lạnh MNKZR28K3-TFD-522(380V420V50Hz)</t>
  </si>
  <si>
    <t>MNKZR42K3-PFJ-522</t>
  </si>
  <si>
    <t>Máy nén khí cho TBị Lạnh MNKZR42K3-PFJ-522(220V240V50Hz)</t>
  </si>
  <si>
    <t>MNKZR125KCTFD-422</t>
  </si>
  <si>
    <t>Máy nén khí cho TBị Lạnh ZR125KC-TFD-422(380V420V50Hz)</t>
  </si>
  <si>
    <t>MNKZR125-KC-TFD-522</t>
  </si>
  <si>
    <t>Máy nén khí cho TBị Lạnh ZR125KC-TFD-522(380V420V50Hz)</t>
  </si>
  <si>
    <t>MNKZR144KCTFD422</t>
  </si>
  <si>
    <t>Máy nén khí cho TBị Lạnh ZR144KC-TFD-422(380V420V50Hz)</t>
  </si>
  <si>
    <t>MNKZR144-KC-TFD522</t>
  </si>
  <si>
    <t>Máy nén khí cho TBị Lạnh ZR144KC-TFD-522(380V420V50Hz)</t>
  </si>
  <si>
    <t>MNKZR144KCETFD-422</t>
  </si>
  <si>
    <t>Máy nén khí cho TBị Lạnh ZR144KCE-TFD-422(380V420V50Hz)</t>
  </si>
  <si>
    <t>MNKZR144KCETFD-522</t>
  </si>
  <si>
    <t>Máy nén khí cho TBị Lạnh ZR144KCE-TFD-522(380V420V50Hz)</t>
  </si>
  <si>
    <t>MNKZR190KCTFD-550</t>
  </si>
  <si>
    <t>Máy nén khí cho TBị Lạnh ZR190KC-TFD-550(380V420V50Hz)</t>
  </si>
  <si>
    <t>MNKZR250KCTWD-522</t>
  </si>
  <si>
    <t>Máy nén khí cho TBị Lạnh ZR250KC-TWD-522</t>
  </si>
  <si>
    <t>MNKZR380KCTWD-523</t>
  </si>
  <si>
    <t>Máy nén khí cho TBị Lạnh ZR380KC-TWD-523 (380V420V50Hz)</t>
  </si>
  <si>
    <t>MNKZR54KCTFD-522</t>
  </si>
  <si>
    <t>Máy nén khí cho TBị Lạnh ZR54KC-TFD-522(380V420V50Hz)</t>
  </si>
  <si>
    <t>MNKZR61KCTFD-422</t>
  </si>
  <si>
    <t>Máy nén khí cho TBị Lạnh ZR61KC-TFD-422(380V420V50Hz)</t>
  </si>
  <si>
    <t>MNKZR61KCTFD-522</t>
  </si>
  <si>
    <t>Máy nén khí cho TBị Lạnh ZR61KC-TFD-522(380V420V50Hz)</t>
  </si>
  <si>
    <t>MNKZR61KCETFD</t>
  </si>
  <si>
    <t>Máy nén khí cho TBị Lạnh ZR61KCE-TFD-522(380V420V50Hz)</t>
  </si>
  <si>
    <t>MNKZR68KCTFD-522</t>
  </si>
  <si>
    <t>Máy nén khí cho TBị Lạnh ZR68KC-TFD-522(380V420V50Hz)</t>
  </si>
  <si>
    <t>MNKZR72KCTFD-522</t>
  </si>
  <si>
    <t>Máy nén khí cho TBị Lạnh ZR72KC-TFD-522(380V420V50Hz)</t>
  </si>
  <si>
    <t>MNKZR72KCTFD-52E</t>
  </si>
  <si>
    <t>Máy nén khí cho TBị Lạnh ZR72KC-TFD-52E</t>
  </si>
  <si>
    <t>MNKZR72KCETFD-522</t>
  </si>
  <si>
    <t>Máy nén khí cho TBị Lạnh ZR72KCE-TFD-522(380V420V50Hz)</t>
  </si>
  <si>
    <t>MNKZR72KCETFD-52E</t>
  </si>
  <si>
    <t>Máy nén khí cho TBị Lạnh ZR72KCE-TFD-52E</t>
  </si>
  <si>
    <t>MNKCR30K6M-TFM-101</t>
  </si>
  <si>
    <t>Máy nén khí cho thiết bị lạnh CR30K6M-TFM-101,Serial-wea-0000324</t>
  </si>
  <si>
    <t>MNKCR37-KQ-TFD-522</t>
  </si>
  <si>
    <t>Máy nén khí cho thiết bị lạnh CR37-KQ-TFD522</t>
  </si>
  <si>
    <t>MNKCR37K6M-TF5-101</t>
  </si>
  <si>
    <t>Máy nén khí cho thiết bị lạnh CR37K6M-TF5-101, 200-230V,60HZ, LRA68</t>
  </si>
  <si>
    <t>MNKCR37K6M-TFD-101</t>
  </si>
  <si>
    <t>Máy nén khí cho thiết bị lạnh CR37K6M-TFD-101, 380VAC, LRA45</t>
  </si>
  <si>
    <t>MNKCR62-KQM-TFD-202</t>
  </si>
  <si>
    <t>Máy nén khí cho thiết bị lạnh CR62-KQM-TFD-202(380V420W50Hz)</t>
  </si>
  <si>
    <t>MNKZB88KQTFD550</t>
  </si>
  <si>
    <t>Máy nén khi cho thiết bị lạnh MNKZB88KQ - TFD - 550 (380V420V50HZ)</t>
  </si>
  <si>
    <t>MNKZB114KQTFD - 550</t>
  </si>
  <si>
    <t>Máy nén khí cho thiết bị lạnh ZB114KQ-TFD-550(380V420V50Hz)</t>
  </si>
  <si>
    <t>MNKZB15KQEPJF-558</t>
  </si>
  <si>
    <t>Máy nén khí cho thiết bị lạnh ZB15KQE-PFJ-558(220/240-50hz)</t>
  </si>
  <si>
    <t>MNKZB21KQPFJ-558</t>
  </si>
  <si>
    <t>Máy nén khí cho thiết bị lạnh ZB21KQ-PFJ-558(380V420V50Hz)</t>
  </si>
  <si>
    <t>MNKZB21KQTFD-524</t>
  </si>
  <si>
    <t>Máy nén khí cho thiết bị lạnh ZB21KQ-TFD-524 (380V420V50Hz)</t>
  </si>
  <si>
    <t>MNKZB21KQTFD-558</t>
  </si>
  <si>
    <t>Máy nén khí cho thiết bị lạnh ZB21KQ-TFD-558(380V420VLGAPLGAP50Hz)</t>
  </si>
  <si>
    <t>MNKZB21KQETFD-558</t>
  </si>
  <si>
    <t>Máy nén khí cho thiết bị lạnh ZB21KQE-TFD-558(380V420V-50HZ)</t>
  </si>
  <si>
    <t>MNKZB26KQTFD-558</t>
  </si>
  <si>
    <t>Máy nén khí cho thiết bị lạnh ZB26KQ-TFD-558(380V420V50Hz)</t>
  </si>
  <si>
    <t>Máy nén khí cho thiết bị lạnh ZB38KQ-TFD-558(380V420V50Hz)</t>
  </si>
  <si>
    <t>MNKZB38KQETFD-558</t>
  </si>
  <si>
    <t>Máy nén khí cho thiết bị lạnh ZB38KQE-TFD-558(380V420V50Hz)</t>
  </si>
  <si>
    <t>MNKZB48KQTF5-524</t>
  </si>
  <si>
    <t>Máy nén khí cho thiết bị lạnh ZB48KQ-TF5-524</t>
  </si>
  <si>
    <t>MNKZB48KQTFD-558</t>
  </si>
  <si>
    <t>Máy nén khí cho thiết bị lạnh ZB48KQ-TFD-558(380V420V50Hz)</t>
  </si>
  <si>
    <t>MNKZB48KQETFD-558</t>
  </si>
  <si>
    <t>Máy nén khí cho thiết bị lạnh ZB48KQE-TFD-558(380V420V50Hz)</t>
  </si>
  <si>
    <t>MNKZB76KQTFD</t>
  </si>
  <si>
    <t>Máy nén khí cho thiết bị lạnh ZB76KQ-TFD-550(380V420W50Hz)</t>
  </si>
  <si>
    <t>MNKZP103KCE-TFD-522</t>
  </si>
  <si>
    <t>Máy nén khí cho thiết bị lạnh ZP103KCE-TFD-522(380V420V50Hz)</t>
  </si>
  <si>
    <t>MNKZP72KCE-TFD-522</t>
  </si>
  <si>
    <t>Máy nén khí cho thiết bị lạnh ZP72KCE-TFD-522(380V420V50Hz)</t>
  </si>
  <si>
    <t>MNKZR108KCETFD-522</t>
  </si>
  <si>
    <t>Máy nén khí cho thiết bị lạnh ZR108KCE-TFD-522(380V420V50Hz)</t>
  </si>
  <si>
    <t>MNKZR125KCETFD-522</t>
  </si>
  <si>
    <t>Máy nén khí cho thiết bị lạnh ZR125KCE-TFD-522(380V420V50Hz)</t>
  </si>
  <si>
    <t>MNKZR190KCTFD-522</t>
  </si>
  <si>
    <t>máy nén khí cho thiết bị lạnh ZR190KC-TFD-522(380V/420V-50HZ)</t>
  </si>
  <si>
    <t>MNKZR190KCTFD-523</t>
  </si>
  <si>
    <t>máy nén khí cho thiết bị lạnh ZR190KC-TFD-523(380V/420V-50HZ)</t>
  </si>
  <si>
    <t>MNKZR190KCE-TFD-522</t>
  </si>
  <si>
    <t>máy nén khí cho thiết bị lạnh ZR190KCE-TFD-522 (380V/420V-50HZ)</t>
  </si>
  <si>
    <t>MNKZR36K3-PFJ-522</t>
  </si>
  <si>
    <t>máy nén khí cho thiết bị lạnh ZR36K3-PFJ-522(220v-240-1-50HZ)</t>
  </si>
  <si>
    <t>MNKZR36K3TFD522</t>
  </si>
  <si>
    <t>máy nén khí cho thiết bị lạnh ZR36K3-TFD-522(380V/420V50HZ)</t>
  </si>
  <si>
    <t>MNKZR42K3TFD-522</t>
  </si>
  <si>
    <t>máy nén khí cho thiết bị lạnh ZR42K3-TFD-522(380V/420V50HZ)</t>
  </si>
  <si>
    <t>MNKZR48KCTFD-522</t>
  </si>
  <si>
    <t>máy nén khí cho thiết bị lạnh ZR48KC-TFD-522(380V420V-50HZ)</t>
  </si>
  <si>
    <t>MNKZR48KCETFD-522</t>
  </si>
  <si>
    <t>máy nén khí cho thiết bị lạnh ZR48KCE-TFD-522(380V420V-50HZ)</t>
  </si>
  <si>
    <t>MNKZR81KCTFD-522</t>
  </si>
  <si>
    <t>Máy nén khí cho thiết bị lạnh ZR81KC-TFD-522(380V420V50Hz)</t>
  </si>
  <si>
    <t>MNKZR81KCETFD-522</t>
  </si>
  <si>
    <t>Máy nén khí cho thiết bị lạnh ZR81KCE-TFD-522(380V420V50Hz)</t>
  </si>
  <si>
    <t>MNKZR84KCTFD-522</t>
  </si>
  <si>
    <t>Máy nén khí cho thiết bị lạnh ZR84KC-TFD-522(380V420V50Hz)</t>
  </si>
  <si>
    <t>LOCDANFOS</t>
  </si>
  <si>
    <t>MNKDMT100-4VI</t>
  </si>
  <si>
    <t>Máy nén khí Danfoss cho thiết bị lạnh MT 100- 4VI</t>
  </si>
  <si>
    <t>MNKDMT100-4VM</t>
  </si>
  <si>
    <t>Máy nén khí Danfoss cho thiết bị lạnh MT 100- 4VM</t>
  </si>
  <si>
    <t>MNKDMT125-4VM</t>
  </si>
  <si>
    <t>Máy nén khí Danfoss cho thiết bị lạnh MT 125 - 4VM</t>
  </si>
  <si>
    <t>MNKDMT160-4VM</t>
  </si>
  <si>
    <t>Máy nén khí Danfoss cho thiết bị lạnh MT 160 - 4VM</t>
  </si>
  <si>
    <t>MNKDMT22-4VI</t>
  </si>
  <si>
    <t>Máy nén khí Danfoss cho thiết bị lạnh MT 22 - 4VI</t>
  </si>
  <si>
    <t>MNKDMT36-5VI</t>
  </si>
  <si>
    <t>Máy nén khí Danfoss cho thiết bị lạnh MT 36 - 1 pha- 5VI</t>
  </si>
  <si>
    <t>MNKDMT36-4VM</t>
  </si>
  <si>
    <t>Máy nén khí Danfoss cho thiết bị lạnh MT 36 - 4VM</t>
  </si>
  <si>
    <t>MNKDMT44-4VM</t>
  </si>
  <si>
    <t>Máy nén khí Danfoss cho thiết bị lạnh MT 44 - 4VM</t>
  </si>
  <si>
    <t>MNKDMT64-4VM</t>
  </si>
  <si>
    <t>Máy nén khí Danfoss cho thiết bị lạnh MT 64 - 4VM</t>
  </si>
  <si>
    <t>MNKDMT72-4VI</t>
  </si>
  <si>
    <t>Máy nén khí Danfoss cho thiết bị lạnh MT 72 - 4VI</t>
  </si>
  <si>
    <t>MNKDMT72-4VM</t>
  </si>
  <si>
    <t>Máy nén khí Danfoss cho thiết bị lạnh MT 72 - 4VM</t>
  </si>
  <si>
    <t>MNKDMT80-4VM</t>
  </si>
  <si>
    <t>Máy nén khí Danfoss cho thiết bị lạnh MT 80 - 4VM</t>
  </si>
  <si>
    <t>MNKDMT28-4VI</t>
  </si>
  <si>
    <t>Máy nén khí Danfoss cho thiết bị lạnh MT28 - 4VI</t>
  </si>
  <si>
    <t>MNKDMT28-4VM</t>
  </si>
  <si>
    <t>Máy nén khí Danfoss cho thiết bị lạnh MT28 - 4VM</t>
  </si>
  <si>
    <t>MNKDMT40-4VI</t>
  </si>
  <si>
    <t>Máy nén khí Danfoss cho thiết bị lạnh MT40 -4VI</t>
  </si>
  <si>
    <t>MNKDMTZ125</t>
  </si>
  <si>
    <t>Máy nén khí Danfoss cho thiết bị lạnh MTZ 125</t>
  </si>
  <si>
    <t>MNKDMTZ64-4VM</t>
  </si>
  <si>
    <t>Máy nén khí Danfoss cho thiết bị lạnh MTZ 64</t>
  </si>
  <si>
    <t>MNKDMTZ64-4VI</t>
  </si>
  <si>
    <t>Máy nén khí Danfoss cho thiết bị lạnh MTZ 64-4VI</t>
  </si>
  <si>
    <t>MNKDMTZ80-4VI</t>
  </si>
  <si>
    <t>Máy nén khí Danfoss cho thiết bị lạnh MTZ 80 - 3 pha</t>
  </si>
  <si>
    <t>MNKDMTZ80-4VM</t>
  </si>
  <si>
    <t>Máy nén khí Danfoss cho thiết bị lạnh MTZ 80 - 4VM</t>
  </si>
  <si>
    <t>MNKMTZ100-4VI</t>
  </si>
  <si>
    <t>Máy nén khí Danfoss cho thiết bị lạnh MTZ100 - 3 pha</t>
  </si>
  <si>
    <t>MNKDMTZ28-4VI</t>
  </si>
  <si>
    <t>Máy nén khí Danfoss cho thiết bị lạnh MTZ28 - 3 pha - 4VI</t>
  </si>
  <si>
    <t>MNKDMTZ36-4VI</t>
  </si>
  <si>
    <t>Máy nén khí Danfoss cho thiết bị lạnh MTZ36 - 4VI</t>
  </si>
  <si>
    <t>MNKDSC12G</t>
  </si>
  <si>
    <t>Máy nén khí Danfoss cho thiết bị lạnh SC 12G</t>
  </si>
  <si>
    <t>MNKDSM120-4VI</t>
  </si>
  <si>
    <t>Máy nén khí Danfoss cho thiết bị lạnh SM 120 - 4VI</t>
  </si>
  <si>
    <t>MNKDSM120S4VC</t>
  </si>
  <si>
    <t>Máy nén khí Danfoss cho thiết bị lạnh SM 120 S4 VC - 4VI</t>
  </si>
  <si>
    <t>MNKDSM148-4VAI</t>
  </si>
  <si>
    <t>Máy nén khí Danfoss cho thiết bị lạnh SM148-4VAI</t>
  </si>
  <si>
    <t>MNKDSY240A4PAI</t>
  </si>
  <si>
    <t>Máy nén khí Danfoss cho thiết bị lạnh SY240A4PAI</t>
  </si>
  <si>
    <t>MNKDSC12CL</t>
  </si>
  <si>
    <t>máy nén khí Danfoss SC12CL</t>
  </si>
  <si>
    <t>Máy nén khí Danfoss SM185S4CC</t>
  </si>
  <si>
    <t>LOCKHAC</t>
  </si>
  <si>
    <t>MNK2P21T225AZB12</t>
  </si>
  <si>
    <t>Máy nén khí 2P21T225AZB (12000BTU)</t>
  </si>
  <si>
    <t>MNK42F522AUA</t>
  </si>
  <si>
    <t>Máy nén khí chân treo 2V42S225AUA (24000 BTU)</t>
  </si>
  <si>
    <t>MNKCBZN140L5Z</t>
  </si>
  <si>
    <t>Máy nén khí cho thiết bị lạnh C-BZN140L5Z</t>
  </si>
  <si>
    <t>MNKCQE120L5C</t>
  </si>
  <si>
    <t>Máy nén khí cho thiết bị lạnh C-QE120L5C</t>
  </si>
  <si>
    <t>MNKCBZN250L5Z</t>
  </si>
  <si>
    <t>Máy nén khi cho thiết bị lạnh C, BNZ250L5Z</t>
  </si>
  <si>
    <t>MNKZR36K3ETFD522</t>
  </si>
  <si>
    <t>Máy nén khí cho thiết bị lạnh ZR36K3E-TFD-522(380V/420V50HZ)</t>
  </si>
  <si>
    <t>MNKAW5516EK</t>
  </si>
  <si>
    <t>Máy nén khí Kulthorn AW5516EK</t>
  </si>
  <si>
    <t>MNKQX</t>
  </si>
  <si>
    <t>Máy nén khí QX-34F050GA (18000 BTU)-Greez</t>
  </si>
  <si>
    <t>MNKGR7000BTU</t>
  </si>
  <si>
    <t>Máy nén khí QX-R14A130 7000 BTU Gree</t>
  </si>
  <si>
    <t>MNKQXR</t>
  </si>
  <si>
    <t>Máy nén khí QXR-RB164H235BBA (9000 BTU)</t>
  </si>
  <si>
    <t>LOCWANBAO</t>
  </si>
  <si>
    <t>MNKGFM12AA</t>
  </si>
  <si>
    <t>con lốc AL120-330W - 12.0 cm3 R134a 3/8 HP 330 W CSIR 80 Pcs</t>
  </si>
  <si>
    <t>MNKGFF93AA</t>
  </si>
  <si>
    <t>lốc AQAW110-260W Nhãn Hiệu Siberia, 9.3 cm3 R134a 1/3+ HP 270 W RSIR 80 Pcs</t>
  </si>
  <si>
    <t>MNKAL120</t>
  </si>
  <si>
    <t>Máy nén khí cho thiết bị lạnh - AL120</t>
  </si>
  <si>
    <t>MNKAL150</t>
  </si>
  <si>
    <t>Máy nén khí cho thiết bị lạnh - AL150</t>
  </si>
  <si>
    <t>MNKW110</t>
  </si>
  <si>
    <t>Máy nén khí cho thiết bị lạnh - AQAW110</t>
  </si>
  <si>
    <t>MNKW66X</t>
  </si>
  <si>
    <t>Máy nén khí cho thiết bị lạnh - AQAW66X</t>
  </si>
  <si>
    <t>MNKW77X</t>
  </si>
  <si>
    <t>Máy nén khí cho thiết bị lạnh - AQAW77X</t>
  </si>
  <si>
    <t>MNKDASD43</t>
  </si>
  <si>
    <t>Máy nén khí cho thiết bị lạnh - ASD43K43</t>
  </si>
  <si>
    <t>MNKASD53K</t>
  </si>
  <si>
    <t>Máy nén khí cho thiết bị lạnh - ASD53K</t>
  </si>
  <si>
    <t>MNKW91</t>
  </si>
  <si>
    <t>Máy nén khí cho thiết bị lạnh- AQAW91</t>
  </si>
  <si>
    <t>Vật tư dàn</t>
  </si>
  <si>
    <t>VTDAN</t>
  </si>
  <si>
    <t>CUQUATRPG15A</t>
  </si>
  <si>
    <t>Củ quạt RPG 15A-11 15W</t>
  </si>
  <si>
    <t>CUQUATYDKS20PG</t>
  </si>
  <si>
    <t>Củ quạt YDKS 20PG - 4 20W</t>
  </si>
  <si>
    <t>HKT6T2</t>
  </si>
  <si>
    <t>Kim số 6 tex 2 (068_2009)</t>
  </si>
  <si>
    <t>HKKHS30</t>
  </si>
  <si>
    <t>Bình ngưng KHS 30</t>
  </si>
  <si>
    <t>HKTU20</t>
  </si>
  <si>
    <t>Tụ 20 wf</t>
  </si>
  <si>
    <t>KD6T12</t>
  </si>
  <si>
    <t>Kim số 6 tex 12 (067B2709)</t>
  </si>
  <si>
    <t>HKATTOMAT15A</t>
  </si>
  <si>
    <t>Attomat 15 A</t>
  </si>
  <si>
    <t>HKBCG3HP12</t>
  </si>
  <si>
    <t>Bình chứa gas 3HP phi 12</t>
  </si>
  <si>
    <t>HKBTD3HP12</t>
  </si>
  <si>
    <t>Bình tách dầu 3HP phi 12</t>
  </si>
  <si>
    <t>HKBTD19</t>
  </si>
  <si>
    <t>Bình tách dầu phi 19</t>
  </si>
  <si>
    <t>HKBTD28</t>
  </si>
  <si>
    <t>Bình tách dầu phi 28</t>
  </si>
  <si>
    <t>HKBTL5HPPHI19</t>
  </si>
  <si>
    <t>Bình tách lỏng 5HP phi 19</t>
  </si>
  <si>
    <t>HKBTLPHI16</t>
  </si>
  <si>
    <t>Bình tách lỏng phi 16</t>
  </si>
  <si>
    <t>HKBTLPHI28</t>
  </si>
  <si>
    <t>Bình tách lỏng phi 28</t>
  </si>
  <si>
    <t>HKBXRDL</t>
  </si>
  <si>
    <t>Bình xịt rửa dàn lạnh</t>
  </si>
  <si>
    <t>HKCOIL10</t>
  </si>
  <si>
    <t>Coil Danfoss 10W</t>
  </si>
  <si>
    <t>HKCOIL12</t>
  </si>
  <si>
    <t>Coil Danfoss 12W (đắt tiền)</t>
  </si>
  <si>
    <t>CA</t>
  </si>
  <si>
    <t>Con âm Pana Toshiba</t>
  </si>
  <si>
    <t>HKDLD48</t>
  </si>
  <si>
    <t>Đá lọc Danfoss 48 DC</t>
  </si>
  <si>
    <t>HKĐCGN410</t>
  </si>
  <si>
    <t>Đầu chuyển ga 410 ngắn</t>
  </si>
  <si>
    <t>HKĐCGD410</t>
  </si>
  <si>
    <t>Đầu chuyển ga 410, dài</t>
  </si>
  <si>
    <t>HKĐCG134</t>
  </si>
  <si>
    <t>Đầu chuyển gas 134</t>
  </si>
  <si>
    <t>HKDNG</t>
  </si>
  <si>
    <t>Dây nạp gas (conmax)</t>
  </si>
  <si>
    <t>DEDAN 4 HP</t>
  </si>
  <si>
    <t>Đế dàn 4 HP</t>
  </si>
  <si>
    <t>HKDVTEXT5067B4011</t>
  </si>
  <si>
    <t>Đế van tiết lưu text 5 (067B4011)</t>
  </si>
  <si>
    <t>HKDHĐ</t>
  </si>
  <si>
    <t>Đồng Hồ Đơn</t>
  </si>
  <si>
    <t>DHNDS1</t>
  </si>
  <si>
    <t>Đồng hồ nhiệt độ DS1</t>
  </si>
  <si>
    <t>TECMOTTA285</t>
  </si>
  <si>
    <t>Ewlly ew 285 (Tecmotta kho lạnh có xả đá)</t>
  </si>
  <si>
    <t>HKGĐĐ</t>
  </si>
  <si>
    <t>Giá đỡ đại</t>
  </si>
  <si>
    <t>HKGĐĐTHEPV</t>
  </si>
  <si>
    <t>Giá đỡ đại thép V</t>
  </si>
  <si>
    <t>HKGĐTTHEPV</t>
  </si>
  <si>
    <t>Giá đỡ to thép V</t>
  </si>
  <si>
    <t>HKKIM3TEX5</t>
  </si>
  <si>
    <t>Kim số 3 tex 5</t>
  </si>
  <si>
    <t>HKKIM4TEX2</t>
  </si>
  <si>
    <t>Kim số 4 tex 2 (068, 2007)</t>
  </si>
  <si>
    <t>HKKIM4TEX5</t>
  </si>
  <si>
    <t>Kim số 4 tex 5 (067B2792)</t>
  </si>
  <si>
    <t>HKKIM5TEX2</t>
  </si>
  <si>
    <t>Kim số 5 tex 2</t>
  </si>
  <si>
    <t>mắt báo gas Danfoss 10 (014, 0162)</t>
  </si>
  <si>
    <t>mắt báo gas Danfoss 12 (014, 0163)</t>
  </si>
  <si>
    <t>HKPDHT</t>
  </si>
  <si>
    <t>Phin điều hòa to</t>
  </si>
  <si>
    <t>PHINLOCDF</t>
  </si>
  <si>
    <t>Phin lọc Danfoss DCL 052</t>
  </si>
  <si>
    <t>PHINLOCDCL083PHIN10</t>
  </si>
  <si>
    <t>Phin lọc Danfoss DCL 083 phi 10</t>
  </si>
  <si>
    <t>PHINLDDCL163</t>
  </si>
  <si>
    <t>Phin lọc Danfoss DCL 163</t>
  </si>
  <si>
    <t>PHINLDDCL164PHIN12</t>
  </si>
  <si>
    <t>Phin lọc Danfoss DCL 164 phi 12</t>
  </si>
  <si>
    <t>PHINNDDCL304PHIN12</t>
  </si>
  <si>
    <t>Phin lọc Danfoss DCL 304 phi 12</t>
  </si>
  <si>
    <t>PHINLDDCL305</t>
  </si>
  <si>
    <t>Phin lọc Danfoss DCL 305</t>
  </si>
  <si>
    <t>PHINLDDCL306PHIN19</t>
  </si>
  <si>
    <t>Phin lọc Danfoss DCL 306 phi 19</t>
  </si>
  <si>
    <t>PHINLDDCL307PHIN22</t>
  </si>
  <si>
    <t>Phin lọc danfoss DCL 307 phi 22</t>
  </si>
  <si>
    <t>PHINLDDCL165</t>
  </si>
  <si>
    <t>Phin lọc Danfoss DCL165 phi 12</t>
  </si>
  <si>
    <t>PHINLDDCL082PHIN06</t>
  </si>
  <si>
    <t>phin lọc Danfoss DML 082 phi 6 ( 023Z5039 )</t>
  </si>
  <si>
    <t>PHINLOCDML083PHIN10</t>
  </si>
  <si>
    <t>Phin lọc Danfoss DML 083 phi 10</t>
  </si>
  <si>
    <t>PHINLDDCL084PHIN12</t>
  </si>
  <si>
    <t>phin lọc Danfoss DML 084 phi 12</t>
  </si>
  <si>
    <t>PHINLDDML163PHIN10</t>
  </si>
  <si>
    <t>Phin lọc Danfoss DML 163 phi 10 ( 023Z5043 )</t>
  </si>
  <si>
    <t>PHINLDDML163SPHIN10</t>
  </si>
  <si>
    <t>Phin lọc Danfoss DML 163S phi 10</t>
  </si>
  <si>
    <t>PHINLOCDML164</t>
  </si>
  <si>
    <t>Phin lọc Danfoss DML 164 (023Z5044)</t>
  </si>
  <si>
    <t>PHINLDDML164SPHIN10</t>
  </si>
  <si>
    <t>Phin lọc Danfoss DML 164S phi 12</t>
  </si>
  <si>
    <t>PHINLDDML165PHIN16</t>
  </si>
  <si>
    <t>phin lọc Danfoss DML 165 phi 16 (023Z5045)</t>
  </si>
  <si>
    <t>PHINLDDML165SPHIN10</t>
  </si>
  <si>
    <t>Phin lọc Danfoss DML 165S phi 16</t>
  </si>
  <si>
    <t>PHINLDDML305PHIN16</t>
  </si>
  <si>
    <t>Phin lọc Danfoss DML 305 phi 16</t>
  </si>
  <si>
    <t>PHINDANFOSS23</t>
  </si>
  <si>
    <t>Phin lọc Danfoss DML 305s phi 16</t>
  </si>
  <si>
    <t>PHINLDDML306SPHIN10</t>
  </si>
  <si>
    <t>Phin lọc Danfoss DML 306S phi 19</t>
  </si>
  <si>
    <t>PHINLDDML307PHIN22</t>
  </si>
  <si>
    <t>Phin lọc Danfoss DML 307 Phi 22</t>
  </si>
  <si>
    <t>PHINLDDML307SPHIN22</t>
  </si>
  <si>
    <t>Phin lọc Danfoss DML 307S Phi 22</t>
  </si>
  <si>
    <t>PHINLDDML309SPHIN28</t>
  </si>
  <si>
    <t>Phin lọc Danfoss DML309S phi 28</t>
  </si>
  <si>
    <t>PHINLDDML319SPHIN28</t>
  </si>
  <si>
    <t>Phin lọc Danfoss DML319S phi 28</t>
  </si>
  <si>
    <t>PHINLDDML419SPHIN28</t>
  </si>
  <si>
    <t>Phin lọc Danfoss DML419S phi 28</t>
  </si>
  <si>
    <t>PHINLEMERSON047613</t>
  </si>
  <si>
    <t>Phin lọc Emerson 047613/EK 163 STD</t>
  </si>
  <si>
    <t>PHINLEMERSON047614</t>
  </si>
  <si>
    <t>Phin lọc Emerson 047614/EK 163 S STD</t>
  </si>
  <si>
    <t>PHINLEMERSON047615</t>
  </si>
  <si>
    <t>Phin lọc Emerson 047615/EK 164 STD</t>
  </si>
  <si>
    <t>PHINLEMERSON047616</t>
  </si>
  <si>
    <t>Phin lọc Emerson 047616/EK 164S STD</t>
  </si>
  <si>
    <t>PHINLEMERSON047617</t>
  </si>
  <si>
    <t>Phin lọc Emerson 047617/EK 165 STD</t>
  </si>
  <si>
    <t>PHINLEMERSON047619</t>
  </si>
  <si>
    <t>Phin lọc Emerson 047619/EK 167 S STD</t>
  </si>
  <si>
    <t>PHINLEMERSON048210</t>
  </si>
  <si>
    <t>Phin lọc Emerson 048210/EK 303 STD</t>
  </si>
  <si>
    <t>PHINLEMERSON048212</t>
  </si>
  <si>
    <t>Phin lọc Emerson 048212/EK 304 STD</t>
  </si>
  <si>
    <t>PHINLEMERSON048214</t>
  </si>
  <si>
    <t>Phin lọc Emerson 048214/EK 305 STD</t>
  </si>
  <si>
    <t>PHINLEMERSON048215STD</t>
  </si>
  <si>
    <t>Phin lọc Emerson 048215/EK 305 STD</t>
  </si>
  <si>
    <t>PHINLEMERSON048215</t>
  </si>
  <si>
    <t>Phin lọc Emerson 048215/EK 305S STD</t>
  </si>
  <si>
    <t>PHINLEMERSON048216</t>
  </si>
  <si>
    <t>Phin lọc Emerson 048216/EK 306S STD</t>
  </si>
  <si>
    <t>PHINLEMERSON048217</t>
  </si>
  <si>
    <t>Phin lọc Emerson 048217/EK 307S STD</t>
  </si>
  <si>
    <t>PHINLEMERSON048218</t>
  </si>
  <si>
    <t>Phin lọc Emerson 048218/EK 309S STD</t>
  </si>
  <si>
    <t>HKPT1D</t>
  </si>
  <si>
    <t>Phin tủ 1 đuôi</t>
  </si>
  <si>
    <t>QCG1.0NN</t>
  </si>
  <si>
    <t>Quạt cắt gió 1.0m (Nanyoo)</t>
  </si>
  <si>
    <t>QCG1.2JL</t>
  </si>
  <si>
    <t>Quạt cắt gió 1.2m (JinLing)</t>
  </si>
  <si>
    <t>QCG1.2NN</t>
  </si>
  <si>
    <t>Quạt cắt gió 1.2m (Nanyoo)</t>
  </si>
  <si>
    <t>QCG1.2TD</t>
  </si>
  <si>
    <t>Quạt cắt gió 1.2m (The Door)</t>
  </si>
  <si>
    <t>QDLHPĐH</t>
  </si>
  <si>
    <t>Quạt dàn lạnh điều hòa</t>
  </si>
  <si>
    <t>HKQUATDAY</t>
  </si>
  <si>
    <t>Quạt tủ đắt</t>
  </si>
  <si>
    <t>QTL</t>
  </si>
  <si>
    <t>Quạt tủ lạnh</t>
  </si>
  <si>
    <t>RCB.EKS111</t>
  </si>
  <si>
    <t>Râu cảm biến EKS 111</t>
  </si>
  <si>
    <t>RLASDTTQ</t>
  </si>
  <si>
    <t>Rơ le A/S đơn thấp TQ IK6S</t>
  </si>
  <si>
    <t>RLDCWFS1001H</t>
  </si>
  <si>
    <t>Rơ le A/S dòng chảy</t>
  </si>
  <si>
    <t>ROLEASD</t>
  </si>
  <si>
    <t>Rơ Le áp suất dầu</t>
  </si>
  <si>
    <t>RLAX</t>
  </si>
  <si>
    <t>Rơ le AX</t>
  </si>
  <si>
    <t>RLASKKP15</t>
  </si>
  <si>
    <t>Rơle A/S kép KP 15</t>
  </si>
  <si>
    <t>HKVDHD</t>
  </si>
  <si>
    <t>Tay đồng hồ nạp gas đơn</t>
  </si>
  <si>
    <t>HKTVTLT12</t>
  </si>
  <si>
    <t>Thân Van tiết lưu Tex 12</t>
  </si>
  <si>
    <t>HKTVTLT2</t>
  </si>
  <si>
    <t>Thân van tiết lưu Tex 2</t>
  </si>
  <si>
    <t>HKVTLTEXT5</t>
  </si>
  <si>
    <t>Thân Van tiết lưu Tex 5 ( 067B3267)</t>
  </si>
  <si>
    <t>HKTVTLTGEX7.5</t>
  </si>
  <si>
    <t>Thân van tiết lưu TGEX 7.5</t>
  </si>
  <si>
    <t>HKTU25</t>
  </si>
  <si>
    <t>Tụ 25 wf</t>
  </si>
  <si>
    <t>HKTU30</t>
  </si>
  <si>
    <t>Tụ 30 wf</t>
  </si>
  <si>
    <t>HKTU35</t>
  </si>
  <si>
    <t>Tụ 35 wf</t>
  </si>
  <si>
    <t>TU40WF</t>
  </si>
  <si>
    <t>Tụ 40 wf</t>
  </si>
  <si>
    <t>HKTYGAS</t>
  </si>
  <si>
    <t>Ty nạp gas</t>
  </si>
  <si>
    <t>HKV1C</t>
  </si>
  <si>
    <t>Van 1 chiều</t>
  </si>
  <si>
    <t>HKVAN1</t>
  </si>
  <si>
    <t>Van cấp 1(Van cấp đơn)</t>
  </si>
  <si>
    <t>VANC12</t>
  </si>
  <si>
    <t>Van chặn 12</t>
  </si>
  <si>
    <t>VANC16</t>
  </si>
  <si>
    <t>Van Chặn 16</t>
  </si>
  <si>
    <t>VANC22</t>
  </si>
  <si>
    <t>Van chặn 22</t>
  </si>
  <si>
    <t>VANC28</t>
  </si>
  <si>
    <t>Van chặn 28</t>
  </si>
  <si>
    <t>VANC54</t>
  </si>
  <si>
    <t>Van chặn 54</t>
  </si>
  <si>
    <t>VANC6</t>
  </si>
  <si>
    <t>Van chặn 6</t>
  </si>
  <si>
    <t>VANDTEVANR10.16</t>
  </si>
  <si>
    <t>Van điện từ EVR 10 phi 16 (032L8098)</t>
  </si>
  <si>
    <t>VANDTEVANR15.22</t>
  </si>
  <si>
    <t>Van điện từ EVR 15 phi 22</t>
  </si>
  <si>
    <t>VANDTEVANR03.10</t>
  </si>
  <si>
    <t>Van điện từ EVR 3 phi 10</t>
  </si>
  <si>
    <t>VANDTEVANR06.10</t>
  </si>
  <si>
    <t>Van điện từ EVR 6 phi 10</t>
  </si>
  <si>
    <t>VANDTEVANR06.12</t>
  </si>
  <si>
    <t>Van điện từ EVR 6 phi 12</t>
  </si>
  <si>
    <t>HKVLX12</t>
  </si>
  <si>
    <t>Van lốc xanh 12</t>
  </si>
  <si>
    <t>HKVLX16</t>
  </si>
  <si>
    <t>Van lốc xanh 16</t>
  </si>
  <si>
    <t>HKVLX22</t>
  </si>
  <si>
    <t>Van lốc xanh 22</t>
  </si>
  <si>
    <t>HKVLX28</t>
  </si>
  <si>
    <t>Van lốc xanh 28</t>
  </si>
  <si>
    <t>HKVLX35</t>
  </si>
  <si>
    <t>Van lốc xanh 35</t>
  </si>
  <si>
    <t>HKVTLEX8-U21</t>
  </si>
  <si>
    <t>Van tiết lưu điện tử EX8-U21</t>
  </si>
  <si>
    <t>HKVTLT2KIM4</t>
  </si>
  <si>
    <t>Van Tiết lưu Tes 2 kim số 4</t>
  </si>
  <si>
    <t>HKVTLT12</t>
  </si>
  <si>
    <t>Van tiết lưu Tex 12 ( 067B3210)</t>
  </si>
  <si>
    <t>HKVTLT2</t>
  </si>
  <si>
    <t>Van tiết lưu Tex 2 ( 068Z3211)</t>
  </si>
  <si>
    <t>HKVTLTGEX15067N2162</t>
  </si>
  <si>
    <t>Van tiết lưu TGEX 15</t>
  </si>
  <si>
    <t>HKVTLTGEX18067N2163</t>
  </si>
  <si>
    <t>Van tiết lưu TGEX 18</t>
  </si>
  <si>
    <t>PKDBCG</t>
  </si>
  <si>
    <t>Bộ chia gas chữ Y KHRP26MC11T có vỏ</t>
  </si>
  <si>
    <t>Bộ chia gas chữ Y KHRP26MC22T</t>
  </si>
  <si>
    <t>Bộ chia gas chữ Y KHRP26MC22T có vỏ</t>
  </si>
  <si>
    <t>Bộ chia gas chữ Y KHRP26MC33T</t>
  </si>
  <si>
    <t>Bộ chia gas chữ Y KHRP26MC33T có vỏ</t>
  </si>
  <si>
    <t>Bộ chia gas chữ Y KHRP26MC37T</t>
  </si>
  <si>
    <t>Bộ chia gas chữ Y KHRP26MC37T có vỏ</t>
  </si>
  <si>
    <t>Bộ chia gas chữ Y KHRP26MC40T</t>
  </si>
  <si>
    <t>Bộ chia gas chữ Y KHRP26MC40T có vỏ</t>
  </si>
  <si>
    <t>Bộ chia gas chữ Y KHRP26MC72T</t>
  </si>
  <si>
    <t>Bộ chia gas chữ Y KHRP26MC72T có vỏ</t>
  </si>
  <si>
    <t>Bộ chia gas chữ Y KHRP26MC73T</t>
  </si>
  <si>
    <t>Bộ chia gas chữ Y KHRP26MC73T có vỏ</t>
  </si>
  <si>
    <t>Bộ chia gas chữ Y KHRP26MC75T</t>
  </si>
  <si>
    <t>Bộ chia gas chữ Y KHRP26MC75T có vỏ</t>
  </si>
  <si>
    <t>HKVBCG22T</t>
  </si>
  <si>
    <t>Vỏ bộ chia gas 22T (11T, 18T, 33T, 37T)</t>
  </si>
  <si>
    <t>HKVBCG33T</t>
  </si>
  <si>
    <t>Vỏ bộ chia gas 33T</t>
  </si>
  <si>
    <t>HKVBCG37T</t>
  </si>
  <si>
    <t>Vỏ bộ chia gas 37T (72T)</t>
  </si>
  <si>
    <t>HKVBCG72T</t>
  </si>
  <si>
    <t>Vỏ bộ chia gas 72T</t>
  </si>
  <si>
    <t>HKVBCG73T</t>
  </si>
  <si>
    <t>Vỏ bộ chia gas 73T</t>
  </si>
  <si>
    <t>HKVBCG75T</t>
  </si>
  <si>
    <t>Vỏ bộ chia gas 75T (73T, 40T)</t>
  </si>
  <si>
    <t>Phụ kiện khác</t>
  </si>
  <si>
    <t>PKDPK</t>
  </si>
  <si>
    <t>NLOE-Value-VFT-808-MIS</t>
  </si>
  <si>
    <t>Bộ Nong Loe Value 2 bàn kẹp.ĐK ống:6, 19mm.dao cắt nhỡ</t>
  </si>
  <si>
    <t>NLOE-Value-VFT-808-IS</t>
  </si>
  <si>
    <t>Bộ Nong Loe Value.ĐK ống:6, 19mm.dao cắt nhỡ</t>
  </si>
  <si>
    <t>CAP3</t>
  </si>
  <si>
    <t>Cáp 3</t>
  </si>
  <si>
    <t>CAP4</t>
  </si>
  <si>
    <t>Cáp 4</t>
  </si>
  <si>
    <t>HKDC-Value-VTC-19</t>
  </si>
  <si>
    <t>Dao Cắt Value. kích cỡ cắt: 3-19mm (dao cắt bé)</t>
  </si>
  <si>
    <t>HKDC-Value-VTC-28B</t>
  </si>
  <si>
    <t>Dao Cắt Value. Kích cỡ: 4-28mm (dao cắt nhỡ)</t>
  </si>
  <si>
    <t>HKDC-Value-VTC-42</t>
  </si>
  <si>
    <t>Dao Cắt Value.Kích cỡ:6-42mm (dao cắt to)</t>
  </si>
  <si>
    <t>HKDC-Value-VTC-70</t>
  </si>
  <si>
    <t>Dao Cắt Value.Kích cỡ:6-67mm (dao cắt đại)</t>
  </si>
  <si>
    <t>HKDD1X15</t>
  </si>
  <si>
    <t>Dây điện 1x1.5</t>
  </si>
  <si>
    <t>HKDDTD1X15</t>
  </si>
  <si>
    <t>Dây điện 1x1.5 (tiếp địa)</t>
  </si>
  <si>
    <t>HKDD1x1.5TP</t>
  </si>
  <si>
    <t>Dây điện 1x1.5 TP</t>
  </si>
  <si>
    <t>HKDD2X25</t>
  </si>
  <si>
    <t>Dây điện 2x2.5 ( Trần Phú)</t>
  </si>
  <si>
    <t>HKDD3X1.5CDSUN</t>
  </si>
  <si>
    <t>Dây điện 3x1.5( Cadisun)</t>
  </si>
  <si>
    <t>HKDD4x1.5CDSUN</t>
  </si>
  <si>
    <t>Dây điện 4x1.5 ( cadisun)</t>
  </si>
  <si>
    <t>HKDKHQĐ</t>
  </si>
  <si>
    <t>Đèn khò Hàn Quốc- loại đắt</t>
  </si>
  <si>
    <t>Que Hàn</t>
  </si>
  <si>
    <t>PKDQUEHAN</t>
  </si>
  <si>
    <t>HKBHĐ</t>
  </si>
  <si>
    <t>Bột hàn đồng</t>
  </si>
  <si>
    <t>Bột hàn Harris code Stay, SilvR Black Flux (Harris Products SSBF, 1)</t>
  </si>
  <si>
    <t>HKBHN</t>
  </si>
  <si>
    <t>Bột hàn nhôm (100g/hộp)</t>
  </si>
  <si>
    <t>HKBHTN</t>
  </si>
  <si>
    <t>Bột hàn the nhôm dạng nước đơn</t>
  </si>
  <si>
    <t>Hợp kim đồng dạng thanh Harris - USA (0%)</t>
  </si>
  <si>
    <t>QHD0Q</t>
  </si>
  <si>
    <t>Hợp kim đồng dạng thanh Harris SX tại Mỹ (0%) (Que)</t>
  </si>
  <si>
    <t>Hợp kim đồng dạng thanh Harris SX tại Mỹ (2%)</t>
  </si>
  <si>
    <t>QHD2Q</t>
  </si>
  <si>
    <t>Hợp kim đồng dạng thanh Harris SX tại Mỹ (2%) (que)</t>
  </si>
  <si>
    <t>Hợp kim đồng dạng thanh Harris SX tại Mỹ (5% )</t>
  </si>
  <si>
    <t>QHD5Q</t>
  </si>
  <si>
    <t>Hợp kim đồng dạng thanh Harris SX tại Mỹ (5% ) (que)</t>
  </si>
  <si>
    <t>Hợp kim đồng dạng thanh Harris SX tại Mỹ ( 15%)</t>
  </si>
  <si>
    <t>QHD15Q</t>
  </si>
  <si>
    <t>Hợp kim đồng dạng thanh Harris SX tại Mỹ ( 15%) (Que)</t>
  </si>
  <si>
    <t>Hợp kim đồng dạng thanh Harris SX tại Mỹ ( 30)</t>
  </si>
  <si>
    <t>HKQDHKDN</t>
  </si>
  <si>
    <t>Que hàn đồng nhôm</t>
  </si>
  <si>
    <t>HKQDHKDV</t>
  </si>
  <si>
    <t>Que hàn đồng vàng</t>
  </si>
  <si>
    <t>VTCNBB</t>
  </si>
  <si>
    <t>Băng cuốn</t>
  </si>
  <si>
    <t>VTCNBC</t>
  </si>
  <si>
    <t>BCTRANG</t>
  </si>
  <si>
    <t>Băng cuốn trắng</t>
  </si>
  <si>
    <t>Băng cuốn trắng SG</t>
  </si>
  <si>
    <t>BCDEN100</t>
  </si>
  <si>
    <t>Băng cuốn màu đen bản 100mm</t>
  </si>
  <si>
    <t>BCGHI80</t>
  </si>
  <si>
    <t>Băng cuốn màu ghi bản 80mm</t>
  </si>
  <si>
    <t>Băng dính</t>
  </si>
  <si>
    <t>VTCNBD</t>
  </si>
  <si>
    <t>HKBBDD</t>
  </si>
  <si>
    <t>Băng dính điện đen ( Mỏng)</t>
  </si>
  <si>
    <t>HKBDDĐ18</t>
  </si>
  <si>
    <t>Băng dính điện đen dầy Nano, rộng 1.8 cm, 18m dàI</t>
  </si>
  <si>
    <t>HKBDDT</t>
  </si>
  <si>
    <t>Băng dính điện trắng</t>
  </si>
  <si>
    <t>HKBDDTD</t>
  </si>
  <si>
    <t>Băng dính điện trắng dày (20Y)</t>
  </si>
  <si>
    <t>HKBDHM</t>
  </si>
  <si>
    <t>Băng dính hai mặt</t>
  </si>
  <si>
    <t>HKBDT1KG</t>
  </si>
  <si>
    <t>Băng dính trong 1kg/c</t>
  </si>
  <si>
    <t>HKBDTD</t>
  </si>
  <si>
    <t>Băng dính trong dầy</t>
  </si>
  <si>
    <t>HKBDTDTT</t>
  </si>
  <si>
    <t>Băng dính trong dầy trắng trong</t>
  </si>
  <si>
    <t>HKBDTM</t>
  </si>
  <si>
    <t>Băng dính trong mỏng</t>
  </si>
  <si>
    <t>HKBDTMTT</t>
  </si>
  <si>
    <t>Băng dính trong mỏng trắng trong</t>
  </si>
  <si>
    <t>HKBKLOGO50</t>
  </si>
  <si>
    <t>BĂNG KEO IN LOGO 50MICX72MMX50M</t>
  </si>
  <si>
    <t>HKBKLOGO63</t>
  </si>
  <si>
    <t>BĂNG KEO IN LOGO 63MICX72MMX50M</t>
  </si>
  <si>
    <t>Đai treo, cùm treo</t>
  </si>
  <si>
    <t>VTCNĐC</t>
  </si>
  <si>
    <t>HKCUMULA103M10</t>
  </si>
  <si>
    <t>Cùm ula 103 M10</t>
  </si>
  <si>
    <t>HKCUMULA105M10</t>
  </si>
  <si>
    <t>Cùm ula 105 M10</t>
  </si>
  <si>
    <t>HKCUMULA109M10</t>
  </si>
  <si>
    <t>Cùm ula 109 M10</t>
  </si>
  <si>
    <t>HKCUMULA113</t>
  </si>
  <si>
    <t>Cùm ula 113</t>
  </si>
  <si>
    <t>HKCUMULA122M10</t>
  </si>
  <si>
    <t>Cùm ula 122 M10</t>
  </si>
  <si>
    <t>HKCUMULA194M10</t>
  </si>
  <si>
    <t>Cùm ula 194 M10</t>
  </si>
  <si>
    <t>HKCUMULA220M10</t>
  </si>
  <si>
    <t>Cùm ula 220 M10</t>
  </si>
  <si>
    <t>HKCUMULA268M10</t>
  </si>
  <si>
    <t>Cùm ula 268 M10</t>
  </si>
  <si>
    <t>HKCUMULA319M10</t>
  </si>
  <si>
    <t>Cùm ula 319 M10</t>
  </si>
  <si>
    <t>HKCUMULA373M10</t>
  </si>
  <si>
    <t>Cùm ula 373 M10</t>
  </si>
  <si>
    <t>HKCUMULA425M10</t>
  </si>
  <si>
    <t>Cùm ula 425 M10</t>
  </si>
  <si>
    <t>HKCUMULA83M10</t>
  </si>
  <si>
    <t>Cùm ula 83 M10</t>
  </si>
  <si>
    <t>HKCUMULA88M8</t>
  </si>
  <si>
    <t>Cùm ula 88 M8</t>
  </si>
  <si>
    <t>HKCUMULA92</t>
  </si>
  <si>
    <t>Cùm ula 92</t>
  </si>
  <si>
    <t>ĐTO21</t>
  </si>
  <si>
    <t>Đai treo ống 21 (100c/túi)</t>
  </si>
  <si>
    <t>HKĐTO42</t>
  </si>
  <si>
    <t>Đai treo ống 42 (50c/túi)</t>
  </si>
  <si>
    <t>Đinh ghim</t>
  </si>
  <si>
    <t>VTCNĐG</t>
  </si>
  <si>
    <t>HKD50</t>
  </si>
  <si>
    <t>Đinh ghim phi 50</t>
  </si>
  <si>
    <t>HKD70</t>
  </si>
  <si>
    <t>Đinh ghim phi 70</t>
  </si>
  <si>
    <t>Gối đỡ</t>
  </si>
  <si>
    <t>VTCNGĐ</t>
  </si>
  <si>
    <t>HKPUFOAMDV273250</t>
  </si>
  <si>
    <t>Gối đỡ PU Foam đế vuông 27x32x50</t>
  </si>
  <si>
    <t>HKPUFOAMDV433250</t>
  </si>
  <si>
    <t>Gối đỡ PU Foam đế vuông 43x32x50</t>
  </si>
  <si>
    <t>HKPUFOAMDV483250</t>
  </si>
  <si>
    <t>Gối đỡ PU Foam đế vuông 48x32x50</t>
  </si>
  <si>
    <t>HKPUFOAMDVTS1144050</t>
  </si>
  <si>
    <t>Gối đỡ PU Foam đế vuông Taisei 114x40x50</t>
  </si>
  <si>
    <t>HKPUFOAMDVTS1405050</t>
  </si>
  <si>
    <t>Gối đỡ PU Foam đế vuông Taisei 140x50x50</t>
  </si>
  <si>
    <t>HKPUFOAMDVTS1685050</t>
  </si>
  <si>
    <t>Gối đỡ PU Foam đế vuông Taisei 168x50x50</t>
  </si>
  <si>
    <t>HKPUFOAMDVTS2195050</t>
  </si>
  <si>
    <t>Gối đỡ PU Foam đế vuông Taisei 219x50x50</t>
  </si>
  <si>
    <t>HKPUFOAMDVTS213050</t>
  </si>
  <si>
    <t>Gối đỡ PU Foam đế vuông Taisei 21x32x50</t>
  </si>
  <si>
    <t>HKPUFOAMDVTS2735050</t>
  </si>
  <si>
    <t>Gối đỡ PU Foam đế vuông Taisei 273x50x50</t>
  </si>
  <si>
    <t>HKPUFOAMDVTS3255050</t>
  </si>
  <si>
    <t>Gối đỡ PU Foam đế vuông Taisei 325x50x50</t>
  </si>
  <si>
    <t>HKPUFOAMDVTS433250</t>
  </si>
  <si>
    <t>Gối đỡ PU Foam đế vuông Taisei 43x32x50</t>
  </si>
  <si>
    <t>HKPUFOAMDVTS603250</t>
  </si>
  <si>
    <t>Gối đỡ PU Foam đế vuông Taisei 60x32x50</t>
  </si>
  <si>
    <t>GFOAMDETRON21X25ULA</t>
  </si>
  <si>
    <t>Gối Foam Đế tròn 21x25 + ula</t>
  </si>
  <si>
    <t>GFOAMDETRON28X25ULA</t>
  </si>
  <si>
    <t>Gối Foam Đế tròn 28x25 + ula</t>
  </si>
  <si>
    <t>GFOAMDETRON28x30ULA</t>
  </si>
  <si>
    <t>Gối Foam Đế tròn 28x30 + ula</t>
  </si>
  <si>
    <t>GFOAMDETRON34x25ULA</t>
  </si>
  <si>
    <t>Gối Foam Đế tròn 34x25 + ula</t>
  </si>
  <si>
    <t>GFOAMDETRON43x30ULA</t>
  </si>
  <si>
    <t>Gối Foam Đế tròn 43x30 + ula</t>
  </si>
  <si>
    <t>Keo</t>
  </si>
  <si>
    <t>VTCNKE</t>
  </si>
  <si>
    <t>HKKAPOLOA200</t>
  </si>
  <si>
    <t>Keo Apolo A200</t>
  </si>
  <si>
    <t>HKKAPOLOA300</t>
  </si>
  <si>
    <t>Keo Apolo A300</t>
  </si>
  <si>
    <t>HKKAPOLOA500</t>
  </si>
  <si>
    <t>Keo Apolo A500</t>
  </si>
  <si>
    <t>HKKAPOLOA600</t>
  </si>
  <si>
    <t>Keo Apolo A600</t>
  </si>
  <si>
    <t>HKKAPOLOA500DUC</t>
  </si>
  <si>
    <t>Keo Apolo A 500 đục</t>
  </si>
  <si>
    <t>HKKFOAM</t>
  </si>
  <si>
    <t>Keo APOLO Foam</t>
  </si>
  <si>
    <t>HKKBUJO15</t>
  </si>
  <si>
    <t>Keo Bujo 15kg</t>
  </si>
  <si>
    <t>HKKBUJO03</t>
  </si>
  <si>
    <t>Keo Bujo 3kg</t>
  </si>
  <si>
    <t>HKKAEROFLEX3.5</t>
  </si>
  <si>
    <t>Keo dán Aeroflex (3.5kg/hộp)</t>
  </si>
  <si>
    <t>HKKAEROFLEX0.7</t>
  </si>
  <si>
    <t>Keo Aeroflex 700g</t>
  </si>
  <si>
    <t>HKKDA820-1L</t>
  </si>
  <si>
    <t>Keo dán Armaflex 820 (1l/ 1 can)</t>
  </si>
  <si>
    <t>HKKDA520-3.78L</t>
  </si>
  <si>
    <t>Keo dán Armaflex 520 (3.78l/ 1 can)</t>
  </si>
  <si>
    <t>HKKDS</t>
  </si>
  <si>
    <t>Keo dán Superlon (3.36lít/hộp)</t>
  </si>
  <si>
    <t>HKKDOG6</t>
  </si>
  <si>
    <t>Keo Dog 0.6kg</t>
  </si>
  <si>
    <t>HKKDOG15</t>
  </si>
  <si>
    <t>Keo Dog 15kg</t>
  </si>
  <si>
    <t>HKKDOG3</t>
  </si>
  <si>
    <t>Keo Dog 3kg</t>
  </si>
  <si>
    <t>HKKSILICON112</t>
  </si>
  <si>
    <t>Keo Silicon 112</t>
  </si>
  <si>
    <t>HKKSILICONN300</t>
  </si>
  <si>
    <t>Keo Silicon A300</t>
  </si>
  <si>
    <t>HKKSG1</t>
  </si>
  <si>
    <t>Keo Superlon Glue 1l</t>
  </si>
  <si>
    <t>HKKTEKBOND</t>
  </si>
  <si>
    <t>Keo Tekbond 300ml</t>
  </si>
  <si>
    <t>HKKTY</t>
  </si>
  <si>
    <t>Keo Titebond</t>
  </si>
  <si>
    <t>VTCNKH</t>
  </si>
  <si>
    <t>HKCN</t>
  </si>
  <si>
    <t>Cuộn ống nước</t>
  </si>
  <si>
    <t>GBDVTT12276</t>
  </si>
  <si>
    <t>Giấy bạc dạng vải thủy tinh1.22*200( lõi 76cm )</t>
  </si>
  <si>
    <t>GBQT12220076</t>
  </si>
  <si>
    <t>Giấy bạc hình quả trám 1.22x200 (lõi 7.6cm)</t>
  </si>
  <si>
    <t>DẦU</t>
  </si>
  <si>
    <t>VTGDAU</t>
  </si>
  <si>
    <t>DAU3GSXS</t>
  </si>
  <si>
    <t>Dầu Suniso 3GS (xô sắt) 20l/xô</t>
  </si>
  <si>
    <t>Dầu Suniso 3GS(4l can nhựa)</t>
  </si>
  <si>
    <t>DAU4GSXS</t>
  </si>
  <si>
    <t>Dầu Suniso 4GS( xô sắt 20l/xô)</t>
  </si>
  <si>
    <t>DAU5GSCS</t>
  </si>
  <si>
    <t>Dầu Suniso 5GS (20l/xô sắt)</t>
  </si>
  <si>
    <t>DAU5GSXN4L</t>
  </si>
  <si>
    <t>Dầu Suniso 5GS (Can nhựa) 4l/Can</t>
  </si>
  <si>
    <t>HKDAU134</t>
  </si>
  <si>
    <t>Dầu SUNISO Nhật PB100 1 lít/hộp (R134a)</t>
  </si>
  <si>
    <t>DAUSUNISOSL68</t>
  </si>
  <si>
    <t>Dầu Suniso SL68 (4l/1can)</t>
  </si>
  <si>
    <t>DAUKA46XS</t>
  </si>
  <si>
    <t>Dầu Total KA46</t>
  </si>
  <si>
    <t>DAUXAERUS</t>
  </si>
  <si>
    <t>Dầu Xaerus Mỹ (534-68) (4l/can)</t>
  </si>
  <si>
    <t>VTGKHA</t>
  </si>
  <si>
    <t>DHNG-VMG-2-R134A-B</t>
  </si>
  <si>
    <t>Bộ đồng hồ nạp gas Value VMG, 2, R134A, B.3 dây nạp gas, ĐK đồng hồ nạp gas: phi 68mm</t>
  </si>
  <si>
    <t>DHNG-VMG-2-R22-B Value</t>
  </si>
  <si>
    <t>Bộ đồng hồ nạp gas Value VMG, 2, R22, B.2 đầu chuyển đổi, 3 dây nạp gas. ĐK đồng hồ nạp gas: phi 68mm</t>
  </si>
  <si>
    <t>DHNG-VMG-2-R410A-B</t>
  </si>
  <si>
    <t>Bộ đồng hồ nạp gas Value VMG, 2, R410A, B.3 dây nạp gas,Đường kính đồng hồ nạp gas: phi 68mm</t>
  </si>
  <si>
    <t>DNG-VALUE-0.9-R22</t>
  </si>
  <si>
    <t>Dây nạp gas Value R22 -0.9m</t>
  </si>
  <si>
    <t>DNG-VALUE-1.5-R22</t>
  </si>
  <si>
    <t>Dây nạp gas Value R22 -1.5m</t>
  </si>
  <si>
    <t>DNG-VALUE-0.9-R410A</t>
  </si>
  <si>
    <t>Dây nạp gas Value R410A -0.9m</t>
  </si>
  <si>
    <t>DHGASASC</t>
  </si>
  <si>
    <t>Đồng hồ AS dầu cao Comax</t>
  </si>
  <si>
    <t>DHGASAST</t>
  </si>
  <si>
    <t>Đồng hồ AS dầu thấp Comax</t>
  </si>
  <si>
    <t>DHG536GX</t>
  </si>
  <si>
    <t>Đồng hồ gas 536 xanh</t>
  </si>
  <si>
    <t>DHGCT536G</t>
  </si>
  <si>
    <t>Đồng hồ gas CT 536G kép</t>
  </si>
  <si>
    <t>DHGGT536G</t>
  </si>
  <si>
    <t>Đồng hồ gas GT 536G kép</t>
  </si>
  <si>
    <t>HKMHCK-VH115N-1.5CFMValue</t>
  </si>
  <si>
    <t>Máy hút chân không Value 1.5CFM,1/5HP-4 Kg</t>
  </si>
  <si>
    <t>HKMHCK-VE115N-2.0CFMValue</t>
  </si>
  <si>
    <t>Máy hút chân không Value 2CFM.230V/50-60HZ.57l/min.1/4HP.6.6kg</t>
  </si>
  <si>
    <t>HKMHCK-VE125N-3CFMValue</t>
  </si>
  <si>
    <t>Máy hút chân không Value 3.0CFM.230V/50-60HZ.84l/min.1/4HP-7,1kg</t>
  </si>
  <si>
    <t>HKMHCK-VE135N-4CFMValue</t>
  </si>
  <si>
    <t>Máy hút chân không Value 4.0CFM.113l/min.1/3HP-8.0kg</t>
  </si>
  <si>
    <t>HKMHCKVI140SV-4C-ĐH-Value</t>
  </si>
  <si>
    <t>Máy hút chân không Value 4.0CFM(loại có đồng hồ và valve).113l/min.1/3HP.8.6kg</t>
  </si>
  <si>
    <t>HKMHCK-VI160SV-6CFMValue</t>
  </si>
  <si>
    <t>Máy hút chân không Value 6C.Có Đồng hồ.170l/min.1/2HP.10.3 Kg</t>
  </si>
  <si>
    <t>HKMHCK-VI180SV-8CFMValue</t>
  </si>
  <si>
    <t>Máy hút chân không Value 8C.Có Đồng hồ.226l/min.3/4HP-15.4kg</t>
  </si>
  <si>
    <t>Dịch vụ</t>
  </si>
  <si>
    <t>DV</t>
  </si>
  <si>
    <t>VC</t>
  </si>
  <si>
    <t>Vận chuyển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</si>
</sst>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quot;/&quot;m&quot;/&quot;yyyy"/>
    <numFmt numFmtId="165" formatCode="_(* #,##0_);_(* \(#,##0\);_(* &quot;-&quot;??_);_(@_)"/>
    <numFmt numFmtId="166" formatCode="_(* #,##0.000_);_(* \(#,##0.000\);_(* &quot;-&quot;??_);_(@_)"/>
  </numFmts>
  <fonts count="115">
    <font>
      <sz val="10.0"/>
      <color rgb="FF000000"/>
      <name val="Arial"/>
      <scheme val="minor"/>
    </font>
    <font>
      <color theme="1"/>
      <name val="Arial"/>
      <scheme val="minor"/>
    </font>
    <font>
      <b/>
      <i/>
      <sz val="18.0"/>
      <color rgb="FFFF0000"/>
      <name val="Arial"/>
    </font>
    <font>
      <b/>
      <sz val="15.0"/>
      <color rgb="FFFF0000"/>
      <name val="&quot;Times New Roman&quot;"/>
    </font>
    <font>
      <b/>
      <sz val="9.0"/>
      <color theme="1"/>
      <name val="&quot;Times New Roman&quot;"/>
    </font>
    <font>
      <color theme="1"/>
      <name val="Arial"/>
    </font>
    <font>
      <b/>
      <sz val="18.0"/>
      <color rgb="FFEA4335"/>
      <name val="Arial"/>
    </font>
    <font/>
    <font>
      <sz val="12.0"/>
      <color theme="1"/>
      <name val="&quot;Times New Roman&quot;"/>
    </font>
    <font>
      <sz val="9.0"/>
      <color theme="1"/>
      <name val="&quot;Times New Roman&quot;"/>
    </font>
    <font>
      <b/>
      <color rgb="FFEA4335"/>
      <name val="Arial"/>
    </font>
    <font>
      <b/>
      <i/>
      <color rgb="FFFF0000"/>
      <name val="Arial"/>
    </font>
    <font>
      <b/>
      <sz val="11.0"/>
      <color rgb="FFFF0000"/>
      <name val="&quot;Times New Roman&quot;"/>
    </font>
    <font>
      <sz val="11.0"/>
      <color theme="1"/>
      <name val="&quot;Times New Roman&quot;"/>
    </font>
    <font>
      <b/>
      <sz val="10.0"/>
      <color rgb="FFFF0000"/>
      <name val="Merriweather"/>
    </font>
    <font>
      <sz val="10.0"/>
      <color theme="1"/>
      <name val="Merriweather"/>
    </font>
    <font>
      <b/>
      <i/>
      <sz val="10.0"/>
      <color rgb="FFFF0000"/>
      <name val="Merriweather"/>
    </font>
    <font>
      <b/>
      <sz val="18.0"/>
      <color rgb="FFFF0000"/>
      <name val="Merriweather"/>
    </font>
    <font>
      <b/>
      <i/>
      <sz val="10.0"/>
      <color theme="1"/>
      <name val="Merriweather"/>
    </font>
    <font>
      <sz val="10.0"/>
      <color rgb="FF0000FF"/>
      <name val="Merriweather"/>
    </font>
    <font>
      <sz val="10.0"/>
      <color rgb="FF000000"/>
      <name val="Merriweather"/>
    </font>
    <font>
      <sz val="10.0"/>
      <color rgb="FFB7B7B7"/>
      <name val="Merriweather"/>
    </font>
    <font>
      <sz val="10.0"/>
      <color rgb="FFFF0000"/>
      <name val="Merriweather"/>
    </font>
    <font>
      <b/>
      <sz val="11.0"/>
      <color rgb="FFFFFFFF"/>
      <name val="Times New Roman"/>
    </font>
    <font>
      <b/>
      <sz val="10.0"/>
      <color theme="1"/>
      <name val="Merriweather"/>
    </font>
    <font>
      <b/>
      <i/>
      <u/>
      <sz val="10.0"/>
      <color rgb="FF000000"/>
      <name val="Merriweather"/>
    </font>
    <font>
      <b/>
      <sz val="10.0"/>
      <color rgb="FF000000"/>
      <name val="Merriweather"/>
    </font>
    <font>
      <b/>
      <i/>
      <sz val="10.0"/>
      <color rgb="FF0000FF"/>
      <name val="Merriweather"/>
    </font>
    <font>
      <b/>
      <sz val="10.0"/>
      <color rgb="FF0000FF"/>
      <name val="Merriweather"/>
    </font>
    <font>
      <b/>
      <sz val="10.0"/>
      <color rgb="FFFFFFFF"/>
      <name val="Merriweather"/>
    </font>
    <font>
      <color theme="1"/>
      <name val="Merriweather"/>
    </font>
    <font>
      <b/>
      <color theme="1"/>
      <name val="Merriweather"/>
    </font>
    <font>
      <color rgb="FFFFF2CC"/>
      <name val="Merriweather"/>
    </font>
    <font>
      <sz val="7.0"/>
      <color theme="1"/>
      <name val="Merriweather"/>
    </font>
    <font>
      <b/>
      <sz val="18.0"/>
      <color rgb="FF0000FF"/>
      <name val="Merriweather"/>
    </font>
    <font>
      <sz val="10.0"/>
      <color rgb="FF999999"/>
      <name val="Merriweather"/>
    </font>
    <font>
      <sz val="10.0"/>
      <color rgb="FFFFF2CC"/>
      <name val="Merriweather"/>
    </font>
    <font>
      <sz val="7.0"/>
      <color rgb="FFFF0000"/>
      <name val="Merriweather"/>
    </font>
    <font>
      <b/>
      <i/>
      <sz val="12.0"/>
      <color rgb="FFFF0000"/>
      <name val="Merriweather"/>
    </font>
    <font>
      <b/>
      <sz val="12.0"/>
      <color rgb="FFFF0000"/>
      <name val="Merriweather"/>
    </font>
    <font>
      <sz val="12.0"/>
      <color rgb="FFFF0000"/>
      <name val="Merriweather"/>
    </font>
    <font>
      <b/>
      <sz val="12.0"/>
      <color rgb="FFFFF2CC"/>
      <name val="Merriweather"/>
    </font>
    <font>
      <b/>
      <sz val="7.0"/>
      <color rgb="FFFF0000"/>
      <name val="Merriweather"/>
    </font>
    <font>
      <i/>
      <sz val="12.0"/>
      <color rgb="FFFF0000"/>
      <name val="Merriweather"/>
    </font>
    <font>
      <b/>
      <i/>
      <sz val="12.0"/>
      <color rgb="FFFFF2CC"/>
      <name val="Merriweather"/>
    </font>
    <font>
      <b/>
      <i/>
      <sz val="7.0"/>
      <color rgb="FFFF0000"/>
      <name val="Merriweather"/>
    </font>
    <font>
      <b/>
      <i/>
      <sz val="12.0"/>
      <color theme="1"/>
      <name val="Merriweather"/>
    </font>
    <font>
      <sz val="12.0"/>
      <color theme="1"/>
      <name val="Merriweather"/>
    </font>
    <font>
      <b/>
      <sz val="12.0"/>
      <color theme="1"/>
      <name val="Merriweather"/>
    </font>
    <font>
      <sz val="12.0"/>
      <color rgb="FFFFF2CC"/>
      <name val="Merriweather"/>
    </font>
    <font>
      <b/>
      <i/>
      <sz val="12.0"/>
      <color rgb="FF000000"/>
      <name val="Merriweather"/>
    </font>
    <font>
      <sz val="12.0"/>
      <color rgb="FF333333"/>
      <name val="Merriweather"/>
    </font>
    <font>
      <b/>
      <sz val="12.0"/>
      <color rgb="FF333333"/>
      <name val="Merriweather"/>
    </font>
    <font>
      <b/>
      <i/>
      <sz val="8.0"/>
      <color rgb="FF333399"/>
      <name val="Merriweather"/>
    </font>
    <font>
      <b/>
      <i/>
      <u/>
      <sz val="12.0"/>
      <color rgb="FF333333"/>
      <name val="Merriweather"/>
    </font>
    <font>
      <b/>
      <sz val="24.0"/>
      <color theme="1"/>
      <name val="Merriweather"/>
    </font>
    <font>
      <b/>
      <sz val="24.0"/>
      <color rgb="FFFFF2CC"/>
      <name val="Merriweather"/>
    </font>
    <font>
      <b/>
      <sz val="7.0"/>
      <color theme="1"/>
      <name val="Merriweather"/>
    </font>
    <font>
      <i/>
      <sz val="12.0"/>
      <color rgb="FF333333"/>
      <name val="Merriweather"/>
    </font>
    <font>
      <b/>
      <i/>
      <sz val="12.0"/>
      <color rgb="FF333333"/>
      <name val="Merriweather"/>
    </font>
    <font>
      <color rgb="FF000000"/>
      <name val="Merriweather"/>
    </font>
    <font>
      <sz val="10.0"/>
      <color rgb="FF333333"/>
      <name val="Merriweather"/>
    </font>
    <font>
      <b/>
      <sz val="10.0"/>
      <color theme="4"/>
      <name val="Merriweather"/>
    </font>
    <font>
      <sz val="10.0"/>
      <color rgb="FF003366"/>
      <name val="Merriweather"/>
    </font>
    <font>
      <b/>
      <sz val="10.0"/>
      <color rgb="FF4285F4"/>
      <name val="Merriweather"/>
    </font>
    <font>
      <b/>
      <i/>
      <sz val="9.0"/>
      <color rgb="FF333399"/>
      <name val="Merriweather"/>
    </font>
    <font>
      <sz val="9.0"/>
      <color theme="1"/>
      <name val="Merriweather"/>
    </font>
    <font>
      <b/>
      <sz val="9.0"/>
      <color rgb="FFFF0000"/>
      <name val="Merriweather"/>
    </font>
    <font>
      <b/>
      <sz val="14.0"/>
      <color rgb="FF0000FF"/>
      <name val="Merriweather"/>
    </font>
    <font>
      <sz val="14.0"/>
      <color rgb="FFFF0000"/>
      <name val="Merriweather"/>
    </font>
    <font>
      <b/>
      <i/>
      <sz val="9.0"/>
      <color rgb="FFFF0000"/>
      <name val="Merriweather"/>
    </font>
    <font>
      <b/>
      <i/>
      <sz val="9.0"/>
      <color theme="1"/>
      <name val="Merriweather"/>
    </font>
    <font>
      <b/>
      <sz val="9.0"/>
      <color rgb="FFFFFFFF"/>
      <name val="Merriweather"/>
    </font>
    <font>
      <sz val="9.0"/>
      <color rgb="FF333333"/>
      <name val="Merriweather"/>
    </font>
    <font>
      <sz val="9.0"/>
      <color rgb="FF000000"/>
      <name val="Merriweather"/>
    </font>
    <font>
      <b/>
      <sz val="12.0"/>
      <color rgb="FF3366FF"/>
      <name val="Merriweather"/>
    </font>
    <font>
      <b/>
      <sz val="9.0"/>
      <color theme="1"/>
      <name val="Merriweather"/>
    </font>
    <font>
      <b/>
      <sz val="12.0"/>
      <color rgb="FF4285F4"/>
      <name val="Merriweather"/>
    </font>
    <font>
      <sz val="9.0"/>
      <color rgb="FFCCCCCC"/>
      <name val="Merriweather"/>
    </font>
    <font>
      <sz val="9.0"/>
      <color rgb="FF003366"/>
      <name val="Merriweather"/>
    </font>
    <font>
      <sz val="9.0"/>
      <color rgb="FFB7B7B7"/>
      <name val="Merriweather"/>
    </font>
    <font>
      <b/>
      <sz val="10.0"/>
      <color rgb="FF3366FF"/>
      <name val="Merriweather"/>
    </font>
    <font>
      <b/>
      <sz val="9.0"/>
      <color rgb="FF3366FF"/>
      <name val="Merriweather"/>
    </font>
    <font>
      <sz val="10.0"/>
      <color rgb="FF002060"/>
      <name val="Merriweather"/>
    </font>
    <font>
      <b/>
      <sz val="18.0"/>
      <color rgb="FFFF0000"/>
      <name val="Times New Roman"/>
    </font>
    <font>
      <sz val="9.0"/>
      <color rgb="FF000000"/>
      <name val="Times New Roman"/>
    </font>
    <font>
      <b/>
      <sz val="9.0"/>
      <color rgb="FFFF0000"/>
      <name val="Times New Roman"/>
    </font>
    <font>
      <b/>
      <sz val="9.0"/>
      <color rgb="FFFFFFFF"/>
      <name val="Times New Roman"/>
    </font>
    <font>
      <sz val="9.0"/>
      <color rgb="FF333333"/>
      <name val="Times New Roman"/>
    </font>
    <font>
      <b/>
      <sz val="12.0"/>
      <color rgb="FFFF0000"/>
      <name val="Times New Roman"/>
    </font>
    <font>
      <b/>
      <sz val="11.0"/>
      <color rgb="FFFF0000"/>
      <name val="Times New Roman"/>
    </font>
    <font>
      <sz val="12.0"/>
      <color rgb="FF003366"/>
      <name val="Times New Roman"/>
    </font>
    <font>
      <sz val="10.0"/>
      <color rgb="FFB7B7B7"/>
      <name val="Times New Roman"/>
    </font>
    <font>
      <b/>
      <sz val="12.0"/>
      <color rgb="FF4285F4"/>
      <name val="Times New Roman"/>
    </font>
    <font>
      <sz val="11.0"/>
      <color rgb="FF000000"/>
      <name val="Times New Roman"/>
    </font>
    <font>
      <b/>
      <i/>
      <sz val="14.0"/>
      <color rgb="FF000000"/>
      <name val="Times New Roman"/>
    </font>
    <font>
      <b/>
      <sz val="14.0"/>
      <color rgb="FFFF0000"/>
      <name val="Times New Roman"/>
    </font>
    <font>
      <sz val="14.0"/>
      <color rgb="FF000000"/>
      <name val="Times New Roman"/>
    </font>
    <font>
      <color rgb="FF000000"/>
      <name val="Times New Roman"/>
    </font>
    <font>
      <b/>
      <i/>
      <sz val="11.0"/>
      <color rgb="FF000000"/>
      <name val="Times New Roman"/>
    </font>
    <font>
      <sz val="11.0"/>
      <color theme="1"/>
      <name val="Times New Roman"/>
    </font>
    <font>
      <b/>
      <sz val="18.0"/>
      <color rgb="FF0000FF"/>
      <name val="Times New Roman"/>
    </font>
    <font>
      <b/>
      <i/>
      <sz val="11.0"/>
      <color rgb="FFFF0000"/>
      <name val="Times New Roman"/>
    </font>
    <font>
      <b/>
      <i/>
      <sz val="11.0"/>
      <color rgb="FF0000FF"/>
      <name val="Times New Roman"/>
    </font>
    <font>
      <b/>
      <i/>
      <sz val="10.0"/>
      <color rgb="FFFF0000"/>
      <name val="Times New Roman"/>
    </font>
    <font>
      <b/>
      <i/>
      <sz val="10.0"/>
      <color theme="1"/>
      <name val="Times New Roman"/>
    </font>
    <font>
      <b/>
      <i/>
      <sz val="11.0"/>
      <color theme="1"/>
      <name val="Times New Roman"/>
    </font>
    <font>
      <sz val="11.0"/>
      <color rgb="FFCCCCCC"/>
      <name val="Times New Roman"/>
    </font>
    <font>
      <b/>
      <sz val="11.0"/>
      <color rgb="FF0000FF"/>
      <name val="Times New Roman"/>
    </font>
    <font>
      <sz val="11.0"/>
      <color rgb="FFFF0000"/>
      <name val="Times New Roman"/>
    </font>
    <font>
      <b/>
      <sz val="14.0"/>
      <color rgb="FF000000"/>
      <name val="Merriweather"/>
    </font>
    <font>
      <sz val="11.0"/>
      <color rgb="FF000000"/>
      <name val="Merriweather"/>
    </font>
    <font>
      <b/>
      <sz val="11.0"/>
      <color rgb="FF000000"/>
      <name val="Merriweather"/>
    </font>
    <font>
      <sz val="11.0"/>
      <color theme="1"/>
      <name val="Merriweather"/>
    </font>
    <font>
      <b/>
      <sz val="12.0"/>
      <color rgb="FF000000"/>
      <name val="Merriweather"/>
    </font>
  </fonts>
  <fills count="39">
    <fill>
      <patternFill patternType="none"/>
    </fill>
    <fill>
      <patternFill patternType="lightGray"/>
    </fill>
    <fill>
      <patternFill patternType="solid">
        <fgColor rgb="FFD9E2F3"/>
        <bgColor rgb="FFD9E2F3"/>
      </patternFill>
    </fill>
    <fill>
      <patternFill patternType="solid">
        <fgColor rgb="FFFFFF00"/>
        <bgColor rgb="FFFFFF00"/>
      </patternFill>
    </fill>
    <fill>
      <patternFill patternType="solid">
        <fgColor rgb="FFFEF2CB"/>
        <bgColor rgb="FFFEF2CB"/>
      </patternFill>
    </fill>
    <fill>
      <patternFill patternType="solid">
        <fgColor rgb="FFEAD1DC"/>
        <bgColor rgb="FFEAD1DC"/>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B6D7A8"/>
        <bgColor rgb="FFB6D7A8"/>
      </patternFill>
    </fill>
    <fill>
      <patternFill patternType="solid">
        <fgColor rgb="FF9FC5E8"/>
        <bgColor rgb="FF9FC5E8"/>
      </patternFill>
    </fill>
    <fill>
      <patternFill patternType="solid">
        <fgColor rgb="FFB7B7B7"/>
        <bgColor rgb="FFB7B7B7"/>
      </patternFill>
    </fill>
    <fill>
      <patternFill patternType="solid">
        <fgColor rgb="FFD9D9D9"/>
        <bgColor rgb="FFD9D9D9"/>
      </patternFill>
    </fill>
    <fill>
      <patternFill patternType="solid">
        <fgColor rgb="FFFF0000"/>
        <bgColor rgb="FFFF0000"/>
      </patternFill>
    </fill>
    <fill>
      <patternFill patternType="solid">
        <fgColor rgb="FFFFF2CC"/>
        <bgColor rgb="FFFFF2CC"/>
      </patternFill>
    </fill>
    <fill>
      <patternFill patternType="solid">
        <fgColor rgb="FFCFE2F3"/>
        <bgColor rgb="FFCFE2F3"/>
      </patternFill>
    </fill>
    <fill>
      <patternFill patternType="solid">
        <fgColor rgb="FF0000FF"/>
        <bgColor rgb="FF0000FF"/>
      </patternFill>
    </fill>
    <fill>
      <patternFill patternType="solid">
        <fgColor rgb="FFFCE5CD"/>
        <bgColor rgb="FFFCE5CD"/>
      </patternFill>
    </fill>
    <fill>
      <patternFill patternType="solid">
        <fgColor rgb="FFFBE4D5"/>
        <bgColor rgb="FFFBE4D5"/>
      </patternFill>
    </fill>
    <fill>
      <patternFill patternType="solid">
        <fgColor rgb="FFCCFFFF"/>
        <bgColor rgb="FFCCFFFF"/>
      </patternFill>
    </fill>
    <fill>
      <patternFill patternType="solid">
        <fgColor rgb="FF00FFFF"/>
        <bgColor rgb="FF00FFFF"/>
      </patternFill>
    </fill>
    <fill>
      <patternFill patternType="solid">
        <fgColor rgb="FF99CCFF"/>
        <bgColor rgb="FF99CCFF"/>
      </patternFill>
    </fill>
    <fill>
      <patternFill patternType="solid">
        <fgColor rgb="FF6FA8DC"/>
        <bgColor rgb="FF6FA8DC"/>
      </patternFill>
    </fill>
    <fill>
      <patternFill patternType="solid">
        <fgColor rgb="FFF9CB9C"/>
        <bgColor rgb="FFF9CB9C"/>
      </patternFill>
    </fill>
    <fill>
      <patternFill patternType="solid">
        <fgColor rgb="FFEFEFEF"/>
        <bgColor rgb="FFEFEFEF"/>
      </patternFill>
    </fill>
    <fill>
      <patternFill patternType="solid">
        <fgColor rgb="FFEA4335"/>
        <bgColor rgb="FFEA4335"/>
      </patternFill>
    </fill>
    <fill>
      <patternFill patternType="solid">
        <fgColor rgb="FFFAD9D6"/>
        <bgColor rgb="FFFAD9D6"/>
      </patternFill>
    </fill>
    <fill>
      <patternFill patternType="solid">
        <fgColor rgb="FFC6EFCE"/>
        <bgColor rgb="FFC6EFCE"/>
      </patternFill>
    </fill>
    <fill>
      <patternFill patternType="solid">
        <fgColor rgb="FFA4C2F4"/>
        <bgColor rgb="FFA4C2F4"/>
      </patternFill>
    </fill>
    <fill>
      <patternFill patternType="solid">
        <fgColor rgb="FFFFFF99"/>
        <bgColor rgb="FFFFFF99"/>
      </patternFill>
    </fill>
    <fill>
      <patternFill patternType="solid">
        <fgColor rgb="FFFFCCFF"/>
        <bgColor rgb="FFFFCCFF"/>
      </patternFill>
    </fill>
    <fill>
      <patternFill patternType="solid">
        <fgColor rgb="FFCCFFCC"/>
        <bgColor rgb="FFCCFFCC"/>
      </patternFill>
    </fill>
    <fill>
      <patternFill patternType="solid">
        <fgColor rgb="FFFFCC99"/>
        <bgColor rgb="FFFFCC99"/>
      </patternFill>
    </fill>
    <fill>
      <patternFill patternType="solid">
        <fgColor rgb="FFA9D08E"/>
        <bgColor rgb="FFA9D08E"/>
      </patternFill>
    </fill>
    <fill>
      <patternFill patternType="solid">
        <fgColor rgb="FFF6B3AE"/>
        <bgColor rgb="FFF6B3AE"/>
      </patternFill>
    </fill>
    <fill>
      <patternFill patternType="solid">
        <fgColor rgb="FFD8D8D8"/>
        <bgColor rgb="FFD8D8D8"/>
      </patternFill>
    </fill>
  </fills>
  <borders count="269">
    <border/>
    <border>
      <left style="dotted">
        <color rgb="FF000000"/>
      </left>
      <right style="dotted">
        <color rgb="FF000000"/>
      </right>
      <top style="dotted">
        <color rgb="FF000000"/>
      </top>
      <bottom style="dotted">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tted">
        <color rgb="FF000000"/>
      </left>
      <right style="dotted">
        <color rgb="FF000000"/>
      </right>
      <top style="dotted">
        <color rgb="FF000000"/>
      </top>
    </border>
    <border>
      <left style="thin">
        <color rgb="FF000000"/>
      </left>
      <right style="thin">
        <color rgb="FF000000"/>
      </right>
      <top style="thin">
        <color rgb="FF000000"/>
      </top>
      <bottom style="thin">
        <color rgb="FF000000"/>
      </bottom>
    </border>
    <border>
      <left style="dotted">
        <color rgb="FF000000"/>
      </left>
      <right style="dotted">
        <color rgb="FF000000"/>
      </right>
      <bottom style="dotted">
        <color rgb="FF000000"/>
      </bottom>
    </border>
    <border>
      <left style="dotted">
        <color rgb="FF000000"/>
      </left>
      <right style="dotted">
        <color rgb="FF000000"/>
      </right>
    </border>
    <border>
      <left style="double">
        <color rgb="FFFF9900"/>
      </left>
      <top style="double">
        <color rgb="FFFF9900"/>
      </top>
      <bottom style="hair">
        <color rgb="FFFF9900"/>
      </bottom>
    </border>
    <border>
      <top style="double">
        <color rgb="FFFF9900"/>
      </top>
      <bottom style="hair">
        <color rgb="FFFF9900"/>
      </bottom>
    </border>
    <border>
      <right style="hair">
        <color rgb="FFFF9900"/>
      </right>
      <top style="double">
        <color rgb="FFFF9900"/>
      </top>
      <bottom style="hair">
        <color rgb="FFFF9900"/>
      </bottom>
    </border>
    <border>
      <left style="hair">
        <color rgb="FFFF9900"/>
      </left>
      <right style="double">
        <color rgb="FFFF9900"/>
      </right>
      <top style="double">
        <color rgb="FFFF9900"/>
      </top>
      <bottom style="hair">
        <color rgb="FFFF9900"/>
      </bottom>
    </border>
    <border>
      <left style="double">
        <color rgb="FFFF9900"/>
      </left>
      <right style="double">
        <color rgb="FFFF9900"/>
      </right>
      <top style="double">
        <color rgb="FFFF9900"/>
      </top>
      <bottom style="hair">
        <color rgb="FFFF9900"/>
      </bottom>
    </border>
    <border>
      <right style="double">
        <color rgb="FFFF9900"/>
      </right>
      <top style="double">
        <color rgb="FFFF9900"/>
      </top>
      <bottom style="hair">
        <color rgb="FFFF9900"/>
      </bottom>
    </border>
    <border>
      <left style="double">
        <color rgb="FFFF9900"/>
      </left>
      <top style="hair">
        <color rgb="FFFF9900"/>
      </top>
      <bottom style="thin">
        <color rgb="FFFF9900"/>
      </bottom>
    </border>
    <border>
      <top style="hair">
        <color rgb="FFFF9900"/>
      </top>
      <bottom style="thin">
        <color rgb="FFFF9900"/>
      </bottom>
    </border>
    <border>
      <right style="double">
        <color rgb="FFFF9900"/>
      </right>
      <top style="hair">
        <color rgb="FFFF9900"/>
      </top>
      <bottom style="thin">
        <color rgb="FFFF9900"/>
      </bottom>
    </border>
    <border>
      <left style="double">
        <color rgb="FFFF9900"/>
      </left>
      <right style="hair">
        <color rgb="FFFF9900"/>
      </right>
      <top style="hair">
        <color rgb="FFFF9900"/>
      </top>
      <bottom style="thin">
        <color rgb="FFFF9900"/>
      </bottom>
    </border>
    <border>
      <left style="hair">
        <color rgb="FFFF9900"/>
      </left>
      <right style="hair">
        <color rgb="FFFF9900"/>
      </right>
      <top style="hair">
        <color rgb="FFFF9900"/>
      </top>
      <bottom style="thin">
        <color rgb="FFFF9900"/>
      </bottom>
    </border>
    <border>
      <left style="hair">
        <color rgb="FFFF9900"/>
      </left>
      <top style="hair">
        <color rgb="FFFF9900"/>
      </top>
      <bottom style="thin">
        <color rgb="FFFF9900"/>
      </bottom>
    </border>
    <border>
      <left style="double">
        <color rgb="FFFF9900"/>
      </left>
      <right style="double">
        <color rgb="FFFF9900"/>
      </right>
      <top style="hair">
        <color rgb="FFFF9900"/>
      </top>
      <bottom style="thin">
        <color rgb="FFFF9900"/>
      </bottom>
    </border>
    <border>
      <left style="hair">
        <color rgb="FFFF9900"/>
      </left>
      <right style="double">
        <color rgb="FFFF9900"/>
      </right>
      <top style="hair">
        <color rgb="FFFF9900"/>
      </top>
      <bottom style="thin">
        <color rgb="FFFF9900"/>
      </bottom>
    </border>
    <border>
      <left style="double">
        <color rgb="FFFF9900"/>
      </left>
      <right style="hair">
        <color rgb="FFFF9900"/>
      </right>
      <top style="thin">
        <color rgb="FFFF9900"/>
      </top>
      <bottom style="hair">
        <color rgb="FFFF9900"/>
      </bottom>
    </border>
    <border>
      <left style="hair">
        <color rgb="FFFF9900"/>
      </left>
      <right style="hair">
        <color rgb="FFFF9900"/>
      </right>
      <top style="thin">
        <color rgb="FFFF9900"/>
      </top>
      <bottom style="hair">
        <color rgb="FFFF9900"/>
      </bottom>
    </border>
    <border>
      <left style="hair">
        <color rgb="FFFF9900"/>
      </left>
      <right style="double">
        <color rgb="FFFF9900"/>
      </right>
      <top style="thin">
        <color rgb="FFFF9900"/>
      </top>
      <bottom style="hair">
        <color rgb="FFFF9900"/>
      </bottom>
    </border>
    <border>
      <left style="hair">
        <color rgb="FFFF9900"/>
      </left>
      <top style="thin">
        <color rgb="FFFF9900"/>
      </top>
      <bottom style="hair">
        <color rgb="FFFF9900"/>
      </bottom>
    </border>
    <border>
      <top style="thin">
        <color rgb="FFFF9900"/>
      </top>
      <bottom style="hair">
        <color rgb="FFFF9900"/>
      </bottom>
    </border>
    <border>
      <left style="double">
        <color rgb="FFFF9900"/>
      </left>
      <right style="double">
        <color rgb="FFFF9900"/>
      </right>
      <top style="thin">
        <color rgb="FFFF9900"/>
      </top>
      <bottom style="hair">
        <color rgb="FFFF9900"/>
      </bottom>
    </border>
    <border>
      <left style="double">
        <color rgb="FFFF9900"/>
      </left>
      <right style="hair">
        <color rgb="FFFF9900"/>
      </right>
      <top style="hair">
        <color rgb="FFFF9900"/>
      </top>
      <bottom style="hair">
        <color rgb="FFFF9900"/>
      </bottom>
    </border>
    <border>
      <left style="hair">
        <color rgb="FFFF9900"/>
      </left>
      <right style="hair">
        <color rgb="FFFF9900"/>
      </right>
      <top style="hair">
        <color rgb="FFFF9900"/>
      </top>
      <bottom style="hair">
        <color rgb="FFFF9900"/>
      </bottom>
    </border>
    <border>
      <left style="hair">
        <color rgb="FFFF9900"/>
      </left>
      <right style="double">
        <color rgb="FFFF9900"/>
      </right>
      <top style="hair">
        <color rgb="FFFF9900"/>
      </top>
      <bottom style="hair">
        <color rgb="FFFF9900"/>
      </bottom>
    </border>
    <border>
      <left style="hair">
        <color rgb="FFFF9900"/>
      </left>
      <top style="hair">
        <color rgb="FFFF9900"/>
      </top>
      <bottom style="hair">
        <color rgb="FFFF9900"/>
      </bottom>
    </border>
    <border>
      <top style="hair">
        <color rgb="FFFF9900"/>
      </top>
      <bottom style="hair">
        <color rgb="FFFF9900"/>
      </bottom>
    </border>
    <border>
      <left style="double">
        <color rgb="FFFF9900"/>
      </left>
      <right style="double">
        <color rgb="FFFF9900"/>
      </right>
      <top style="hair">
        <color rgb="FFFF9900"/>
      </top>
      <bottom style="hair">
        <color rgb="FFFF9900"/>
      </bottom>
    </border>
    <border>
      <left style="double">
        <color rgb="FFFF9900"/>
      </left>
      <top style="thin">
        <color rgb="FFFF9900"/>
      </top>
      <bottom style="thin">
        <color rgb="FFFF9900"/>
      </bottom>
    </border>
    <border>
      <top style="thin">
        <color rgb="FFFF9900"/>
      </top>
      <bottom style="thin">
        <color rgb="FFFF9900"/>
      </bottom>
    </border>
    <border>
      <right style="double">
        <color rgb="FFFF9900"/>
      </right>
      <top style="thin">
        <color rgb="FFFF9900"/>
      </top>
      <bottom style="thin">
        <color rgb="FFFF9900"/>
      </bottom>
    </border>
    <border>
      <left style="double">
        <color rgb="FFFF9900"/>
      </left>
      <right style="hair">
        <color rgb="FFFF9900"/>
      </right>
      <top style="thin">
        <color rgb="FFFF9900"/>
      </top>
      <bottom style="thin">
        <color rgb="FFFF9900"/>
      </bottom>
    </border>
    <border>
      <left style="hair">
        <color rgb="FFFF9900"/>
      </left>
      <right style="hair">
        <color rgb="FFFF9900"/>
      </right>
      <top style="thin">
        <color rgb="FFFF9900"/>
      </top>
      <bottom style="thin">
        <color rgb="FFFF9900"/>
      </bottom>
    </border>
    <border>
      <left style="hair">
        <color rgb="FFFF9900"/>
      </left>
      <top style="thin">
        <color rgb="FFFF9900"/>
      </top>
      <bottom style="thin">
        <color rgb="FFFF9900"/>
      </bottom>
    </border>
    <border>
      <left style="double">
        <color rgb="FFFF9900"/>
      </left>
      <right style="double">
        <color rgb="FFFF9900"/>
      </right>
      <top style="thin">
        <color rgb="FFFF9900"/>
      </top>
      <bottom style="thin">
        <color rgb="FFFF9900"/>
      </bottom>
    </border>
    <border>
      <left style="hair">
        <color rgb="FFFF9900"/>
      </left>
      <right style="double">
        <color rgb="FFFF9900"/>
      </right>
      <top style="thin">
        <color rgb="FFFF9900"/>
      </top>
      <bottom style="thin">
        <color rgb="FFFF9900"/>
      </bottom>
    </border>
    <border>
      <left style="double">
        <color rgb="FFFF9900"/>
      </left>
      <right style="hair">
        <color rgb="FFFF9900"/>
      </right>
      <top style="hair">
        <color rgb="FFFF9900"/>
      </top>
      <bottom style="double">
        <color rgb="FFFF9900"/>
      </bottom>
    </border>
    <border>
      <left style="hair">
        <color rgb="FFFF9900"/>
      </left>
      <right style="hair">
        <color rgb="FFFF9900"/>
      </right>
      <top style="hair">
        <color rgb="FFFF9900"/>
      </top>
      <bottom style="double">
        <color rgb="FFFF9900"/>
      </bottom>
    </border>
    <border>
      <left style="hair">
        <color rgb="FFFF9900"/>
      </left>
      <right style="double">
        <color rgb="FFFF9900"/>
      </right>
      <top style="hair">
        <color rgb="FFFF9900"/>
      </top>
      <bottom style="double">
        <color rgb="FFFF9900"/>
      </bottom>
    </border>
    <border>
      <left style="hair">
        <color rgb="FFFF9900"/>
      </left>
      <top style="hair">
        <color rgb="FFFF9900"/>
      </top>
      <bottom style="double">
        <color rgb="FFFF9900"/>
      </bottom>
    </border>
    <border>
      <top style="hair">
        <color rgb="FFFF9900"/>
      </top>
      <bottom style="double">
        <color rgb="FFFF9900"/>
      </bottom>
    </border>
    <border>
      <left style="double">
        <color rgb="FFFF9900"/>
      </left>
      <right style="double">
        <color rgb="FFFF9900"/>
      </right>
      <top style="hair">
        <color rgb="FFFF9900"/>
      </top>
      <bottom style="double">
        <color rgb="FFFF9900"/>
      </bottom>
    </border>
    <border>
      <left style="double">
        <color rgb="FFFF9900"/>
      </left>
      <right style="hair">
        <color rgb="FFFF9900"/>
      </right>
      <top style="double">
        <color rgb="FFFF9900"/>
      </top>
      <bottom style="hair">
        <color rgb="FFFF9900"/>
      </bottom>
    </border>
    <border>
      <left style="hair">
        <color rgb="FFFF9900"/>
      </left>
      <top style="double">
        <color rgb="FFFF9900"/>
      </top>
      <bottom style="hair">
        <color rgb="FFFF9900"/>
      </bottom>
    </border>
    <border>
      <left style="hair">
        <color rgb="FFFF9900"/>
      </left>
      <right style="hair">
        <color rgb="FFFF9900"/>
      </right>
      <top style="double">
        <color rgb="FFFF9900"/>
      </top>
      <bottom style="hair">
        <color rgb="FFFF9900"/>
      </bottom>
    </border>
    <border>
      <left style="double">
        <color rgb="FFFF9900"/>
      </left>
      <top style="hair">
        <color rgb="FFFF9900"/>
      </top>
    </border>
    <border>
      <top style="hair">
        <color rgb="FFFF9900"/>
      </top>
    </border>
    <border>
      <right style="hair">
        <color rgb="FFFF9900"/>
      </right>
      <top style="hair">
        <color rgb="FFFF9900"/>
      </top>
    </border>
    <border>
      <left style="double">
        <color rgb="FFFF9900"/>
      </left>
      <bottom style="hair">
        <color rgb="FFFF9900"/>
      </bottom>
    </border>
    <border>
      <bottom style="hair">
        <color rgb="FFFF9900"/>
      </bottom>
    </border>
    <border>
      <right style="hair">
        <color rgb="FFFF9900"/>
      </right>
      <bottom style="hair">
        <color rgb="FFFF9900"/>
      </bottom>
    </border>
    <border>
      <right style="hair">
        <color rgb="FFFF9900"/>
      </right>
      <top style="hair">
        <color rgb="FFFF9900"/>
      </top>
      <bottom style="hair">
        <color rgb="FFFF9900"/>
      </bottom>
    </border>
    <border>
      <left style="double">
        <color rgb="FFFF9900"/>
      </left>
      <top style="hair">
        <color rgb="FFFF9900"/>
      </top>
      <bottom style="hair">
        <color rgb="FFFF9900"/>
      </bottom>
    </border>
    <border>
      <left style="thin">
        <color rgb="FFFF9900"/>
      </left>
      <right style="thin">
        <color rgb="FFFF9900"/>
      </right>
      <top style="thin">
        <color rgb="FFFF9900"/>
      </top>
      <bottom style="thin">
        <color rgb="FFFF9900"/>
      </bottom>
    </border>
    <border>
      <left style="double">
        <color rgb="FFFF0000"/>
      </left>
      <top style="double">
        <color rgb="FFFF0000"/>
      </top>
    </border>
    <border>
      <top style="double">
        <color rgb="FFFF0000"/>
      </top>
    </border>
    <border>
      <right style="hair">
        <color rgb="FFFF0000"/>
      </right>
      <top style="double">
        <color rgb="FFFF0000"/>
      </top>
    </border>
    <border>
      <left style="hair">
        <color rgb="FFFF0000"/>
      </left>
      <right style="hair">
        <color rgb="FFFF0000"/>
      </right>
      <top style="double">
        <color rgb="FFFF0000"/>
      </top>
    </border>
    <border>
      <left style="hair">
        <color rgb="FFFF0000"/>
      </left>
      <right style="hair">
        <color rgb="FFFF0000"/>
      </right>
      <top style="double">
        <color rgb="FFFF0000"/>
      </top>
      <bottom style="hair">
        <color rgb="FFFF0000"/>
      </bottom>
    </border>
    <border>
      <left style="hair">
        <color rgb="FFFF0000"/>
      </left>
      <top style="double">
        <color rgb="FFFF0000"/>
      </top>
      <bottom style="hair">
        <color rgb="FFFF0000"/>
      </bottom>
    </border>
    <border>
      <left style="double">
        <color rgb="FFFF0000"/>
      </left>
    </border>
    <border>
      <right style="hair">
        <color rgb="FFFF0000"/>
      </right>
    </border>
    <border>
      <left style="hair">
        <color rgb="FFFF0000"/>
      </left>
      <right style="hair">
        <color rgb="FFFF0000"/>
      </right>
    </border>
    <border>
      <left style="hair">
        <color rgb="FFFF0000"/>
      </left>
      <right style="hair">
        <color rgb="FFFF0000"/>
      </right>
      <bottom style="hair">
        <color rgb="FFFF0000"/>
      </bottom>
    </border>
    <border>
      <left style="hair">
        <color rgb="FFFF0000"/>
      </left>
      <right style="hair">
        <color rgb="FFFF0000"/>
      </right>
      <top style="hair">
        <color rgb="FFFF0000"/>
      </top>
    </border>
    <border>
      <left style="hair">
        <color rgb="FFFF0000"/>
      </left>
      <right style="hair">
        <color rgb="FFFF0000"/>
      </right>
      <top style="hair">
        <color rgb="FFFF0000"/>
      </top>
      <bottom style="hair">
        <color rgb="FFFF0000"/>
      </bottom>
    </border>
    <border>
      <left style="hair">
        <color rgb="FFFF0000"/>
      </left>
      <top style="hair">
        <color rgb="FFFF0000"/>
      </top>
      <bottom style="hair">
        <color rgb="FFFF0000"/>
      </bottom>
    </border>
    <border>
      <top style="hair">
        <color rgb="FFFF0000"/>
      </top>
      <bottom style="hair">
        <color rgb="FFFF0000"/>
      </bottom>
    </border>
    <border>
      <bottom style="hair">
        <color rgb="FFFF0000"/>
      </bottom>
    </border>
    <border>
      <right style="hair">
        <color rgb="FFFF0000"/>
      </right>
      <bottom style="hair">
        <color rgb="FFFF0000"/>
      </bottom>
    </border>
    <border>
      <left style="double">
        <color rgb="FFFF0000"/>
      </left>
      <top style="hair">
        <color rgb="FFFF0000"/>
      </top>
      <bottom style="hair">
        <color rgb="FFFF0000"/>
      </bottom>
    </border>
    <border>
      <right style="hair">
        <color rgb="FFFF0000"/>
      </right>
      <top style="hair">
        <color rgb="FFFF0000"/>
      </top>
      <bottom style="hair">
        <color rgb="FFFF0000"/>
      </bottom>
    </border>
    <border>
      <left style="double">
        <color rgb="FFFF0000"/>
      </left>
      <right style="hair">
        <color rgb="FFFF0000"/>
      </right>
      <top style="hair">
        <color rgb="FFFF0000"/>
      </top>
      <bottom style="hair">
        <color rgb="FFFF0000"/>
      </bottom>
    </border>
    <border>
      <right/>
    </border>
    <border>
      <bottom/>
    </border>
    <border>
      <left/>
      <right/>
    </border>
    <border>
      <left/>
      <right/>
      <bottom/>
    </border>
    <border>
      <right/>
      <bottom/>
    </border>
    <border>
      <left/>
      <bottom/>
    </border>
    <border>
      <left/>
    </border>
    <border>
      <left/>
      <top/>
    </border>
    <border>
      <top/>
    </border>
    <border>
      <right/>
      <top/>
    </border>
    <border>
      <left style="double">
        <color rgb="FFFF0000"/>
      </left>
      <top style="double">
        <color rgb="FFFF0000"/>
      </top>
      <bottom style="hair">
        <color rgb="FFFF0000"/>
      </bottom>
    </border>
    <border>
      <right style="double">
        <color rgb="FFFF0000"/>
      </right>
      <top style="double">
        <color rgb="FFFF0000"/>
      </top>
      <bottom style="hair">
        <color rgb="FFFF0000"/>
      </bottom>
    </border>
    <border>
      <right style="hair">
        <color rgb="FFFF0000"/>
      </right>
      <top style="double">
        <color rgb="FFFF0000"/>
      </top>
      <bottom style="hair">
        <color rgb="FFFF0000"/>
      </bottom>
    </border>
    <border>
      <left style="hair">
        <color rgb="FFFF0000"/>
      </left>
      <right style="double">
        <color rgb="FFFF0000"/>
      </right>
      <top style="double">
        <color rgb="FFFF0000"/>
      </top>
      <bottom style="hair">
        <color rgb="FFFF0000"/>
      </bottom>
    </border>
    <border>
      <left style="double">
        <color rgb="FFFF0000"/>
      </left>
      <bottom style="hair">
        <color rgb="FFFF0000"/>
      </bottom>
    </border>
    <border>
      <left style="hair">
        <color rgb="FFFF0000"/>
      </left>
      <right style="double">
        <color rgb="FFFF0000"/>
      </right>
      <top style="hair">
        <color rgb="FFFF0000"/>
      </top>
      <bottom style="hair">
        <color rgb="FFFF0000"/>
      </bottom>
    </border>
    <border>
      <left style="hair">
        <color rgb="FFFF0000"/>
      </left>
      <right style="double">
        <color rgb="FFFF0000"/>
      </right>
    </border>
    <border>
      <left style="hair">
        <color rgb="FFFF0000"/>
      </left>
      <right style="double">
        <color rgb="FFFF0000"/>
      </right>
      <top style="hair">
        <color rgb="FFFF0000"/>
      </top>
    </border>
    <border>
      <right style="double">
        <color rgb="FFFF0000"/>
      </right>
    </border>
    <border>
      <left style="double">
        <color rgb="FFFF0000"/>
      </left>
      <right style="hair">
        <color rgb="FFFF0000"/>
      </right>
      <top style="hair">
        <color rgb="FFFF0000"/>
      </top>
      <bottom style="double">
        <color rgb="FFFF0000"/>
      </bottom>
    </border>
    <border>
      <left style="hair">
        <color rgb="FFFF0000"/>
      </left>
      <right style="hair">
        <color rgb="FFFF0000"/>
      </right>
      <top style="hair">
        <color rgb="FFFF0000"/>
      </top>
      <bottom style="double">
        <color rgb="FFFF0000"/>
      </bottom>
    </border>
    <border>
      <left style="hair">
        <color rgb="FFFF0000"/>
      </left>
      <top style="hair">
        <color rgb="FFFF0000"/>
      </top>
      <bottom style="double">
        <color rgb="FFFF0000"/>
      </bottom>
    </border>
    <border>
      <left style="hair">
        <color rgb="FFFF0000"/>
      </left>
      <right style="double">
        <color rgb="FFFF0000"/>
      </right>
      <top style="hair">
        <color rgb="FFFF0000"/>
      </top>
      <bottom style="double">
        <color rgb="FFFF0000"/>
      </bottom>
    </border>
    <border>
      <right style="hair">
        <color rgb="FFFF0000"/>
      </right>
      <top style="hair">
        <color rgb="FFFF0000"/>
      </top>
      <bottom style="double">
        <color rgb="FFFF0000"/>
      </bottom>
    </border>
    <border>
      <left style="hair">
        <color rgb="FFFF0000"/>
      </left>
      <right style="double">
        <color rgb="FFFF0000"/>
      </right>
      <bottom style="double">
        <color rgb="FFFF0000"/>
      </bottom>
    </border>
    <border>
      <left style="double">
        <color rgb="FFFF0000"/>
      </left>
      <right style="hair">
        <color rgb="FFFF0000"/>
      </right>
      <top style="double">
        <color rgb="FFFF0000"/>
      </top>
      <bottom style="hair">
        <color rgb="FFFF0000"/>
      </bottom>
    </border>
    <border>
      <left/>
      <top/>
      <bottom/>
    </border>
    <border>
      <top/>
      <bottom/>
    </border>
    <border>
      <right/>
      <top/>
      <bottom/>
    </border>
    <border>
      <top style="double">
        <color rgb="FFFF0000"/>
      </top>
      <bottom style="hair">
        <color rgb="FFFF0000"/>
      </bottom>
    </border>
    <border>
      <left style="double">
        <color rgb="FFFF0000"/>
      </left>
      <right style="hair">
        <color rgb="FFFF0000"/>
      </right>
      <bottom style="hair">
        <color rgb="FFFF0000"/>
      </bottom>
    </border>
    <border>
      <right style="double">
        <color rgb="FFFF0000"/>
      </right>
      <bottom style="hair">
        <color rgb="FFFF0000"/>
      </bottom>
    </border>
    <border>
      <left style="hair">
        <color rgb="FFFF0000"/>
      </left>
      <right style="double">
        <color rgb="FFFF0000"/>
      </right>
      <bottom style="hair">
        <color rgb="FFFF0000"/>
      </bottom>
    </border>
    <border>
      <right style="double">
        <color rgb="FFFF0000"/>
      </right>
      <top style="hair">
        <color rgb="FFFF0000"/>
      </top>
      <bottom style="hair">
        <color rgb="FFFF0000"/>
      </bottom>
    </border>
    <border>
      <left style="double">
        <color rgb="FFEA4335"/>
      </left>
      <right style="hair">
        <color rgb="FFFF0000"/>
      </right>
      <top style="double">
        <color rgb="FFEA4335"/>
      </top>
    </border>
    <border>
      <left style="hair">
        <color rgb="FFFF0000"/>
      </left>
      <right style="hair">
        <color rgb="FFFF0000"/>
      </right>
      <top style="double">
        <color rgb="FFEA4335"/>
      </top>
    </border>
    <border>
      <left style="hair">
        <color rgb="FFFF0000"/>
      </left>
      <top style="double">
        <color rgb="FFEA4335"/>
      </top>
    </border>
    <border>
      <right style="double">
        <color rgb="FFFF9900"/>
      </right>
      <top style="double">
        <color rgb="FFEA4335"/>
      </top>
    </border>
    <border>
      <top style="double">
        <color rgb="FFEA4335"/>
      </top>
    </border>
    <border>
      <right style="double">
        <color rgb="FFEA4335"/>
      </right>
      <top style="double">
        <color rgb="FFEA4335"/>
      </top>
    </border>
    <border>
      <left style="hair">
        <color rgb="FFFF0000"/>
      </left>
      <right style="hair">
        <color rgb="FFFF0000"/>
      </right>
      <top style="double">
        <color rgb="FFFF9900"/>
      </top>
    </border>
    <border>
      <left style="dotted">
        <color rgb="FFFF0000"/>
      </left>
      <right style="dotted">
        <color rgb="FFFF0000"/>
      </right>
      <top style="double">
        <color rgb="FFFF9900"/>
      </top>
    </border>
    <border>
      <right style="double">
        <color rgb="FFFF9900"/>
      </right>
      <top style="double">
        <color rgb="FFFF9900"/>
      </top>
    </border>
    <border>
      <left style="double">
        <color rgb="FFEA4335"/>
      </left>
      <right style="hair">
        <color rgb="FFFF0000"/>
      </right>
      <bottom style="double">
        <color rgb="FFFF9900"/>
      </bottom>
    </border>
    <border>
      <left style="hair">
        <color rgb="FFFF0000"/>
      </left>
      <right style="hair">
        <color rgb="FFFF0000"/>
      </right>
      <bottom style="double">
        <color rgb="FFFF9900"/>
      </bottom>
    </border>
    <border>
      <left style="hair">
        <color rgb="FFFF0000"/>
      </left>
      <bottom style="double">
        <color rgb="FFFF9900"/>
      </bottom>
    </border>
    <border>
      <right style="double">
        <color rgb="FFFF9900"/>
      </right>
      <bottom style="double">
        <color rgb="FFFF9900"/>
      </bottom>
    </border>
    <border>
      <bottom style="double">
        <color rgb="FFFF9900"/>
      </bottom>
    </border>
    <border>
      <right style="double">
        <color rgb="FFEA4335"/>
      </right>
      <bottom style="double">
        <color rgb="FFFF9900"/>
      </bottom>
    </border>
    <border>
      <left style="dotted">
        <color rgb="FFFF0000"/>
      </left>
      <right style="dotted">
        <color rgb="FFFF0000"/>
      </right>
      <bottom style="double">
        <color rgb="FFFF9900"/>
      </bottom>
    </border>
    <border>
      <left style="double">
        <color rgb="FFEA4335"/>
      </left>
      <right style="hair">
        <color rgb="FFFF0000"/>
      </right>
      <bottom style="hair">
        <color rgb="FFFF0000"/>
      </bottom>
    </border>
    <border>
      <left style="hair">
        <color rgb="FFFF0000"/>
      </left>
      <right style="double">
        <color rgb="FFFF9900"/>
      </right>
      <bottom style="hair">
        <color rgb="FFFF0000"/>
      </bottom>
    </border>
    <border>
      <left style="hair">
        <color rgb="FFFF0000"/>
      </left>
      <right style="double">
        <color rgb="FFEA4335"/>
      </right>
      <bottom style="hair">
        <color rgb="FFFF0000"/>
      </bottom>
    </border>
    <border>
      <left style="double">
        <color rgb="FFEA4335"/>
      </left>
      <right style="hair">
        <color rgb="FFFF0000"/>
      </right>
      <top style="hair">
        <color rgb="FFFF0000"/>
      </top>
      <bottom style="hair">
        <color rgb="FFFF0000"/>
      </bottom>
    </border>
    <border>
      <left style="hair">
        <color rgb="FFFF0000"/>
      </left>
      <right style="double">
        <color rgb="FFFF9900"/>
      </right>
      <top style="hair">
        <color rgb="FFFF0000"/>
      </top>
      <bottom style="hair">
        <color rgb="FFFF0000"/>
      </bottom>
    </border>
    <border>
      <left style="hair">
        <color rgb="FFFF0000"/>
      </left>
      <right style="double">
        <color rgb="FFEA4335"/>
      </right>
      <top style="hair">
        <color rgb="FFFF0000"/>
      </top>
      <bottom style="hair">
        <color rgb="FFFF0000"/>
      </bottom>
    </border>
    <border>
      <left style="hair">
        <color rgb="FFFF0000"/>
      </left>
      <right style="double">
        <color rgb="FFFF9900"/>
      </right>
      <top style="hair">
        <color rgb="FFFF0000"/>
      </top>
    </border>
    <border>
      <left style="double">
        <color rgb="FFEA4335"/>
      </left>
      <right style="hair">
        <color rgb="FFFF0000"/>
      </right>
      <top style="hair">
        <color rgb="FFFF0000"/>
      </top>
      <bottom style="double">
        <color rgb="FFEA4335"/>
      </bottom>
    </border>
    <border>
      <left style="hair">
        <color rgb="FFFF0000"/>
      </left>
      <right style="hair">
        <color rgb="FFFF0000"/>
      </right>
      <top style="hair">
        <color rgb="FFFF0000"/>
      </top>
      <bottom style="double">
        <color rgb="FFEA4335"/>
      </bottom>
    </border>
    <border>
      <left style="hair">
        <color rgb="FFFF0000"/>
      </left>
      <right style="double">
        <color rgb="FFFF9900"/>
      </right>
      <top style="hair">
        <color rgb="FFFF0000"/>
      </top>
      <bottom style="double">
        <color rgb="FFEA4335"/>
      </bottom>
    </border>
    <border>
      <left style="hair">
        <color rgb="FFFF0000"/>
      </left>
      <right style="double">
        <color rgb="FFEA4335"/>
      </right>
      <top style="hair">
        <color rgb="FFFF0000"/>
      </top>
      <bottom style="double">
        <color rgb="FFEA4335"/>
      </bottom>
    </border>
    <border>
      <left style="double">
        <color rgb="FFFF9900"/>
      </left>
      <top style="double">
        <color rgb="FFFF9900"/>
      </top>
    </border>
    <border>
      <right style="hair">
        <color rgb="FFFF9900"/>
      </right>
      <top style="double">
        <color rgb="FFFF9900"/>
      </top>
    </border>
    <border>
      <left style="hair">
        <color rgb="FFFF9900"/>
      </left>
      <right style="hair">
        <color rgb="FFFF9900"/>
      </right>
      <top style="double">
        <color rgb="FFFF9900"/>
      </top>
    </border>
    <border>
      <left style="hair">
        <color rgb="FFFF9900"/>
      </left>
      <right style="double">
        <color rgb="FFFF9900"/>
      </right>
      <top style="double">
        <color rgb="FFFF9900"/>
      </top>
    </border>
    <border>
      <left style="double">
        <color rgb="FFFF9900"/>
      </left>
      <bottom style="double">
        <color rgb="FFFF9900"/>
      </bottom>
    </border>
    <border>
      <right style="hair">
        <color rgb="FFFF9900"/>
      </right>
      <bottom style="double">
        <color rgb="FFFF9900"/>
      </bottom>
    </border>
    <border>
      <left style="hair">
        <color rgb="FFFF9900"/>
      </left>
      <right style="hair">
        <color rgb="FFFF9900"/>
      </right>
      <bottom style="double">
        <color rgb="FFFF9900"/>
      </bottom>
    </border>
    <border>
      <left style="hair">
        <color rgb="FFFF9900"/>
      </left>
      <right style="double">
        <color rgb="FFFF9900"/>
      </right>
      <bottom style="double">
        <color rgb="FFFF9900"/>
      </bottom>
    </border>
    <border>
      <right style="double">
        <color rgb="FFFF9900"/>
      </right>
      <bottom style="hair">
        <color rgb="FFFF9900"/>
      </bottom>
    </border>
    <border>
      <right style="double">
        <color rgb="FFFF9900"/>
      </right>
      <top style="hair">
        <color rgb="FFFF9900"/>
      </top>
      <bottom style="hair">
        <color rgb="FFFF9900"/>
      </bottom>
    </border>
    <border>
      <left style="hair">
        <color rgb="FFFF0000"/>
      </left>
      <right style="hair">
        <color rgb="FFFF0000"/>
      </right>
      <top style="hair">
        <color rgb="FFFF0000"/>
      </top>
      <bottom style="double">
        <color rgb="FFFF9900"/>
      </bottom>
    </border>
    <border>
      <left style="hair">
        <color rgb="FFFF0000"/>
      </left>
      <right style="double">
        <color rgb="FFFF9900"/>
      </right>
      <top style="hair">
        <color rgb="FFFF0000"/>
      </top>
      <bottom style="double">
        <color rgb="FFFF9900"/>
      </bottom>
    </border>
    <border>
      <left style="double">
        <color rgb="FFFF9900"/>
      </left>
      <right style="hair">
        <color theme="5"/>
      </right>
      <top style="hair">
        <color theme="5"/>
      </top>
      <bottom style="double">
        <color rgb="FFFF9900"/>
      </bottom>
    </border>
    <border>
      <left style="double">
        <color theme="5"/>
      </left>
      <right style="hair">
        <color theme="5"/>
      </right>
      <top style="hair">
        <color theme="5"/>
      </top>
      <bottom style="double">
        <color rgb="FFFF9900"/>
      </bottom>
    </border>
    <border>
      <left style="hair">
        <color theme="5"/>
      </left>
      <right style="hair">
        <color theme="5"/>
      </right>
      <top style="hair">
        <color theme="5"/>
      </top>
      <bottom style="double">
        <color rgb="FFFF9900"/>
      </bottom>
    </border>
    <border>
      <left style="hair">
        <color theme="5"/>
      </left>
      <top style="hair">
        <color theme="5"/>
      </top>
      <bottom style="double">
        <color rgb="FFFF9900"/>
      </bottom>
    </border>
    <border>
      <left style="hair">
        <color theme="5"/>
      </left>
      <right style="double">
        <color rgb="FFFF9900"/>
      </right>
      <top style="hair">
        <color theme="5"/>
      </top>
      <bottom style="double">
        <color rgb="FFFF9900"/>
      </bottom>
    </border>
    <border>
      <left style="double">
        <color rgb="FFFF0000"/>
      </left>
      <right style="dotted">
        <color rgb="FFFF0000"/>
      </right>
      <top style="double">
        <color rgb="FFFF0000"/>
      </top>
    </border>
    <border>
      <left style="dotted">
        <color rgb="FFFF0000"/>
      </left>
      <top style="double">
        <color rgb="FFFF0000"/>
      </top>
      <bottom style="dotted">
        <color rgb="FFFF0000"/>
      </bottom>
    </border>
    <border>
      <left style="dotted">
        <color rgb="FFFF0000"/>
      </left>
      <right style="double">
        <color rgb="FFFF0000"/>
      </right>
      <top style="double">
        <color rgb="FFFF0000"/>
      </top>
      <bottom style="dotted">
        <color rgb="FFFF0000"/>
      </bottom>
    </border>
    <border>
      <left style="double">
        <color rgb="FFFF0000"/>
      </left>
      <right style="dotted">
        <color rgb="FFFF0000"/>
      </right>
      <bottom style="double">
        <color rgb="FFFF0000"/>
      </bottom>
    </border>
    <border>
      <left style="dotted">
        <color rgb="FFFF0000"/>
      </left>
      <top style="dotted">
        <color rgb="FFFF0000"/>
      </top>
      <bottom style="double">
        <color rgb="FFFF0000"/>
      </bottom>
    </border>
    <border>
      <left style="dotted">
        <color rgb="FFFF0000"/>
      </left>
      <right style="double">
        <color rgb="FFFF0000"/>
      </right>
      <top style="dotted">
        <color rgb="FFFF0000"/>
      </top>
      <bottom style="double">
        <color rgb="FFFF0000"/>
      </bottom>
    </border>
    <border>
      <left style="double">
        <color rgb="FFFF0000"/>
      </left>
      <right style="dotted">
        <color rgb="FFFF9900"/>
      </right>
      <top style="double">
        <color rgb="FFFF0000"/>
      </top>
    </border>
    <border>
      <left style="dotted">
        <color rgb="FFFF9900"/>
      </left>
      <right style="dotted">
        <color rgb="FFFF9900"/>
      </right>
      <top style="double">
        <color rgb="FFFF0000"/>
      </top>
    </border>
    <border>
      <left style="dotted">
        <color rgb="FFFF9900"/>
      </left>
      <top style="double">
        <color rgb="FFFF0000"/>
      </top>
    </border>
    <border>
      <right style="dotted">
        <color rgb="FFFF9900"/>
      </right>
      <top style="double">
        <color rgb="FFFF0000"/>
      </top>
    </border>
    <border>
      <left style="dotted">
        <color rgb="FFFF9900"/>
      </left>
      <top style="double">
        <color rgb="FFFF0000"/>
      </top>
      <bottom style="thin">
        <color rgb="FFFF9900"/>
      </bottom>
    </border>
    <border>
      <top style="double">
        <color rgb="FFFF0000"/>
      </top>
      <bottom style="thin">
        <color rgb="FFFF9900"/>
      </bottom>
    </border>
    <border>
      <right style="dotted">
        <color rgb="FFFF9900"/>
      </right>
      <top style="double">
        <color rgb="FFFF0000"/>
      </top>
      <bottom style="thin">
        <color rgb="FFFF9900"/>
      </bottom>
    </border>
    <border>
      <left style="dotted">
        <color rgb="FFFF9900"/>
      </left>
      <right style="double">
        <color rgb="FFFF0000"/>
      </right>
      <top style="double">
        <color rgb="FFFF0000"/>
      </top>
    </border>
    <border>
      <left style="dotted">
        <color rgb="FFFF9900"/>
      </left>
      <top style="double">
        <color rgb="FFFF9900"/>
      </top>
      <bottom style="double">
        <color rgb="FFFF9900"/>
      </bottom>
    </border>
    <border>
      <top style="double">
        <color rgb="FFFF9900"/>
      </top>
      <bottom style="double">
        <color rgb="FFFF9900"/>
      </bottom>
    </border>
    <border>
      <right style="dotted">
        <color rgb="FFFF9900"/>
      </right>
      <top style="double">
        <color rgb="FFFF9900"/>
      </top>
      <bottom style="double">
        <color rgb="FFFF9900"/>
      </bottom>
    </border>
    <border>
      <left style="double">
        <color rgb="FFFF0000"/>
      </left>
      <right style="dotted">
        <color rgb="FFFF9900"/>
      </right>
      <bottom style="double">
        <color rgb="FFFF0000"/>
      </bottom>
    </border>
    <border>
      <left style="dotted">
        <color rgb="FFFF9900"/>
      </left>
      <right style="dotted">
        <color rgb="FFFF9900"/>
      </right>
      <bottom style="double">
        <color rgb="FFFF0000"/>
      </bottom>
    </border>
    <border>
      <left style="dotted">
        <color rgb="FFFF9900"/>
      </left>
      <bottom style="double">
        <color rgb="FFFF0000"/>
      </bottom>
    </border>
    <border>
      <right style="dotted">
        <color rgb="FFFF9900"/>
      </right>
      <bottom style="double">
        <color rgb="FFFF0000"/>
      </bottom>
    </border>
    <border>
      <left style="dotted">
        <color rgb="FFFF9900"/>
      </left>
      <right style="dotted">
        <color rgb="FFFF9900"/>
      </right>
      <top style="thin">
        <color rgb="FFFF9900"/>
      </top>
      <bottom style="double">
        <color rgb="FFFF0000"/>
      </bottom>
    </border>
    <border>
      <left style="dotted">
        <color rgb="FFFF9900"/>
      </left>
      <right style="double">
        <color rgb="FFFF0000"/>
      </right>
      <bottom style="double">
        <color rgb="FFFF0000"/>
      </bottom>
    </border>
    <border>
      <left style="dotted">
        <color rgb="FFFF9900"/>
      </left>
      <right style="dotted">
        <color rgb="FFFF9900"/>
      </right>
    </border>
    <border>
      <left style="double">
        <color rgb="FFFF9900"/>
      </left>
      <right style="dotted">
        <color rgb="FFFF9900"/>
      </right>
      <bottom style="dotted">
        <color rgb="FFFF9900"/>
      </bottom>
    </border>
    <border>
      <left style="dotted">
        <color rgb="FFFF9900"/>
      </left>
      <right style="dotted">
        <color rgb="FFFF9900"/>
      </right>
      <bottom style="dotted">
        <color rgb="FFFF9900"/>
      </bottom>
    </border>
    <border>
      <left style="dotted">
        <color rgb="FFFF9900"/>
      </left>
      <bottom style="dotted">
        <color rgb="FFFF9900"/>
      </bottom>
    </border>
    <border>
      <left style="dotted">
        <color rgb="FFFF9900"/>
      </left>
      <right style="double">
        <color rgb="FFFF9900"/>
      </right>
      <bottom style="dotted">
        <color rgb="FFFF9900"/>
      </bottom>
    </border>
    <border>
      <left style="double">
        <color rgb="FFFF9900"/>
      </left>
      <right style="dotted">
        <color rgb="FFFF9900"/>
      </right>
      <top style="dotted">
        <color rgb="FFFF9900"/>
      </top>
      <bottom style="dotted">
        <color rgb="FFFF9900"/>
      </bottom>
    </border>
    <border>
      <left style="dotted">
        <color rgb="FFFF9900"/>
      </left>
      <right style="dotted">
        <color rgb="FFFF9900"/>
      </right>
      <top style="dotted">
        <color rgb="FFFF9900"/>
      </top>
      <bottom style="dotted">
        <color rgb="FFFF9900"/>
      </bottom>
    </border>
    <border>
      <left style="dotted">
        <color rgb="FFFF9900"/>
      </left>
      <top style="dotted">
        <color rgb="FFFF9900"/>
      </top>
      <bottom style="dotted">
        <color rgb="FFFF9900"/>
      </bottom>
    </border>
    <border>
      <left style="dotted">
        <color rgb="FFFF9900"/>
      </left>
      <right style="double">
        <color rgb="FFFF9900"/>
      </right>
      <top style="dotted">
        <color rgb="FFFF9900"/>
      </top>
      <bottom style="dotted">
        <color rgb="FFFF9900"/>
      </bottom>
    </border>
    <border>
      <left style="double">
        <color rgb="FFFF9900"/>
      </left>
      <right style="dotted">
        <color rgb="FFFF9900"/>
      </right>
      <top style="dotted">
        <color rgb="FFFF9900"/>
      </top>
      <bottom style="double">
        <color rgb="FFFF9900"/>
      </bottom>
    </border>
    <border>
      <left style="dotted">
        <color rgb="FFFF9900"/>
      </left>
      <right style="dotted">
        <color rgb="FFFF9900"/>
      </right>
      <top style="dotted">
        <color rgb="FFFF9900"/>
      </top>
      <bottom style="double">
        <color rgb="FFFF9900"/>
      </bottom>
    </border>
    <border>
      <left style="dotted">
        <color rgb="FFFF9900"/>
      </left>
      <top style="dotted">
        <color rgb="FFFF9900"/>
      </top>
      <bottom style="double">
        <color rgb="FFFF9900"/>
      </bottom>
    </border>
    <border>
      <left style="dotted">
        <color rgb="FFFF9900"/>
      </left>
      <right style="double">
        <color rgb="FFFF9900"/>
      </right>
      <top style="dotted">
        <color rgb="FFFF9900"/>
      </top>
      <bottom style="double">
        <color rgb="FFFF9900"/>
      </bottom>
    </border>
    <border>
      <left style="double">
        <color rgb="FFFF9900"/>
      </left>
      <top style="double">
        <color rgb="FFFF9900"/>
      </top>
      <bottom style="double">
        <color rgb="FFFF9900"/>
      </bottom>
    </border>
    <border>
      <right style="double">
        <color rgb="FFFF9900"/>
      </right>
      <top style="double">
        <color rgb="FFFF9900"/>
      </top>
      <bottom style="double">
        <color rgb="FFFF9900"/>
      </bottom>
    </border>
    <border>
      <left style="double">
        <color rgb="FFFF0000"/>
      </left>
      <right style="hair">
        <color rgb="FFFF0000"/>
      </right>
      <top style="double">
        <color rgb="FFFF0000"/>
      </top>
    </border>
    <border>
      <left style="hair">
        <color rgb="FFFF0000"/>
      </left>
      <right style="double">
        <color rgb="FFFF0000"/>
      </right>
      <top style="double">
        <color rgb="FFFF0000"/>
      </top>
    </border>
    <border>
      <left style="double">
        <color rgb="FFFF9900"/>
      </left>
      <right style="hair">
        <color theme="5"/>
      </right>
      <top style="double">
        <color rgb="FFFF9900"/>
      </top>
    </border>
    <border>
      <left style="hair">
        <color theme="5"/>
      </left>
      <right style="hair">
        <color theme="5"/>
      </right>
      <top style="double">
        <color rgb="FFFF9900"/>
      </top>
    </border>
    <border>
      <left style="hair">
        <color theme="5"/>
      </left>
      <top style="double">
        <color rgb="FFFF9900"/>
      </top>
    </border>
    <border>
      <left style="double">
        <color rgb="FFFF9900"/>
      </left>
      <top style="double">
        <color rgb="FFFF9900"/>
      </top>
      <bottom style="thin">
        <color rgb="FFFF9900"/>
      </bottom>
    </border>
    <border>
      <top style="double">
        <color rgb="FFFF9900"/>
      </top>
      <bottom style="thin">
        <color rgb="FFFF9900"/>
      </bottom>
    </border>
    <border>
      <right style="double">
        <color rgb="FFFF9900"/>
      </right>
      <top style="double">
        <color rgb="FFFF9900"/>
      </top>
      <bottom style="thin">
        <color rgb="FFFF9900"/>
      </bottom>
    </border>
    <border>
      <left style="hair">
        <color theme="5"/>
      </left>
      <right style="double">
        <color rgb="FFFF9900"/>
      </right>
      <top style="double">
        <color rgb="FFFF9900"/>
      </top>
    </border>
    <border>
      <left style="double">
        <color rgb="FFFF9900"/>
      </left>
      <right style="hair">
        <color theme="5"/>
      </right>
    </border>
    <border>
      <left style="hair">
        <color theme="5"/>
      </left>
      <right style="hair">
        <color theme="5"/>
      </right>
    </border>
    <border>
      <left style="hair">
        <color theme="5"/>
      </left>
    </border>
    <border>
      <left style="double">
        <color rgb="FFFF9900"/>
      </left>
      <right style="thin">
        <color rgb="FFFF9900"/>
      </right>
    </border>
    <border>
      <bottom style="hair">
        <color theme="5"/>
      </bottom>
    </border>
    <border>
      <right style="double">
        <color rgb="FFFF9900"/>
      </right>
      <bottom style="hair">
        <color theme="5"/>
      </bottom>
    </border>
    <border>
      <right style="thin">
        <color rgb="FFFF9900"/>
      </right>
    </border>
    <border>
      <left style="hair">
        <color theme="5"/>
      </left>
      <right style="double">
        <color rgb="FFFF9900"/>
      </right>
    </border>
    <border>
      <left style="double">
        <color rgb="FFFF9900"/>
      </left>
      <right style="hair">
        <color theme="5"/>
      </right>
      <bottom style="thin">
        <color rgb="FFFF9900"/>
      </bottom>
    </border>
    <border>
      <left style="hair">
        <color theme="5"/>
      </left>
      <right style="hair">
        <color theme="5"/>
      </right>
      <bottom style="thin">
        <color rgb="FFFF9900"/>
      </bottom>
    </border>
    <border>
      <left style="hair">
        <color theme="5"/>
      </left>
      <bottom style="thin">
        <color rgb="FFFF9900"/>
      </bottom>
    </border>
    <border>
      <left style="double">
        <color rgb="FFFF9900"/>
      </left>
      <right style="thin">
        <color rgb="FFFF9900"/>
      </right>
      <bottom style="thin">
        <color rgb="FFFF9900"/>
      </bottom>
    </border>
    <border>
      <bottom style="thin">
        <color rgb="FFFF9900"/>
      </bottom>
    </border>
    <border>
      <left style="hair">
        <color theme="5"/>
      </left>
      <right style="double">
        <color rgb="FFFF9900"/>
      </right>
      <bottom style="thin">
        <color rgb="FFFF9900"/>
      </bottom>
    </border>
    <border>
      <right style="thin">
        <color rgb="FFFF9900"/>
      </right>
      <bottom style="thin">
        <color rgb="FFFF9900"/>
      </bottom>
    </border>
    <border>
      <left style="double">
        <color rgb="FFFF9900"/>
      </left>
      <right style="hair">
        <color theme="5"/>
      </right>
      <bottom style="hair">
        <color theme="5"/>
      </bottom>
    </border>
    <border>
      <left style="hair">
        <color theme="5"/>
      </left>
      <right style="hair">
        <color theme="5"/>
      </right>
      <bottom style="hair">
        <color theme="5"/>
      </bottom>
    </border>
    <border>
      <left style="hair">
        <color theme="5"/>
      </left>
      <bottom style="hair">
        <color theme="5"/>
      </bottom>
    </border>
    <border>
      <left style="double">
        <color rgb="FFFF9900"/>
      </left>
      <right style="thin">
        <color rgb="FFFF9900"/>
      </right>
      <bottom style="hair">
        <color theme="5"/>
      </bottom>
    </border>
    <border>
      <left style="hair">
        <color theme="5"/>
      </left>
      <right style="double">
        <color rgb="FFFF9900"/>
      </right>
      <bottom style="hair">
        <color theme="5"/>
      </bottom>
    </border>
    <border>
      <right style="thin">
        <color rgb="FFFF9900"/>
      </right>
      <bottom style="hair">
        <color theme="5"/>
      </bottom>
    </border>
    <border>
      <left style="double">
        <color rgb="FFFF9900"/>
      </left>
      <right style="hair">
        <color theme="5"/>
      </right>
      <top style="hair">
        <color theme="5"/>
      </top>
      <bottom style="hair">
        <color theme="5"/>
      </bottom>
    </border>
    <border>
      <left style="hair">
        <color theme="5"/>
      </left>
      <right style="hair">
        <color theme="5"/>
      </right>
      <top style="hair">
        <color theme="5"/>
      </top>
      <bottom style="hair">
        <color theme="5"/>
      </bottom>
    </border>
    <border>
      <left style="hair">
        <color theme="5"/>
      </left>
      <top style="hair">
        <color theme="5"/>
      </top>
      <bottom style="hair">
        <color theme="5"/>
      </bottom>
    </border>
    <border>
      <left style="double">
        <color rgb="FFFF9900"/>
      </left>
      <right style="thin">
        <color rgb="FFFF9900"/>
      </right>
      <top style="hair">
        <color theme="5"/>
      </top>
      <bottom style="hair">
        <color theme="5"/>
      </bottom>
    </border>
    <border>
      <top style="hair">
        <color theme="5"/>
      </top>
      <bottom style="hair">
        <color theme="5"/>
      </bottom>
    </border>
    <border>
      <left style="hair">
        <color theme="5"/>
      </left>
      <right style="double">
        <color rgb="FFFF9900"/>
      </right>
      <top style="hair">
        <color theme="5"/>
      </top>
      <bottom style="hair">
        <color theme="5"/>
      </bottom>
    </border>
    <border>
      <right style="thin">
        <color rgb="FFFF9900"/>
      </right>
      <top style="hair">
        <color theme="5"/>
      </top>
      <bottom style="hair">
        <color theme="5"/>
      </bottom>
    </border>
    <border>
      <left style="double">
        <color rgb="FFFF9900"/>
      </left>
      <right style="thin">
        <color rgb="FFFF9900"/>
      </right>
      <top style="hair">
        <color theme="5"/>
      </top>
      <bottom style="double">
        <color rgb="FFFF9900"/>
      </bottom>
    </border>
    <border>
      <top style="hair">
        <color theme="5"/>
      </top>
      <bottom style="double">
        <color rgb="FFFF9900"/>
      </bottom>
    </border>
    <border>
      <right style="thin">
        <color rgb="FFFF9900"/>
      </right>
      <top style="hair">
        <color theme="5"/>
      </top>
      <bottom style="double">
        <color rgb="FFFF9900"/>
      </bottom>
    </border>
    <border>
      <right style="hair">
        <color theme="5"/>
      </right>
      <top style="hair">
        <color theme="5"/>
      </top>
      <bottom style="hair">
        <color theme="5"/>
      </bottom>
    </border>
    <border>
      <left style="double">
        <color rgb="FFEA4335"/>
      </left>
      <right style="hair">
        <color rgb="FFEA4335"/>
      </right>
      <top style="double">
        <color rgb="FFEA4335"/>
      </top>
    </border>
    <border>
      <left style="hair">
        <color rgb="FFEA4335"/>
      </left>
      <right style="hair">
        <color rgb="FFEA4335"/>
      </right>
      <top style="double">
        <color rgb="FFEA4335"/>
      </top>
    </border>
    <border>
      <left style="hair">
        <color rgb="FFEA4335"/>
      </left>
      <top style="double">
        <color rgb="FFEA4335"/>
      </top>
    </border>
    <border>
      <right style="hair">
        <color rgb="FFEA4335"/>
      </right>
      <top style="double">
        <color rgb="FFEA4335"/>
      </top>
    </border>
    <border>
      <left style="double">
        <color rgb="FFEA4335"/>
      </left>
      <top style="double">
        <color rgb="FFEA4335"/>
      </top>
      <bottom style="hair">
        <color rgb="FFEA4335"/>
      </bottom>
    </border>
    <border>
      <right style="double">
        <color rgb="FFEA4335"/>
      </right>
      <top style="double">
        <color rgb="FFEA4335"/>
      </top>
      <bottom style="hair">
        <color rgb="FFEA4335"/>
      </bottom>
    </border>
    <border>
      <left style="double">
        <color rgb="FFEA4335"/>
      </left>
      <right style="hair">
        <color rgb="FFEA4335"/>
      </right>
      <bottom style="double">
        <color rgb="FFEA4335"/>
      </bottom>
    </border>
    <border>
      <left style="hair">
        <color rgb="FFEA4335"/>
      </left>
      <right style="hair">
        <color rgb="FFEA4335"/>
      </right>
      <bottom style="double">
        <color rgb="FFEA4335"/>
      </bottom>
    </border>
    <border>
      <left style="hair">
        <color rgb="FFEA4335"/>
      </left>
      <bottom style="double">
        <color rgb="FFEA4335"/>
      </bottom>
    </border>
    <border>
      <bottom style="double">
        <color rgb="FFEA4335"/>
      </bottom>
    </border>
    <border>
      <right style="hair">
        <color rgb="FFEA4335"/>
      </right>
      <bottom style="double">
        <color rgb="FFEA4335"/>
      </bottom>
    </border>
    <border>
      <left style="double">
        <color rgb="FFEA4335"/>
      </left>
      <right style="hair">
        <color rgb="FFEA4335"/>
      </right>
      <top style="hair">
        <color rgb="FFEA4335"/>
      </top>
      <bottom style="double">
        <color rgb="FFEA4335"/>
      </bottom>
    </border>
    <border>
      <left style="hair">
        <color rgb="FFEA4335"/>
      </left>
      <right style="double">
        <color rgb="FFEA4335"/>
      </right>
      <top style="hair">
        <color rgb="FFEA4335"/>
      </top>
      <bottom style="double">
        <color rgb="FFEA4335"/>
      </bottom>
    </border>
    <border>
      <left style="double">
        <color rgb="FFEA4335"/>
      </left>
      <right style="hair">
        <color rgb="FFEA4335"/>
      </right>
      <bottom style="hair">
        <color rgb="FFEA4335"/>
      </bottom>
    </border>
    <border>
      <left style="hair">
        <color rgb="FFEA4335"/>
      </left>
      <right style="hair">
        <color rgb="FFEA4335"/>
      </right>
    </border>
    <border>
      <left style="hair">
        <color rgb="FFEA4335"/>
      </left>
      <right style="hair">
        <color rgb="FFEA4335"/>
      </right>
      <bottom style="hair">
        <color rgb="FFEA4335"/>
      </bottom>
    </border>
    <border>
      <left style="hair">
        <color rgb="FFEA4335"/>
      </left>
      <bottom style="hair">
        <color rgb="FFEA4335"/>
      </bottom>
    </border>
    <border>
      <left style="double">
        <color rgb="FFEA4335"/>
      </left>
      <right style="hair">
        <color rgb="FFEA4335"/>
      </right>
    </border>
    <border>
      <left style="hair">
        <color rgb="FFEA4335"/>
      </left>
      <right style="double">
        <color rgb="FFEA4335"/>
      </right>
    </border>
    <border>
      <left style="double">
        <color rgb="FFEA4335"/>
      </left>
      <right style="hair">
        <color rgb="FFEA4335"/>
      </right>
      <top style="hair">
        <color rgb="FFEA4335"/>
      </top>
      <bottom style="hair">
        <color rgb="FFEA4335"/>
      </bottom>
    </border>
    <border>
      <left style="hair">
        <color rgb="FFEA4335"/>
      </left>
      <right style="hair">
        <color rgb="FFEA4335"/>
      </right>
      <top style="hair">
        <color rgb="FFEA4335"/>
      </top>
      <bottom style="hair">
        <color rgb="FFEA4335"/>
      </bottom>
    </border>
    <border>
      <left style="hair">
        <color rgb="FFEA4335"/>
      </left>
      <top style="hair">
        <color rgb="FFEA4335"/>
      </top>
      <bottom style="hair">
        <color rgb="FFEA4335"/>
      </bottom>
    </border>
    <border>
      <left style="hair">
        <color rgb="FFEA4335"/>
      </left>
      <right style="double">
        <color rgb="FFEA4335"/>
      </right>
      <bottom style="hair">
        <color rgb="FFEA4335"/>
      </bottom>
    </border>
    <border>
      <left style="hair">
        <color rgb="FFEA4335"/>
      </left>
      <right style="hair">
        <color rgb="FFEA4335"/>
      </right>
      <top style="hair">
        <color rgb="FFEA4335"/>
      </top>
    </border>
    <border>
      <left style="double">
        <color rgb="FFEA4335"/>
      </left>
      <right style="hair">
        <color rgb="FFEA4335"/>
      </right>
      <top style="hair">
        <color rgb="FFEA4335"/>
      </top>
    </border>
    <border>
      <left style="hair">
        <color rgb="FFEA4335"/>
      </left>
      <right style="double">
        <color rgb="FFEA4335"/>
      </right>
      <top style="hair">
        <color rgb="FFEA4335"/>
      </top>
    </border>
    <border>
      <left style="hair">
        <color rgb="FFEA4335"/>
      </left>
      <right style="hair">
        <color rgb="FFEA4335"/>
      </right>
      <top style="hair">
        <color rgb="FFEA4335"/>
      </top>
      <bottom style="double">
        <color rgb="FFEA4335"/>
      </bottom>
    </border>
    <border>
      <left style="hair">
        <color rgb="FFEA4335"/>
      </left>
      <top style="hair">
        <color rgb="FFEA4335"/>
      </top>
      <bottom style="double">
        <color rgb="FFEA4335"/>
      </bottom>
    </border>
    <border>
      <left style="hair">
        <color rgb="FFEA4335"/>
      </left>
      <right style="double">
        <color rgb="FFEA4335"/>
      </right>
      <bottom style="double">
        <color rgb="FFEA4335"/>
      </bottom>
    </border>
    <border>
      <right style="dotted">
        <color rgb="FF000000"/>
      </right>
      <top style="dotted">
        <color rgb="FF000000"/>
      </top>
      <bottom style="dotted">
        <color rgb="FF000000"/>
      </bottom>
    </border>
    <border>
      <left/>
      <right/>
      <top/>
      <bottom/>
    </border>
    <border>
      <top style="thin">
        <color rgb="FF7F7F7F"/>
      </top>
      <bottom style="thin">
        <color rgb="FF7F7F7F"/>
      </bottom>
    </border>
  </borders>
  <cellStyleXfs count="1">
    <xf borderId="0" fillId="0" fontId="0" numFmtId="0" applyAlignment="1" applyFont="1"/>
  </cellStyleXfs>
  <cellXfs count="112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3" numFmtId="0" xfId="0" applyAlignment="1" applyFont="1">
      <alignment horizontal="center" vertical="center"/>
    </xf>
    <xf borderId="0" fillId="0" fontId="1" numFmtId="0" xfId="0" applyAlignment="1" applyFont="1">
      <alignment vertical="center"/>
    </xf>
    <xf borderId="1" fillId="2" fontId="4" numFmtId="0" xfId="0" applyAlignment="1" applyBorder="1" applyFill="1" applyFont="1">
      <alignment horizontal="center" readingOrder="0" vertical="center"/>
    </xf>
    <xf borderId="1" fillId="2" fontId="4" numFmtId="0" xfId="0" applyAlignment="1" applyBorder="1" applyFont="1">
      <alignment horizontal="center" vertical="center"/>
    </xf>
    <xf borderId="0" fillId="0" fontId="5" numFmtId="0" xfId="0" applyAlignment="1" applyFont="1">
      <alignment vertical="center"/>
    </xf>
    <xf borderId="2" fillId="3" fontId="6" numFmtId="0" xfId="0" applyAlignment="1" applyBorder="1" applyFill="1" applyFont="1">
      <alignment horizontal="center" vertical="center"/>
    </xf>
    <xf borderId="3" fillId="0" fontId="7" numFmtId="0" xfId="0" applyBorder="1" applyFont="1"/>
    <xf borderId="4" fillId="0" fontId="7" numFmtId="0" xfId="0" applyBorder="1" applyFont="1"/>
    <xf borderId="5" fillId="4" fontId="8" numFmtId="0" xfId="0" applyAlignment="1" applyBorder="1" applyFill="1" applyFont="1">
      <alignment horizontal="center" readingOrder="0" vertical="center"/>
    </xf>
    <xf borderId="1" fillId="4" fontId="9" numFmtId="0" xfId="0" applyAlignment="1" applyBorder="1" applyFont="1">
      <alignment readingOrder="0" vertical="center"/>
    </xf>
    <xf borderId="1" fillId="4" fontId="5" numFmtId="0" xfId="0" applyAlignment="1" applyBorder="1" applyFont="1">
      <alignment vertical="center"/>
    </xf>
    <xf borderId="1" fillId="4" fontId="9" numFmtId="0" xfId="0" applyAlignment="1" applyBorder="1" applyFont="1">
      <alignment vertical="center"/>
    </xf>
    <xf borderId="0" fillId="0" fontId="5" numFmtId="0" xfId="0" applyAlignment="1" applyFont="1">
      <alignment vertical="center"/>
    </xf>
    <xf borderId="6" fillId="3" fontId="10" numFmtId="0" xfId="0" applyAlignment="1" applyBorder="1" applyFont="1">
      <alignment vertical="center"/>
    </xf>
    <xf borderId="7" fillId="0" fontId="7" numFmtId="0" xfId="0" applyBorder="1" applyFont="1"/>
    <xf borderId="6" fillId="0" fontId="5" numFmtId="0" xfId="0" applyAlignment="1" applyBorder="1" applyFont="1">
      <alignment vertical="center"/>
    </xf>
    <xf borderId="5" fillId="5" fontId="8" numFmtId="0" xfId="0" applyAlignment="1" applyBorder="1" applyFill="1" applyFont="1">
      <alignment horizontal="center" readingOrder="0" vertical="center"/>
    </xf>
    <xf borderId="1" fillId="5" fontId="9" numFmtId="0" xfId="0" applyAlignment="1" applyBorder="1" applyFont="1">
      <alignment readingOrder="0" vertical="center"/>
    </xf>
    <xf borderId="1" fillId="5" fontId="5" numFmtId="0" xfId="0" applyAlignment="1" applyBorder="1" applyFont="1">
      <alignment vertical="center"/>
    </xf>
    <xf borderId="1" fillId="5" fontId="9" numFmtId="0" xfId="0" applyAlignment="1" applyBorder="1" applyFont="1">
      <alignment vertical="center"/>
    </xf>
    <xf borderId="8" fillId="0" fontId="7" numFmtId="0" xfId="0" applyBorder="1" applyFont="1"/>
    <xf borderId="5" fillId="6" fontId="8" numFmtId="0" xfId="0" applyAlignment="1" applyBorder="1" applyFill="1" applyFont="1">
      <alignment horizontal="center" readingOrder="0" vertical="center"/>
    </xf>
    <xf borderId="1" fillId="6" fontId="9" numFmtId="0" xfId="0" applyAlignment="1" applyBorder="1" applyFont="1">
      <alignment readingOrder="0" vertical="center"/>
    </xf>
    <xf borderId="1" fillId="6" fontId="5" numFmtId="0" xfId="0" applyAlignment="1" applyBorder="1" applyFont="1">
      <alignment vertical="center"/>
    </xf>
    <xf borderId="1" fillId="6" fontId="9" numFmtId="0" xfId="0" applyAlignment="1" applyBorder="1" applyFont="1">
      <alignment vertical="center"/>
    </xf>
    <xf borderId="5" fillId="7" fontId="8" numFmtId="0" xfId="0" applyAlignment="1" applyBorder="1" applyFill="1" applyFont="1">
      <alignment horizontal="center" readingOrder="0" vertical="center"/>
    </xf>
    <xf borderId="1" fillId="7" fontId="9" numFmtId="0" xfId="0" applyAlignment="1" applyBorder="1" applyFont="1">
      <alignment readingOrder="0" vertical="center"/>
    </xf>
    <xf borderId="1" fillId="7" fontId="5" numFmtId="0" xfId="0" applyAlignment="1" applyBorder="1" applyFont="1">
      <alignment vertical="center"/>
    </xf>
    <xf borderId="1" fillId="7" fontId="9" numFmtId="0" xfId="0" applyAlignment="1" applyBorder="1" applyFont="1">
      <alignment vertical="center"/>
    </xf>
    <xf borderId="5" fillId="8" fontId="8" numFmtId="0" xfId="0" applyAlignment="1" applyBorder="1" applyFill="1" applyFont="1">
      <alignment horizontal="center" readingOrder="0" vertical="center"/>
    </xf>
    <xf borderId="1" fillId="8" fontId="9" numFmtId="0" xfId="0" applyAlignment="1" applyBorder="1" applyFont="1">
      <alignment readingOrder="0" vertical="center"/>
    </xf>
    <xf borderId="1" fillId="8" fontId="5" numFmtId="0" xfId="0" applyAlignment="1" applyBorder="1" applyFont="1">
      <alignment vertical="center"/>
    </xf>
    <xf borderId="1" fillId="8" fontId="9" numFmtId="0" xfId="0" applyAlignment="1" applyBorder="1" applyFont="1">
      <alignment vertical="center"/>
    </xf>
    <xf borderId="0" fillId="0" fontId="11" numFmtId="0" xfId="0" applyAlignment="1" applyFont="1">
      <alignment horizontal="center" vertical="center"/>
    </xf>
    <xf borderId="6" fillId="8" fontId="12" numFmtId="0" xfId="0" applyAlignment="1" applyBorder="1" applyFont="1">
      <alignment horizontal="center" shrinkToFit="0" vertical="center" wrapText="1"/>
    </xf>
    <xf borderId="2" fillId="8" fontId="12" numFmtId="0" xfId="0" applyAlignment="1" applyBorder="1" applyFont="1">
      <alignment horizontal="center" shrinkToFit="0" vertical="center" wrapText="1"/>
    </xf>
    <xf borderId="6" fillId="8" fontId="12" numFmtId="0" xfId="0" applyAlignment="1" applyBorder="1" applyFont="1">
      <alignment horizontal="center" readingOrder="0" shrinkToFit="0" vertical="center" wrapText="1"/>
    </xf>
    <xf borderId="0" fillId="8" fontId="12" numFmtId="0" xfId="0" applyAlignment="1" applyFont="1">
      <alignment readingOrder="0" vertical="center"/>
    </xf>
    <xf borderId="6" fillId="0" fontId="13" numFmtId="0" xfId="0" applyAlignment="1" applyBorder="1" applyFont="1">
      <alignment horizontal="center" readingOrder="0" shrinkToFit="0" vertical="center" wrapText="1"/>
    </xf>
    <xf borderId="2" fillId="0" fontId="13" numFmtId="0" xfId="0" applyAlignment="1" applyBorder="1" applyFont="1">
      <alignment readingOrder="0" shrinkToFit="0" vertical="center" wrapText="1"/>
    </xf>
    <xf borderId="6" fillId="0" fontId="13" numFmtId="0" xfId="0" applyAlignment="1" applyBorder="1" applyFont="1">
      <alignment readingOrder="0" shrinkToFit="0" vertical="center" wrapText="1"/>
    </xf>
    <xf borderId="6" fillId="0" fontId="13" numFmtId="0" xfId="0" applyAlignment="1" applyBorder="1" applyFont="1">
      <alignment shrinkToFit="0" vertical="center" wrapText="1"/>
    </xf>
    <xf borderId="6" fillId="0" fontId="13" numFmtId="0" xfId="0" applyAlignment="1" applyBorder="1" applyFont="1">
      <alignment vertical="center"/>
    </xf>
    <xf borderId="6" fillId="0" fontId="13" numFmtId="0" xfId="0" applyAlignment="1" applyBorder="1" applyFont="1">
      <alignment horizontal="center" shrinkToFit="0" vertical="center" wrapText="1"/>
    </xf>
    <xf borderId="2" fillId="0" fontId="13" numFmtId="0" xfId="0" applyAlignment="1" applyBorder="1" applyFont="1">
      <alignment shrinkToFit="0" vertical="center" wrapText="1"/>
    </xf>
    <xf borderId="0" fillId="9" fontId="14" numFmtId="0" xfId="0" applyAlignment="1" applyFill="1" applyFont="1">
      <alignment horizontal="center" readingOrder="0" vertical="center"/>
    </xf>
    <xf borderId="0" fillId="0" fontId="15" numFmtId="0" xfId="0" applyAlignment="1" applyFont="1">
      <alignment vertical="center"/>
    </xf>
    <xf borderId="0" fillId="0" fontId="1" numFmtId="0" xfId="0" applyFont="1"/>
    <xf borderId="0" fillId="10" fontId="14" numFmtId="0" xfId="0" applyAlignment="1" applyFill="1" applyFont="1">
      <alignment horizontal="center" readingOrder="0" shrinkToFit="0" vertical="center" wrapText="1"/>
    </xf>
    <xf borderId="0" fillId="0" fontId="16" numFmtId="0" xfId="0" applyAlignment="1" applyFont="1">
      <alignment readingOrder="0" shrinkToFit="0" vertical="center" wrapText="0"/>
    </xf>
    <xf borderId="0" fillId="11" fontId="17" numFmtId="0" xfId="0" applyAlignment="1" applyFill="1" applyFont="1">
      <alignment horizontal="center" readingOrder="0" vertical="center"/>
    </xf>
    <xf borderId="9" fillId="3" fontId="16" numFmtId="0" xfId="0" applyAlignment="1" applyBorder="1" applyFont="1">
      <alignment horizontal="center" readingOrder="0" vertical="center"/>
    </xf>
    <xf borderId="10" fillId="0" fontId="7" numFmtId="0" xfId="0" applyBorder="1" applyFont="1"/>
    <xf borderId="11" fillId="0" fontId="7" numFmtId="0" xfId="0" applyBorder="1" applyFont="1"/>
    <xf borderId="12" fillId="3" fontId="16" numFmtId="0" xfId="0" applyAlignment="1" applyBorder="1" applyFont="1">
      <alignment horizontal="center" readingOrder="0" vertical="center"/>
    </xf>
    <xf borderId="13" fillId="3" fontId="16" numFmtId="0" xfId="0" applyAlignment="1" applyBorder="1" applyFont="1">
      <alignment horizontal="center" readingOrder="0" shrinkToFit="0" vertical="center" wrapText="1"/>
    </xf>
    <xf borderId="9" fillId="12" fontId="18" numFmtId="0" xfId="0" applyAlignment="1" applyBorder="1" applyFill="1" applyFont="1">
      <alignment horizontal="center" readingOrder="0" vertical="center"/>
    </xf>
    <xf borderId="14" fillId="0" fontId="7" numFmtId="0" xfId="0" applyBorder="1" applyFont="1"/>
    <xf borderId="9" fillId="13" fontId="18" numFmtId="0" xfId="0" applyAlignment="1" applyBorder="1" applyFill="1" applyFont="1">
      <alignment horizontal="center" readingOrder="0" vertical="center"/>
    </xf>
    <xf borderId="0" fillId="14" fontId="16" numFmtId="3" xfId="0" applyAlignment="1" applyFill="1" applyFont="1" applyNumberFormat="1">
      <alignment horizontal="center" readingOrder="0" shrinkToFit="0" vertical="center" wrapText="1"/>
    </xf>
    <xf borderId="0" fillId="0" fontId="1" numFmtId="3" xfId="0" applyFont="1" applyNumberFormat="1"/>
    <xf borderId="15" fillId="3" fontId="16" numFmtId="0" xfId="0" applyAlignment="1" applyBorder="1" applyFont="1">
      <alignment horizontal="center" readingOrder="0" vertical="center"/>
    </xf>
    <xf borderId="16" fillId="0" fontId="7" numFmtId="0" xfId="0" applyBorder="1" applyFont="1"/>
    <xf borderId="17" fillId="0" fontId="7" numFmtId="0" xfId="0" applyBorder="1" applyFont="1"/>
    <xf borderId="18" fillId="3" fontId="16" numFmtId="0" xfId="0" applyAlignment="1" applyBorder="1" applyFont="1">
      <alignment horizontal="center" readingOrder="0" vertical="center"/>
    </xf>
    <xf borderId="19" fillId="3" fontId="16" numFmtId="0" xfId="0" applyAlignment="1" applyBorder="1" applyFont="1">
      <alignment horizontal="center" readingOrder="0" shrinkToFit="0" vertical="center" wrapText="1"/>
    </xf>
    <xf borderId="20" fillId="3" fontId="16" numFmtId="0" xfId="0" applyAlignment="1" applyBorder="1" applyFont="1">
      <alignment horizontal="center" readingOrder="0" shrinkToFit="0" vertical="center" wrapText="1"/>
    </xf>
    <xf borderId="16" fillId="3" fontId="16" numFmtId="0" xfId="0" applyAlignment="1" applyBorder="1" applyFont="1">
      <alignment horizontal="center" readingOrder="0" shrinkToFit="0" vertical="center" wrapText="1"/>
    </xf>
    <xf borderId="21" fillId="3" fontId="19" numFmtId="3" xfId="0" applyAlignment="1" applyBorder="1" applyFont="1" applyNumberFormat="1">
      <alignment horizontal="right" readingOrder="0" vertical="center"/>
    </xf>
    <xf borderId="18" fillId="12" fontId="18" numFmtId="0" xfId="0" applyAlignment="1" applyBorder="1" applyFont="1">
      <alignment horizontal="center" readingOrder="0" vertical="center"/>
    </xf>
    <xf borderId="19" fillId="12" fontId="18" numFmtId="0" xfId="0" applyAlignment="1" applyBorder="1" applyFont="1">
      <alignment horizontal="center" readingOrder="0" shrinkToFit="0" vertical="center" wrapText="1"/>
    </xf>
    <xf borderId="16" fillId="12" fontId="18" numFmtId="0" xfId="0" applyAlignment="1" applyBorder="1" applyFont="1">
      <alignment horizontal="center" readingOrder="0" shrinkToFit="0" vertical="center" wrapText="1"/>
    </xf>
    <xf borderId="18" fillId="13" fontId="18" numFmtId="0" xfId="0" applyAlignment="1" applyBorder="1" applyFont="1">
      <alignment horizontal="center" readingOrder="0" vertical="center"/>
    </xf>
    <xf borderId="19" fillId="13" fontId="18" numFmtId="0" xfId="0" applyAlignment="1" applyBorder="1" applyFont="1">
      <alignment horizontal="center" readingOrder="0" shrinkToFit="0" vertical="center" wrapText="1"/>
    </xf>
    <xf borderId="22" fillId="13" fontId="18" numFmtId="0" xfId="0" applyAlignment="1" applyBorder="1" applyFont="1">
      <alignment horizontal="center" readingOrder="0" shrinkToFit="0" vertical="center" wrapText="1"/>
    </xf>
    <xf borderId="0" fillId="15" fontId="14" numFmtId="0" xfId="0" applyAlignment="1" applyFill="1" applyFont="1">
      <alignment horizontal="center" readingOrder="0" shrinkToFit="0" vertical="center" wrapText="1"/>
    </xf>
    <xf borderId="23" fillId="0" fontId="20" numFmtId="0" xfId="0" applyAlignment="1" applyBorder="1" applyFont="1">
      <alignment horizontal="center" readingOrder="0" vertical="center"/>
    </xf>
    <xf borderId="24" fillId="0" fontId="21" numFmtId="0" xfId="0" applyAlignment="1" applyBorder="1" applyFont="1">
      <alignment readingOrder="0" vertical="center"/>
    </xf>
    <xf borderId="24" fillId="0" fontId="20" numFmtId="0" xfId="0" applyAlignment="1" applyBorder="1" applyFont="1">
      <alignment readingOrder="0" vertical="center"/>
    </xf>
    <xf borderId="25" fillId="0" fontId="20" numFmtId="3" xfId="0" applyAlignment="1" applyBorder="1" applyFont="1" applyNumberFormat="1">
      <alignment horizontal="center" readingOrder="0" shrinkToFit="0" vertical="center" wrapText="1"/>
    </xf>
    <xf borderId="23" fillId="0" fontId="20" numFmtId="3" xfId="0" applyAlignment="1" applyBorder="1" applyFont="1" applyNumberFormat="1">
      <alignment horizontal="right" vertical="center"/>
    </xf>
    <xf borderId="24" fillId="0" fontId="20" numFmtId="3" xfId="0" applyAlignment="1" applyBorder="1" applyFont="1" applyNumberFormat="1">
      <alignment horizontal="right" vertical="center"/>
    </xf>
    <xf borderId="26" fillId="0" fontId="22" numFmtId="3" xfId="0" applyAlignment="1" applyBorder="1" applyFont="1" applyNumberFormat="1">
      <alignment horizontal="right" vertical="center"/>
    </xf>
    <xf borderId="27" fillId="0" fontId="22" numFmtId="3" xfId="0" applyAlignment="1" applyBorder="1" applyFont="1" applyNumberFormat="1">
      <alignment horizontal="right" readingOrder="0" vertical="center"/>
    </xf>
    <xf borderId="28" fillId="0" fontId="20" numFmtId="3" xfId="0" applyAlignment="1" applyBorder="1" applyFont="1" applyNumberFormat="1">
      <alignment horizontal="right" readingOrder="0" vertical="center"/>
    </xf>
    <xf borderId="23" fillId="0" fontId="15" numFmtId="3" xfId="0" applyAlignment="1" applyBorder="1" applyFont="1" applyNumberFormat="1">
      <alignment horizontal="right" readingOrder="0" vertical="center"/>
    </xf>
    <xf borderId="24" fillId="0" fontId="15" numFmtId="3" xfId="0" applyAlignment="1" applyBorder="1" applyFont="1" applyNumberFormat="1">
      <alignment horizontal="right" readingOrder="0" vertical="center"/>
    </xf>
    <xf borderId="27" fillId="0" fontId="15" numFmtId="3" xfId="0" applyAlignment="1" applyBorder="1" applyFont="1" applyNumberFormat="1">
      <alignment horizontal="right" readingOrder="0" vertical="center"/>
    </xf>
    <xf borderId="25" fillId="0" fontId="15" numFmtId="3" xfId="0" applyAlignment="1" applyBorder="1" applyFont="1" applyNumberFormat="1">
      <alignment horizontal="right" readingOrder="0" vertical="center"/>
    </xf>
    <xf borderId="0" fillId="16" fontId="23" numFmtId="164" xfId="0" applyAlignment="1" applyFill="1" applyFont="1" applyNumberFormat="1">
      <alignment horizontal="right" readingOrder="0" shrinkToFit="0" vertical="center" wrapText="1"/>
    </xf>
    <xf borderId="29" fillId="17" fontId="20" numFmtId="0" xfId="0" applyAlignment="1" applyBorder="1" applyFill="1" applyFont="1">
      <alignment horizontal="center" readingOrder="0" vertical="center"/>
    </xf>
    <xf borderId="30" fillId="17" fontId="21" numFmtId="0" xfId="0" applyAlignment="1" applyBorder="1" applyFont="1">
      <alignment vertical="center"/>
    </xf>
    <xf borderId="30" fillId="17" fontId="20" numFmtId="0" xfId="0" applyAlignment="1" applyBorder="1" applyFont="1">
      <alignment vertical="center"/>
    </xf>
    <xf borderId="31" fillId="17" fontId="20" numFmtId="3" xfId="0" applyAlignment="1" applyBorder="1" applyFont="1" applyNumberFormat="1">
      <alignment horizontal="center" readingOrder="0" shrinkToFit="0" vertical="center" wrapText="1"/>
    </xf>
    <xf borderId="29" fillId="17" fontId="15" numFmtId="3" xfId="0" applyAlignment="1" applyBorder="1" applyFont="1" applyNumberFormat="1">
      <alignment horizontal="right" vertical="center"/>
    </xf>
    <xf borderId="30" fillId="17" fontId="15" numFmtId="3" xfId="0" applyAlignment="1" applyBorder="1" applyFont="1" applyNumberFormat="1">
      <alignment horizontal="right" vertical="center"/>
    </xf>
    <xf borderId="32" fillId="17" fontId="22" numFmtId="3" xfId="0" applyAlignment="1" applyBorder="1" applyFont="1" applyNumberFormat="1">
      <alignment horizontal="right" readingOrder="0" vertical="center"/>
    </xf>
    <xf borderId="33" fillId="17" fontId="22" numFmtId="3" xfId="0" applyAlignment="1" applyBorder="1" applyFont="1" applyNumberFormat="1">
      <alignment horizontal="right" readingOrder="0" vertical="center"/>
    </xf>
    <xf borderId="34" fillId="11" fontId="20" numFmtId="3" xfId="0" applyAlignment="1" applyBorder="1" applyFont="1" applyNumberFormat="1">
      <alignment horizontal="right" readingOrder="0" vertical="center"/>
    </xf>
    <xf borderId="29" fillId="6" fontId="15" numFmtId="3" xfId="0" applyAlignment="1" applyBorder="1" applyFont="1" applyNumberFormat="1">
      <alignment horizontal="right" readingOrder="0" vertical="center"/>
    </xf>
    <xf borderId="30" fillId="6" fontId="15" numFmtId="3" xfId="0" applyAlignment="1" applyBorder="1" applyFont="1" applyNumberFormat="1">
      <alignment horizontal="right" readingOrder="0" vertical="center"/>
    </xf>
    <xf borderId="33" fillId="6" fontId="15" numFmtId="3" xfId="0" applyAlignment="1" applyBorder="1" applyFont="1" applyNumberFormat="1">
      <alignment horizontal="right" readingOrder="0" vertical="center"/>
    </xf>
    <xf borderId="29" fillId="18" fontId="15" numFmtId="3" xfId="0" applyAlignment="1" applyBorder="1" applyFill="1" applyFont="1" applyNumberFormat="1">
      <alignment horizontal="right" readingOrder="0" vertical="center"/>
    </xf>
    <xf borderId="30" fillId="18" fontId="15" numFmtId="3" xfId="0" applyAlignment="1" applyBorder="1" applyFont="1" applyNumberFormat="1">
      <alignment horizontal="right" readingOrder="0" vertical="center"/>
    </xf>
    <xf borderId="31" fillId="18" fontId="15" numFmtId="3" xfId="0" applyAlignment="1" applyBorder="1" applyFont="1" applyNumberFormat="1">
      <alignment horizontal="right" readingOrder="0" vertical="center"/>
    </xf>
    <xf borderId="0" fillId="0" fontId="1" numFmtId="0" xfId="0" applyAlignment="1" applyFont="1">
      <alignment readingOrder="0"/>
    </xf>
    <xf borderId="29" fillId="0" fontId="20" numFmtId="0" xfId="0" applyAlignment="1" applyBorder="1" applyFont="1">
      <alignment horizontal="center" readingOrder="0" vertical="center"/>
    </xf>
    <xf borderId="30" fillId="0" fontId="21" numFmtId="0" xfId="0" applyAlignment="1" applyBorder="1" applyFont="1">
      <alignment readingOrder="0" vertical="center"/>
    </xf>
    <xf borderId="30" fillId="0" fontId="20" numFmtId="0" xfId="0" applyAlignment="1" applyBorder="1" applyFont="1">
      <alignment readingOrder="0" vertical="center"/>
    </xf>
    <xf borderId="31" fillId="0" fontId="20" numFmtId="3" xfId="0" applyAlignment="1" applyBorder="1" applyFont="1" applyNumberFormat="1">
      <alignment horizontal="center" readingOrder="0" shrinkToFit="0" vertical="center" wrapText="1"/>
    </xf>
    <xf borderId="29" fillId="0" fontId="20" numFmtId="3" xfId="0" applyAlignment="1" applyBorder="1" applyFont="1" applyNumberFormat="1">
      <alignment horizontal="right" vertical="center"/>
    </xf>
    <xf borderId="30" fillId="0" fontId="20" numFmtId="3" xfId="0" applyAlignment="1" applyBorder="1" applyFont="1" applyNumberFormat="1">
      <alignment horizontal="right" vertical="center"/>
    </xf>
    <xf borderId="32" fillId="0" fontId="22" numFmtId="3" xfId="0" applyAlignment="1" applyBorder="1" applyFont="1" applyNumberFormat="1">
      <alignment horizontal="right" readingOrder="0" vertical="center"/>
    </xf>
    <xf borderId="33" fillId="0" fontId="22" numFmtId="3" xfId="0" applyAlignment="1" applyBorder="1" applyFont="1" applyNumberFormat="1">
      <alignment horizontal="right" readingOrder="0" vertical="center"/>
    </xf>
    <xf borderId="34" fillId="0" fontId="20" numFmtId="3" xfId="0" applyAlignment="1" applyBorder="1" applyFont="1" applyNumberFormat="1">
      <alignment horizontal="right" readingOrder="0" vertical="center"/>
    </xf>
    <xf borderId="29" fillId="0" fontId="15" numFmtId="3" xfId="0" applyAlignment="1" applyBorder="1" applyFont="1" applyNumberFormat="1">
      <alignment horizontal="right" readingOrder="0" vertical="center"/>
    </xf>
    <xf borderId="30" fillId="0" fontId="15" numFmtId="3" xfId="0" applyAlignment="1" applyBorder="1" applyFont="1" applyNumberFormat="1">
      <alignment horizontal="right" readingOrder="0" vertical="center"/>
    </xf>
    <xf borderId="33" fillId="0" fontId="15" numFmtId="3" xfId="0" applyAlignment="1" applyBorder="1" applyFont="1" applyNumberFormat="1">
      <alignment horizontal="right" readingOrder="0" vertical="center"/>
    </xf>
    <xf borderId="31" fillId="0" fontId="15" numFmtId="3" xfId="0" applyAlignment="1" applyBorder="1" applyFont="1" applyNumberFormat="1">
      <alignment horizontal="right" readingOrder="0" vertical="center"/>
    </xf>
    <xf borderId="30" fillId="17" fontId="21" numFmtId="0" xfId="0" applyAlignment="1" applyBorder="1" applyFont="1">
      <alignment readingOrder="0" vertical="center"/>
    </xf>
    <xf borderId="30" fillId="17" fontId="20" numFmtId="0" xfId="0" applyAlignment="1" applyBorder="1" applyFont="1">
      <alignment readingOrder="0" vertical="center"/>
    </xf>
    <xf borderId="29" fillId="17" fontId="15" numFmtId="3" xfId="0" applyAlignment="1" applyBorder="1" applyFont="1" applyNumberFormat="1">
      <alignment horizontal="right" readingOrder="0" vertical="center"/>
    </xf>
    <xf borderId="30" fillId="17" fontId="15" numFmtId="3" xfId="0" applyAlignment="1" applyBorder="1" applyFont="1" applyNumberFormat="1">
      <alignment horizontal="right" readingOrder="0" vertical="center"/>
    </xf>
    <xf borderId="29" fillId="0" fontId="20" numFmtId="3" xfId="0" applyAlignment="1" applyBorder="1" applyFont="1" applyNumberFormat="1">
      <alignment horizontal="right" readingOrder="0" vertical="center"/>
    </xf>
    <xf borderId="30" fillId="0" fontId="20" numFmtId="3" xfId="0" applyAlignment="1" applyBorder="1" applyFont="1" applyNumberFormat="1">
      <alignment horizontal="right" readingOrder="0" vertical="center"/>
    </xf>
    <xf borderId="35" fillId="3" fontId="16" numFmtId="0" xfId="0" applyAlignment="1" applyBorder="1" applyFont="1">
      <alignment horizontal="center" readingOrder="0" vertical="center"/>
    </xf>
    <xf borderId="36" fillId="0" fontId="7" numFmtId="0" xfId="0" applyBorder="1" applyFont="1"/>
    <xf borderId="37" fillId="0" fontId="7" numFmtId="0" xfId="0" applyBorder="1" applyFont="1"/>
    <xf borderId="38" fillId="3" fontId="16" numFmtId="0" xfId="0" applyAlignment="1" applyBorder="1" applyFont="1">
      <alignment horizontal="center" readingOrder="0" vertical="center"/>
    </xf>
    <xf borderId="39" fillId="3" fontId="16" numFmtId="0" xfId="0" applyAlignment="1" applyBorder="1" applyFont="1">
      <alignment horizontal="center" readingOrder="0" vertical="center"/>
    </xf>
    <xf borderId="40" fillId="3" fontId="16" numFmtId="0" xfId="0" applyAlignment="1" applyBorder="1" applyFont="1">
      <alignment horizontal="center" vertical="center"/>
    </xf>
    <xf borderId="36" fillId="3" fontId="16" numFmtId="0" xfId="0" applyAlignment="1" applyBorder="1" applyFont="1">
      <alignment horizontal="center" vertical="center"/>
    </xf>
    <xf borderId="41" fillId="3" fontId="16" numFmtId="3" xfId="0" applyAlignment="1" applyBorder="1" applyFont="1" applyNumberFormat="1">
      <alignment horizontal="center" vertical="center"/>
    </xf>
    <xf borderId="38" fillId="12" fontId="18" numFmtId="0" xfId="0" applyAlignment="1" applyBorder="1" applyFont="1">
      <alignment horizontal="center" readingOrder="0" vertical="center"/>
    </xf>
    <xf borderId="39" fillId="12" fontId="18" numFmtId="0" xfId="0" applyAlignment="1" applyBorder="1" applyFont="1">
      <alignment horizontal="center" readingOrder="0" vertical="center"/>
    </xf>
    <xf borderId="36" fillId="12" fontId="18" numFmtId="0" xfId="0" applyAlignment="1" applyBorder="1" applyFont="1">
      <alignment horizontal="center" vertical="center"/>
    </xf>
    <xf borderId="38" fillId="13" fontId="18" numFmtId="0" xfId="0" applyAlignment="1" applyBorder="1" applyFont="1">
      <alignment horizontal="center" readingOrder="0" vertical="center"/>
    </xf>
    <xf borderId="39" fillId="13" fontId="18" numFmtId="0" xfId="0" applyAlignment="1" applyBorder="1" applyFont="1">
      <alignment horizontal="center" readingOrder="0" vertical="center"/>
    </xf>
    <xf borderId="42" fillId="13" fontId="18" numFmtId="0" xfId="0" applyAlignment="1" applyBorder="1" applyFont="1">
      <alignment horizontal="center" vertical="center"/>
    </xf>
    <xf borderId="23" fillId="0" fontId="20" numFmtId="3" xfId="0" applyAlignment="1" applyBorder="1" applyFont="1" applyNumberFormat="1">
      <alignment horizontal="right" readingOrder="0" vertical="center"/>
    </xf>
    <xf borderId="24" fillId="0" fontId="20" numFmtId="3" xfId="0" applyAlignment="1" applyBorder="1" applyFont="1" applyNumberFormat="1">
      <alignment horizontal="right" readingOrder="0" vertical="center"/>
    </xf>
    <xf borderId="26" fillId="0" fontId="22" numFmtId="3" xfId="0" applyAlignment="1" applyBorder="1" applyFont="1" applyNumberFormat="1">
      <alignment horizontal="right" readingOrder="0" vertical="center"/>
    </xf>
    <xf borderId="0" fillId="16" fontId="23" numFmtId="3" xfId="0" applyAlignment="1" applyFont="1" applyNumberFormat="1">
      <alignment horizontal="right" readingOrder="0" shrinkToFit="0" vertical="center" wrapText="1"/>
    </xf>
    <xf borderId="18" fillId="0" fontId="20" numFmtId="0" xfId="0" applyAlignment="1" applyBorder="1" applyFont="1">
      <alignment horizontal="center" readingOrder="0" vertical="center"/>
    </xf>
    <xf borderId="19" fillId="0" fontId="21" numFmtId="0" xfId="0" applyAlignment="1" applyBorder="1" applyFont="1">
      <alignment readingOrder="0" vertical="center"/>
    </xf>
    <xf borderId="19" fillId="0" fontId="20" numFmtId="0" xfId="0" applyAlignment="1" applyBorder="1" applyFont="1">
      <alignment readingOrder="0" vertical="center"/>
    </xf>
    <xf borderId="22" fillId="0" fontId="20" numFmtId="3" xfId="0" applyAlignment="1" applyBorder="1" applyFont="1" applyNumberFormat="1">
      <alignment horizontal="center" readingOrder="0" shrinkToFit="0" vertical="center" wrapText="1"/>
    </xf>
    <xf borderId="16" fillId="0" fontId="20" numFmtId="3" xfId="0" applyAlignment="1" applyBorder="1" applyFont="1" applyNumberFormat="1">
      <alignment horizontal="right" readingOrder="0" vertical="center"/>
    </xf>
    <xf borderId="21" fillId="0" fontId="20" numFmtId="3" xfId="0" applyAlignment="1" applyBorder="1" applyFont="1" applyNumberFormat="1">
      <alignment horizontal="right" readingOrder="0" vertical="center"/>
    </xf>
    <xf borderId="18" fillId="0" fontId="15" numFmtId="3" xfId="0" applyAlignment="1" applyBorder="1" applyFont="1" applyNumberFormat="1">
      <alignment horizontal="right" readingOrder="0" vertical="center"/>
    </xf>
    <xf borderId="19" fillId="0" fontId="15" numFmtId="3" xfId="0" applyAlignment="1" applyBorder="1" applyFont="1" applyNumberFormat="1">
      <alignment horizontal="right" readingOrder="0" vertical="center"/>
    </xf>
    <xf borderId="16" fillId="0" fontId="15" numFmtId="3" xfId="0" applyAlignment="1" applyBorder="1" applyFont="1" applyNumberFormat="1">
      <alignment horizontal="right" readingOrder="0" vertical="center"/>
    </xf>
    <xf borderId="0" fillId="16" fontId="23" numFmtId="14" xfId="0" applyAlignment="1" applyFont="1" applyNumberFormat="1">
      <alignment horizontal="right" readingOrder="0" shrinkToFit="0" vertical="center" wrapText="1"/>
    </xf>
    <xf borderId="40" fillId="3" fontId="16" numFmtId="0" xfId="0" applyAlignment="1" applyBorder="1" applyFont="1">
      <alignment horizontal="center" readingOrder="0" vertical="center"/>
    </xf>
    <xf borderId="36" fillId="3" fontId="16" numFmtId="0" xfId="0" applyAlignment="1" applyBorder="1" applyFont="1">
      <alignment horizontal="center" readingOrder="0" vertical="center"/>
    </xf>
    <xf borderId="41" fillId="3" fontId="16" numFmtId="3" xfId="0" applyAlignment="1" applyBorder="1" applyFont="1" applyNumberFormat="1">
      <alignment horizontal="center" readingOrder="0" shrinkToFit="0" vertical="center" wrapText="0"/>
    </xf>
    <xf borderId="36" fillId="12" fontId="18" numFmtId="0" xfId="0" applyAlignment="1" applyBorder="1" applyFont="1">
      <alignment horizontal="center" readingOrder="0" vertical="center"/>
    </xf>
    <xf borderId="42" fillId="13" fontId="18" numFmtId="0" xfId="0" applyAlignment="1" applyBorder="1" applyFont="1">
      <alignment horizontal="center" readingOrder="0" vertical="center"/>
    </xf>
    <xf borderId="33" fillId="17" fontId="22" numFmtId="3" xfId="0" applyAlignment="1" applyBorder="1" applyFont="1" applyNumberFormat="1">
      <alignment horizontal="right" vertical="center"/>
    </xf>
    <xf borderId="23" fillId="0" fontId="15" numFmtId="3" xfId="0" applyAlignment="1" applyBorder="1" applyFont="1" applyNumberFormat="1">
      <alignment horizontal="right" vertical="center"/>
    </xf>
    <xf borderId="26" fillId="0" fontId="20" numFmtId="0" xfId="0" applyAlignment="1" applyBorder="1" applyFont="1">
      <alignment readingOrder="0" vertical="center"/>
    </xf>
    <xf borderId="27" fillId="0" fontId="20" numFmtId="0" xfId="0" applyAlignment="1" applyBorder="1" applyFont="1">
      <alignment readingOrder="0" vertical="center"/>
    </xf>
    <xf borderId="24" fillId="0" fontId="15" numFmtId="3" xfId="0" applyAlignment="1" applyBorder="1" applyFont="1" applyNumberFormat="1">
      <alignment horizontal="right" vertical="center"/>
    </xf>
    <xf borderId="27" fillId="0" fontId="15" numFmtId="0" xfId="0" applyAlignment="1" applyBorder="1" applyFont="1">
      <alignment readingOrder="0" vertical="center"/>
    </xf>
    <xf borderId="25" fillId="0" fontId="15" numFmtId="0" xfId="0" applyAlignment="1" applyBorder="1" applyFont="1">
      <alignment readingOrder="0" vertical="center"/>
    </xf>
    <xf borderId="29" fillId="0" fontId="15" numFmtId="0" xfId="0" applyAlignment="1" applyBorder="1" applyFont="1">
      <alignment horizontal="center" vertical="center"/>
    </xf>
    <xf borderId="30" fillId="0" fontId="15" numFmtId="0" xfId="0" applyAlignment="1" applyBorder="1" applyFont="1">
      <alignment vertical="center"/>
    </xf>
    <xf borderId="31" fillId="0" fontId="15" numFmtId="3" xfId="0" applyAlignment="1" applyBorder="1" applyFont="1" applyNumberFormat="1">
      <alignment horizontal="center" shrinkToFit="0" vertical="center" wrapText="1"/>
    </xf>
    <xf borderId="29" fillId="0" fontId="15" numFmtId="3" xfId="0" applyAlignment="1" applyBorder="1" applyFont="1" applyNumberFormat="1">
      <alignment horizontal="right" vertical="center"/>
    </xf>
    <xf borderId="30" fillId="0" fontId="15" numFmtId="3" xfId="0" applyAlignment="1" applyBorder="1" applyFont="1" applyNumberFormat="1">
      <alignment vertical="center"/>
    </xf>
    <xf borderId="32" fillId="0" fontId="15" numFmtId="0" xfId="0" applyAlignment="1" applyBorder="1" applyFont="1">
      <alignment vertical="center"/>
    </xf>
    <xf borderId="33" fillId="0" fontId="15" numFmtId="0" xfId="0" applyAlignment="1" applyBorder="1" applyFont="1">
      <alignment vertical="center"/>
    </xf>
    <xf borderId="34" fillId="0" fontId="15" numFmtId="0" xfId="0" applyAlignment="1" applyBorder="1" applyFont="1">
      <alignment vertical="center"/>
    </xf>
    <xf borderId="31" fillId="0" fontId="15" numFmtId="0" xfId="0" applyAlignment="1" applyBorder="1" applyFont="1">
      <alignment vertical="center"/>
    </xf>
    <xf borderId="0" fillId="15" fontId="15" numFmtId="3" xfId="0" applyAlignment="1" applyFont="1" applyNumberFormat="1">
      <alignment vertical="center"/>
    </xf>
    <xf borderId="43" fillId="3" fontId="14" numFmtId="0" xfId="0" applyAlignment="1" applyBorder="1" applyFont="1">
      <alignment vertical="center"/>
    </xf>
    <xf borderId="44" fillId="3" fontId="14" numFmtId="0" xfId="0" applyAlignment="1" applyBorder="1" applyFont="1">
      <alignment vertical="center"/>
    </xf>
    <xf borderId="45" fillId="3" fontId="14" numFmtId="0" xfId="0" applyAlignment="1" applyBorder="1" applyFont="1">
      <alignment vertical="center"/>
    </xf>
    <xf borderId="43" fillId="3" fontId="14" numFmtId="0" xfId="0" applyAlignment="1" applyBorder="1" applyFont="1">
      <alignment readingOrder="0" vertical="center"/>
    </xf>
    <xf borderId="44" fillId="3" fontId="14" numFmtId="3" xfId="0" applyAlignment="1" applyBorder="1" applyFont="1" applyNumberFormat="1">
      <alignment horizontal="right" readingOrder="0" vertical="center"/>
    </xf>
    <xf borderId="46" fillId="3" fontId="14" numFmtId="0" xfId="0" applyAlignment="1" applyBorder="1" applyFont="1">
      <alignment vertical="center"/>
    </xf>
    <xf borderId="47" fillId="3" fontId="14" numFmtId="0" xfId="0" applyAlignment="1" applyBorder="1" applyFont="1">
      <alignment vertical="center"/>
    </xf>
    <xf borderId="48" fillId="3" fontId="14" numFmtId="0" xfId="0" applyAlignment="1" applyBorder="1" applyFont="1">
      <alignment vertical="center"/>
    </xf>
    <xf borderId="43" fillId="12" fontId="24" numFmtId="0" xfId="0" applyAlignment="1" applyBorder="1" applyFont="1">
      <alignment readingOrder="0" vertical="center"/>
    </xf>
    <xf borderId="44" fillId="12" fontId="24" numFmtId="3" xfId="0" applyAlignment="1" applyBorder="1" applyFont="1" applyNumberFormat="1">
      <alignment horizontal="right" readingOrder="0" vertical="center"/>
    </xf>
    <xf borderId="47" fillId="12" fontId="24" numFmtId="0" xfId="0" applyAlignment="1" applyBorder="1" applyFont="1">
      <alignment vertical="center"/>
    </xf>
    <xf borderId="43" fillId="13" fontId="24" numFmtId="0" xfId="0" applyAlignment="1" applyBorder="1" applyFont="1">
      <alignment readingOrder="0" vertical="center"/>
    </xf>
    <xf borderId="44" fillId="13" fontId="24" numFmtId="3" xfId="0" applyAlignment="1" applyBorder="1" applyFont="1" applyNumberFormat="1">
      <alignment horizontal="right" readingOrder="0" vertical="center"/>
    </xf>
    <xf borderId="45" fillId="13" fontId="24" numFmtId="0" xfId="0" applyAlignment="1" applyBorder="1" applyFont="1">
      <alignment vertical="center"/>
    </xf>
    <xf borderId="0" fillId="0" fontId="25" numFmtId="0" xfId="0" applyAlignment="1" applyFont="1">
      <alignment readingOrder="0" shrinkToFit="0" vertical="center" wrapText="0"/>
    </xf>
    <xf borderId="0" fillId="0" fontId="20" numFmtId="0" xfId="0" applyAlignment="1" applyFont="1">
      <alignment shrinkToFit="0" vertical="center" wrapText="0"/>
    </xf>
    <xf borderId="0" fillId="0" fontId="14" numFmtId="0" xfId="0" applyAlignment="1" applyFont="1">
      <alignment readingOrder="0" shrinkToFit="0" vertical="center" wrapText="0"/>
    </xf>
    <xf borderId="0" fillId="0" fontId="26" numFmtId="0" xfId="0" applyAlignment="1" applyFont="1">
      <alignment readingOrder="0" shrinkToFit="0" vertical="center" wrapText="0"/>
    </xf>
    <xf borderId="0" fillId="0" fontId="18" numFmtId="0" xfId="0" applyAlignment="1" applyFont="1">
      <alignment readingOrder="0" shrinkToFit="0" vertical="center" wrapText="0"/>
    </xf>
    <xf borderId="0" fillId="19" fontId="14" numFmtId="0" xfId="0" applyAlignment="1" applyFill="1" applyFont="1">
      <alignment horizontal="center" readingOrder="0" shrinkToFit="0" vertical="center" wrapText="1"/>
    </xf>
    <xf borderId="0" fillId="19" fontId="16" numFmtId="0" xfId="0" applyAlignment="1" applyFont="1">
      <alignment readingOrder="0" shrinkToFit="0" vertical="center" wrapText="0"/>
    </xf>
    <xf borderId="13" fillId="12" fontId="18" numFmtId="0" xfId="0" applyAlignment="1" applyBorder="1" applyFont="1">
      <alignment horizontal="center" readingOrder="0" vertical="center"/>
    </xf>
    <xf borderId="0" fillId="13" fontId="18" numFmtId="0" xfId="0" applyAlignment="1" applyFont="1">
      <alignment horizontal="center" readingOrder="0" vertical="center"/>
    </xf>
    <xf borderId="22" fillId="12" fontId="18" numFmtId="0" xfId="0" applyAlignment="1" applyBorder="1" applyFont="1">
      <alignment horizontal="center" readingOrder="0" shrinkToFit="0" vertical="center" wrapText="1"/>
    </xf>
    <xf borderId="0" fillId="13" fontId="18" numFmtId="0" xfId="0" applyAlignment="1" applyFont="1">
      <alignment horizontal="center" readingOrder="0" shrinkToFit="0" vertical="center" wrapText="1"/>
    </xf>
    <xf borderId="0" fillId="0" fontId="15" numFmtId="3" xfId="0" applyAlignment="1" applyFont="1" applyNumberFormat="1">
      <alignment horizontal="right" readingOrder="0" vertical="center"/>
    </xf>
    <xf borderId="31" fillId="6" fontId="15" numFmtId="3" xfId="0" applyAlignment="1" applyBorder="1" applyFont="1" applyNumberFormat="1">
      <alignment horizontal="right" readingOrder="0" vertical="center"/>
    </xf>
    <xf borderId="0" fillId="18" fontId="15" numFmtId="3" xfId="0" applyAlignment="1" applyFont="1" applyNumberFormat="1">
      <alignment horizontal="right" readingOrder="0" vertical="center"/>
    </xf>
    <xf borderId="41" fillId="3" fontId="16" numFmtId="0" xfId="0" applyAlignment="1" applyBorder="1" applyFont="1">
      <alignment horizontal="center" vertical="center"/>
    </xf>
    <xf borderId="42" fillId="12" fontId="18" numFmtId="0" xfId="0" applyAlignment="1" applyBorder="1" applyFont="1">
      <alignment horizontal="center" vertical="center"/>
    </xf>
    <xf borderId="0" fillId="13" fontId="18" numFmtId="0" xfId="0" applyAlignment="1" applyFont="1">
      <alignment horizontal="center" vertical="center"/>
    </xf>
    <xf borderId="18" fillId="0" fontId="20" numFmtId="3" xfId="0" applyAlignment="1" applyBorder="1" applyFont="1" applyNumberFormat="1">
      <alignment horizontal="right" readingOrder="0" vertical="center"/>
    </xf>
    <xf borderId="19" fillId="0" fontId="20" numFmtId="3" xfId="0" applyAlignment="1" applyBorder="1" applyFont="1" applyNumberFormat="1">
      <alignment horizontal="right" readingOrder="0" vertical="center"/>
    </xf>
    <xf borderId="20" fillId="0" fontId="20" numFmtId="3" xfId="0" applyAlignment="1" applyBorder="1" applyFont="1" applyNumberFormat="1">
      <alignment horizontal="right" readingOrder="0" vertical="center"/>
    </xf>
    <xf borderId="22" fillId="0" fontId="15" numFmtId="3" xfId="0" applyAlignment="1" applyBorder="1" applyFont="1" applyNumberFormat="1">
      <alignment horizontal="right" readingOrder="0" vertical="center"/>
    </xf>
    <xf borderId="41" fillId="3" fontId="16" numFmtId="0" xfId="0" applyAlignment="1" applyBorder="1" applyFont="1">
      <alignment horizontal="center" readingOrder="0" shrinkToFit="0" vertical="center" wrapText="0"/>
    </xf>
    <xf borderId="42" fillId="12" fontId="18" numFmtId="0" xfId="0" applyAlignment="1" applyBorder="1" applyFont="1">
      <alignment horizontal="center" readingOrder="0" vertical="center"/>
    </xf>
    <xf borderId="32" fillId="17" fontId="22" numFmtId="3" xfId="0" applyAlignment="1" applyBorder="1" applyFont="1" applyNumberFormat="1">
      <alignment horizontal="right" vertical="center"/>
    </xf>
    <xf borderId="0" fillId="0" fontId="15" numFmtId="0" xfId="0" applyAlignment="1" applyFont="1">
      <alignment readingOrder="0" vertical="center"/>
    </xf>
    <xf borderId="0" fillId="0" fontId="15" numFmtId="0" xfId="0" applyAlignment="1" applyFont="1">
      <alignment vertical="center"/>
    </xf>
    <xf borderId="45" fillId="12" fontId="24" numFmtId="0" xfId="0" applyAlignment="1" applyBorder="1" applyFont="1">
      <alignment vertical="center"/>
    </xf>
    <xf borderId="0" fillId="13" fontId="24" numFmtId="0" xfId="0" applyAlignment="1" applyFont="1">
      <alignment vertical="center"/>
    </xf>
    <xf borderId="49" fillId="3" fontId="16" numFmtId="0" xfId="0" applyAlignment="1" applyBorder="1" applyFont="1">
      <alignment horizontal="center" vertical="center"/>
    </xf>
    <xf borderId="50" fillId="3" fontId="16" numFmtId="0" xfId="0" applyAlignment="1" applyBorder="1" applyFont="1">
      <alignment horizontal="center" readingOrder="0" vertical="center"/>
    </xf>
    <xf borderId="51" fillId="3" fontId="16" numFmtId="0" xfId="0" applyAlignment="1" applyBorder="1" applyFont="1">
      <alignment horizontal="center" readingOrder="0" vertical="center"/>
    </xf>
    <xf borderId="51" fillId="3" fontId="16" numFmtId="0" xfId="0" applyAlignment="1" applyBorder="1" applyFont="1">
      <alignment horizontal="center" readingOrder="0" shrinkToFit="0" vertical="center" wrapText="1"/>
    </xf>
    <xf borderId="51" fillId="3" fontId="16" numFmtId="0" xfId="0" applyAlignment="1" applyBorder="1" applyFont="1">
      <alignment readingOrder="0" shrinkToFit="0" vertical="center" wrapText="1"/>
    </xf>
    <xf borderId="52" fillId="3" fontId="16" numFmtId="0" xfId="0" applyAlignment="1" applyBorder="1" applyFont="1">
      <alignment horizontal="center" readingOrder="0" vertical="center"/>
    </xf>
    <xf borderId="53" fillId="0" fontId="7" numFmtId="0" xfId="0" applyBorder="1" applyFont="1"/>
    <xf borderId="54" fillId="0" fontId="7" numFmtId="0" xfId="0" applyBorder="1" applyFont="1"/>
    <xf borderId="30" fillId="3" fontId="16" numFmtId="0" xfId="0" applyAlignment="1" applyBorder="1" applyFont="1">
      <alignment horizontal="center" readingOrder="0" vertical="center"/>
    </xf>
    <xf borderId="30" fillId="3" fontId="27" numFmtId="0" xfId="0" applyAlignment="1" applyBorder="1" applyFont="1">
      <alignment horizontal="center" readingOrder="0" vertical="center"/>
    </xf>
    <xf borderId="55" fillId="0" fontId="7" numFmtId="0" xfId="0" applyBorder="1" applyFont="1"/>
    <xf borderId="56" fillId="0" fontId="7" numFmtId="0" xfId="0" applyBorder="1" applyFont="1"/>
    <xf borderId="57" fillId="0" fontId="7" numFmtId="0" xfId="0" applyBorder="1" applyFont="1"/>
    <xf borderId="30" fillId="3" fontId="14" numFmtId="3" xfId="0" applyAlignment="1" applyBorder="1" applyFont="1" applyNumberFormat="1">
      <alignment horizontal="right" readingOrder="0" vertical="center"/>
    </xf>
    <xf borderId="30" fillId="3" fontId="28" numFmtId="3" xfId="0" applyAlignment="1" applyBorder="1" applyFont="1" applyNumberFormat="1">
      <alignment horizontal="right" readingOrder="0" vertical="center"/>
    </xf>
    <xf borderId="58" fillId="0" fontId="21" numFmtId="0" xfId="0" applyAlignment="1" applyBorder="1" applyFont="1">
      <alignment readingOrder="0" vertical="center"/>
    </xf>
    <xf borderId="30" fillId="0" fontId="20" numFmtId="3" xfId="0" applyAlignment="1" applyBorder="1" applyFont="1" applyNumberFormat="1">
      <alignment horizontal="center" readingOrder="0" shrinkToFit="0" vertical="center" wrapText="1"/>
    </xf>
    <xf borderId="30" fillId="20" fontId="26" numFmtId="3" xfId="0" applyAlignment="1" applyBorder="1" applyFill="1" applyFont="1" applyNumberFormat="1">
      <alignment horizontal="right" readingOrder="0" vertical="center"/>
    </xf>
    <xf borderId="30" fillId="20" fontId="28" numFmtId="3" xfId="0" applyAlignment="1" applyBorder="1" applyFont="1" applyNumberFormat="1">
      <alignment horizontal="right" readingOrder="0" vertical="center"/>
    </xf>
    <xf borderId="0" fillId="21" fontId="24" numFmtId="3" xfId="0" applyAlignment="1" applyFill="1" applyFont="1" applyNumberFormat="1">
      <alignment horizontal="right" readingOrder="0" vertical="center"/>
    </xf>
    <xf borderId="0" fillId="21" fontId="28" numFmtId="3" xfId="0" applyAlignment="1" applyFont="1" applyNumberFormat="1">
      <alignment horizontal="right" readingOrder="0" vertical="center"/>
    </xf>
    <xf borderId="30" fillId="21" fontId="14" numFmtId="3" xfId="0" applyAlignment="1" applyBorder="1" applyFont="1" applyNumberFormat="1">
      <alignment horizontal="right" vertical="center"/>
    </xf>
    <xf borderId="0" fillId="21" fontId="14" numFmtId="3" xfId="0" applyAlignment="1" applyFont="1" applyNumberFormat="1">
      <alignment horizontal="right" vertical="center"/>
    </xf>
    <xf borderId="30" fillId="20" fontId="14" numFmtId="3" xfId="0" applyAlignment="1" applyBorder="1" applyFont="1" applyNumberFormat="1">
      <alignment horizontal="right" readingOrder="0" vertical="center"/>
    </xf>
    <xf borderId="30" fillId="21" fontId="14" numFmtId="3" xfId="0" applyAlignment="1" applyBorder="1" applyFont="1" applyNumberFormat="1">
      <alignment horizontal="right" readingOrder="0" vertical="center"/>
    </xf>
    <xf borderId="0" fillId="21" fontId="15" numFmtId="3" xfId="0" applyAlignment="1" applyFont="1" applyNumberFormat="1">
      <alignment vertical="center"/>
    </xf>
    <xf borderId="0" fillId="21" fontId="14" numFmtId="3" xfId="0" applyAlignment="1" applyFont="1" applyNumberFormat="1">
      <alignment horizontal="right" readingOrder="0" vertical="center"/>
    </xf>
    <xf borderId="59" fillId="3" fontId="16" numFmtId="0" xfId="0" applyAlignment="1" applyBorder="1" applyFont="1">
      <alignment horizontal="center" readingOrder="0" vertical="center"/>
    </xf>
    <xf borderId="33" fillId="0" fontId="7" numFmtId="0" xfId="0" applyBorder="1" applyFont="1"/>
    <xf borderId="58" fillId="0" fontId="7" numFmtId="0" xfId="0" applyBorder="1" applyFont="1"/>
    <xf borderId="30" fillId="3" fontId="16" numFmtId="0" xfId="0" applyAlignment="1" applyBorder="1" applyFont="1">
      <alignment horizontal="center" vertical="center"/>
    </xf>
    <xf borderId="60" fillId="9" fontId="15" numFmtId="0" xfId="0" applyAlignment="1" applyBorder="1" applyFont="1">
      <alignment horizontal="center" vertical="center"/>
    </xf>
    <xf borderId="0" fillId="9" fontId="15" numFmtId="0" xfId="0" applyAlignment="1" applyFont="1">
      <alignment vertical="center"/>
    </xf>
    <xf borderId="0" fillId="0" fontId="15" numFmtId="3" xfId="0" applyAlignment="1" applyFont="1" applyNumberFormat="1">
      <alignment horizontal="center" shrinkToFit="0" vertical="center" wrapText="1"/>
    </xf>
    <xf borderId="0" fillId="9" fontId="15" numFmtId="0" xfId="0" applyAlignment="1" applyFont="1">
      <alignment horizontal="center" vertical="center"/>
    </xf>
    <xf borderId="0" fillId="3" fontId="16" numFmtId="0" xfId="0" applyAlignment="1" applyFont="1">
      <alignment horizontal="center" readingOrder="0" shrinkToFit="0" vertical="center" wrapText="0"/>
    </xf>
    <xf borderId="29" fillId="9" fontId="20" numFmtId="0" xfId="0" applyAlignment="1" applyBorder="1" applyFont="1">
      <alignment horizontal="center" readingOrder="0" vertical="center"/>
    </xf>
    <xf borderId="30" fillId="9" fontId="21" numFmtId="0" xfId="0" applyAlignment="1" applyBorder="1" applyFont="1">
      <alignment readingOrder="0" vertical="center"/>
    </xf>
    <xf borderId="30" fillId="9" fontId="20" numFmtId="0" xfId="0" applyAlignment="1" applyBorder="1" applyFont="1">
      <alignment readingOrder="0" vertical="center"/>
    </xf>
    <xf borderId="30" fillId="3" fontId="16" numFmtId="0" xfId="0" applyAlignment="1" applyBorder="1" applyFont="1">
      <alignment vertical="center"/>
    </xf>
    <xf borderId="32" fillId="3" fontId="16" numFmtId="0" xfId="0" applyAlignment="1" applyBorder="1" applyFont="1">
      <alignment horizontal="center" readingOrder="0" vertical="center"/>
    </xf>
    <xf borderId="30" fillId="9" fontId="26" numFmtId="3" xfId="0" applyAlignment="1" applyBorder="1" applyFont="1" applyNumberFormat="1">
      <alignment horizontal="right" vertical="center"/>
    </xf>
    <xf borderId="30" fillId="0" fontId="26" numFmtId="3" xfId="0" applyAlignment="1" applyBorder="1" applyFont="1" applyNumberFormat="1">
      <alignment horizontal="right" readingOrder="0" vertical="center"/>
    </xf>
    <xf borderId="30" fillId="9" fontId="20" numFmtId="0" xfId="0" applyAlignment="1" applyBorder="1" applyFont="1">
      <alignment vertical="center"/>
    </xf>
    <xf borderId="44" fillId="3" fontId="14" numFmtId="0" xfId="0" applyAlignment="1" applyBorder="1" applyFont="1">
      <alignment readingOrder="0" vertical="center"/>
    </xf>
    <xf borderId="30" fillId="20" fontId="26" numFmtId="3" xfId="0" applyAlignment="1" applyBorder="1" applyFont="1" applyNumberFormat="1">
      <alignment horizontal="right" vertical="center"/>
    </xf>
    <xf borderId="0" fillId="15" fontId="24" numFmtId="3" xfId="0" applyAlignment="1" applyFont="1" applyNumberFormat="1">
      <alignment horizontal="right" readingOrder="0" shrinkToFit="0" vertical="center" wrapText="1"/>
    </xf>
    <xf borderId="0" fillId="16" fontId="29" numFmtId="3" xfId="0" applyAlignment="1" applyFont="1" applyNumberFormat="1">
      <alignment horizontal="right" readingOrder="0" shrinkToFit="0" vertical="center" wrapText="1"/>
    </xf>
    <xf borderId="0" fillId="21" fontId="24" numFmtId="3" xfId="0" applyAlignment="1" applyFont="1" applyNumberFormat="1">
      <alignment horizontal="right" vertical="center"/>
    </xf>
    <xf borderId="0" fillId="15" fontId="14" numFmtId="3" xfId="0" applyAlignment="1" applyFont="1" applyNumberFormat="1">
      <alignment horizontal="right" readingOrder="0" shrinkToFit="0" vertical="center" wrapText="1"/>
    </xf>
    <xf borderId="30" fillId="21" fontId="24" numFmtId="3" xfId="0" applyAlignment="1" applyBorder="1" applyFont="1" applyNumberFormat="1">
      <alignment horizontal="right" vertical="center"/>
    </xf>
    <xf borderId="0" fillId="0" fontId="20" numFmtId="0" xfId="0" applyAlignment="1" applyFont="1">
      <alignment readingOrder="0" shrinkToFit="0" vertical="center" wrapText="0"/>
    </xf>
    <xf borderId="58" fillId="0" fontId="20" numFmtId="0" xfId="0" applyAlignment="1" applyBorder="1" applyFont="1">
      <alignment readingOrder="0" vertical="center"/>
    </xf>
    <xf borderId="30" fillId="20" fontId="26" numFmtId="0" xfId="0" applyAlignment="1" applyBorder="1" applyFont="1">
      <alignment horizontal="right" vertical="center"/>
    </xf>
    <xf borderId="0" fillId="9" fontId="15" numFmtId="3" xfId="0" applyAlignment="1" applyFont="1" applyNumberFormat="1">
      <alignment vertical="center"/>
    </xf>
    <xf borderId="0" fillId="15" fontId="24" numFmtId="3" xfId="0" applyAlignment="1" applyFont="1" applyNumberFormat="1">
      <alignment horizontal="right" shrinkToFit="0" vertical="center" wrapText="1"/>
    </xf>
    <xf borderId="0" fillId="0" fontId="30" numFmtId="0" xfId="0" applyFont="1"/>
    <xf borderId="0" fillId="0" fontId="31" numFmtId="0" xfId="0" applyFont="1"/>
    <xf borderId="0" fillId="0" fontId="30" numFmtId="3" xfId="0" applyFont="1" applyNumberFormat="1"/>
    <xf borderId="0" fillId="0" fontId="31" numFmtId="3" xfId="0" applyFont="1" applyNumberFormat="1"/>
    <xf borderId="0" fillId="0" fontId="32" numFmtId="0" xfId="0" applyAlignment="1" applyFont="1">
      <alignment vertical="center"/>
    </xf>
    <xf borderId="0" fillId="0" fontId="33" numFmtId="0" xfId="0" applyAlignment="1" applyFont="1">
      <alignment vertical="center"/>
    </xf>
    <xf borderId="0" fillId="11" fontId="34" numFmtId="0" xfId="0" applyAlignment="1" applyFont="1">
      <alignment horizontal="center" vertical="center"/>
    </xf>
    <xf borderId="0" fillId="9" fontId="17" numFmtId="0" xfId="0" applyAlignment="1" applyFont="1">
      <alignment horizontal="center" vertical="center"/>
    </xf>
    <xf borderId="0" fillId="0" fontId="30" numFmtId="3" xfId="0" applyAlignment="1" applyFont="1" applyNumberFormat="1">
      <alignment vertical="center"/>
    </xf>
    <xf borderId="0" fillId="0" fontId="31" numFmtId="3" xfId="0" applyAlignment="1" applyFont="1" applyNumberFormat="1">
      <alignment vertical="center"/>
    </xf>
    <xf borderId="61" fillId="3" fontId="16" numFmtId="0" xfId="0" applyAlignment="1" applyBorder="1" applyFont="1">
      <alignment horizontal="center" readingOrder="0" vertical="center"/>
    </xf>
    <xf borderId="62" fillId="0" fontId="7" numFmtId="0" xfId="0" applyBorder="1" applyFont="1"/>
    <xf borderId="63" fillId="0" fontId="7" numFmtId="0" xfId="0" applyBorder="1" applyFont="1"/>
    <xf borderId="64" fillId="3" fontId="16" numFmtId="0" xfId="0" applyAlignment="1" applyBorder="1" applyFont="1">
      <alignment horizontal="center" vertical="center"/>
    </xf>
    <xf borderId="64" fillId="3" fontId="16" numFmtId="0" xfId="0" applyAlignment="1" applyBorder="1" applyFont="1">
      <alignment horizontal="center" readingOrder="0" shrinkToFit="0" vertical="center" wrapText="1"/>
    </xf>
    <xf borderId="64" fillId="3" fontId="14" numFmtId="0" xfId="0" applyAlignment="1" applyBorder="1" applyFont="1">
      <alignment horizontal="center" readingOrder="0" vertical="center"/>
    </xf>
    <xf borderId="64" fillId="12" fontId="24" numFmtId="0" xfId="0" applyAlignment="1" applyBorder="1" applyFont="1">
      <alignment horizontal="center" readingOrder="0" vertical="center"/>
    </xf>
    <xf borderId="65" fillId="12" fontId="24" numFmtId="0" xfId="0" applyAlignment="1" applyBorder="1" applyFont="1">
      <alignment horizontal="center" readingOrder="0" vertical="center"/>
    </xf>
    <xf borderId="64" fillId="13" fontId="24" numFmtId="0" xfId="0" applyAlignment="1" applyBorder="1" applyFont="1">
      <alignment horizontal="center" readingOrder="0" vertical="center"/>
    </xf>
    <xf borderId="65" fillId="13" fontId="24" numFmtId="0" xfId="0" applyAlignment="1" applyBorder="1" applyFont="1">
      <alignment horizontal="center" readingOrder="0" vertical="center"/>
    </xf>
    <xf borderId="66" fillId="13" fontId="24" numFmtId="0" xfId="0" applyAlignment="1" applyBorder="1" applyFont="1">
      <alignment horizontal="center" readingOrder="0" vertical="center"/>
    </xf>
    <xf borderId="67" fillId="0" fontId="7" numFmtId="0" xfId="0" applyBorder="1" applyFont="1"/>
    <xf borderId="68" fillId="0" fontId="7" numFmtId="0" xfId="0" applyBorder="1" applyFont="1"/>
    <xf borderId="69" fillId="0" fontId="7" numFmtId="0" xfId="0" applyBorder="1" applyFont="1"/>
    <xf borderId="70" fillId="0" fontId="7" numFmtId="0" xfId="0" applyBorder="1" applyFont="1"/>
    <xf borderId="71" fillId="3" fontId="16" numFmtId="0" xfId="0" applyAlignment="1" applyBorder="1" applyFont="1">
      <alignment horizontal="center" readingOrder="0" shrinkToFit="0" vertical="center" wrapText="1"/>
    </xf>
    <xf borderId="72" fillId="12" fontId="18" numFmtId="0" xfId="0" applyAlignment="1" applyBorder="1" applyFont="1">
      <alignment horizontal="center" readingOrder="0" shrinkToFit="0" vertical="center" wrapText="1"/>
    </xf>
    <xf borderId="72" fillId="13" fontId="18" numFmtId="0" xfId="0" applyAlignment="1" applyBorder="1" applyFont="1">
      <alignment horizontal="center" readingOrder="0" shrinkToFit="0" vertical="center" wrapText="1"/>
    </xf>
    <xf borderId="0" fillId="0" fontId="32" numFmtId="0" xfId="0" applyAlignment="1" applyFont="1">
      <alignment shrinkToFit="0" vertical="center" wrapText="1"/>
    </xf>
    <xf borderId="0" fillId="0" fontId="33" numFmtId="0" xfId="0" applyAlignment="1" applyFont="1">
      <alignment shrinkToFit="0" vertical="center" wrapText="1"/>
    </xf>
    <xf borderId="73" fillId="22" fontId="24" numFmtId="3" xfId="0" applyAlignment="1" applyBorder="1" applyFill="1" applyFont="1" applyNumberFormat="1">
      <alignment horizontal="center" readingOrder="0" textRotation="0" vertical="center"/>
    </xf>
    <xf borderId="74" fillId="0" fontId="7" numFmtId="0" xfId="0" applyBorder="1" applyFont="1"/>
    <xf borderId="75" fillId="23" fontId="18" numFmtId="0" xfId="0" applyAlignment="1" applyBorder="1" applyFill="1" applyFont="1">
      <alignment horizontal="center" readingOrder="0" vertical="center"/>
    </xf>
    <xf borderId="75" fillId="0" fontId="7" numFmtId="0" xfId="0" applyBorder="1" applyFont="1"/>
    <xf borderId="76" fillId="0" fontId="7" numFmtId="0" xfId="0" applyBorder="1" applyFont="1"/>
    <xf borderId="75" fillId="12" fontId="18" numFmtId="0" xfId="0" applyAlignment="1" applyBorder="1" applyFont="1">
      <alignment horizontal="center" readingOrder="0" vertical="center"/>
    </xf>
    <xf borderId="75" fillId="13" fontId="18" numFmtId="0" xfId="0" applyAlignment="1" applyBorder="1" applyFont="1">
      <alignment horizontal="center" readingOrder="0" vertical="center"/>
    </xf>
    <xf borderId="77" fillId="24" fontId="18" numFmtId="0" xfId="0" applyAlignment="1" applyBorder="1" applyFill="1" applyFont="1">
      <alignment horizontal="center" readingOrder="0" vertical="center"/>
    </xf>
    <xf borderId="78" fillId="0" fontId="7" numFmtId="0" xfId="0" applyBorder="1" applyFont="1"/>
    <xf borderId="0" fillId="0" fontId="32" numFmtId="0" xfId="0" applyAlignment="1" applyFont="1">
      <alignment readingOrder="0" vertical="center"/>
    </xf>
    <xf borderId="79" fillId="9" fontId="15" numFmtId="0" xfId="0" applyAlignment="1" applyBorder="1" applyFont="1">
      <alignment horizontal="center" vertical="center"/>
    </xf>
    <xf borderId="72" fillId="9" fontId="35" numFmtId="0" xfId="0" applyAlignment="1" applyBorder="1" applyFont="1">
      <alignment horizontal="center" vertical="center"/>
    </xf>
    <xf borderId="72" fillId="9" fontId="35" numFmtId="0" xfId="0" applyAlignment="1" applyBorder="1" applyFont="1">
      <alignment horizontal="center" readingOrder="0" vertical="center"/>
    </xf>
    <xf borderId="72" fillId="9" fontId="15" numFmtId="0" xfId="0" applyAlignment="1" applyBorder="1" applyFont="1">
      <alignment readingOrder="0" shrinkToFit="0" vertical="center" wrapText="0"/>
    </xf>
    <xf borderId="72" fillId="9" fontId="15" numFmtId="0" xfId="0" applyAlignment="1" applyBorder="1" applyFont="1">
      <alignment vertical="center"/>
    </xf>
    <xf borderId="72" fillId="9" fontId="15" numFmtId="0" xfId="0" applyAlignment="1" applyBorder="1" applyFont="1">
      <alignment horizontal="center" vertical="center"/>
    </xf>
    <xf borderId="72" fillId="9" fontId="15" numFmtId="165" xfId="0" applyAlignment="1" applyBorder="1" applyFont="1" applyNumberFormat="1">
      <alignment horizontal="center" vertical="center"/>
    </xf>
    <xf borderId="72" fillId="9" fontId="24" numFmtId="165" xfId="0" applyAlignment="1" applyBorder="1" applyFont="1" applyNumberFormat="1">
      <alignment horizontal="center" vertical="center"/>
    </xf>
    <xf borderId="73" fillId="0" fontId="15" numFmtId="165" xfId="0" applyAlignment="1" applyBorder="1" applyFont="1" applyNumberFormat="1">
      <alignment horizontal="center" vertical="center"/>
    </xf>
    <xf borderId="73" fillId="0" fontId="24" numFmtId="165" xfId="0" applyAlignment="1" applyBorder="1" applyFont="1" applyNumberFormat="1">
      <alignment horizontal="center" vertical="center"/>
    </xf>
    <xf borderId="0" fillId="16" fontId="36" numFmtId="3" xfId="0" applyAlignment="1" applyFont="1" applyNumberFormat="1">
      <alignment readingOrder="0" vertical="center"/>
    </xf>
    <xf borderId="0" fillId="9" fontId="37" numFmtId="9" xfId="0" applyAlignment="1" applyFont="1" applyNumberFormat="1">
      <alignment horizontal="center" readingOrder="0" shrinkToFit="0" vertical="center" wrapText="0"/>
    </xf>
    <xf borderId="79" fillId="17" fontId="15" numFmtId="0" xfId="0" applyAlignment="1" applyBorder="1" applyFont="1">
      <alignment horizontal="center" vertical="center"/>
    </xf>
    <xf borderId="72" fillId="17" fontId="35" numFmtId="0" xfId="0" applyAlignment="1" applyBorder="1" applyFont="1">
      <alignment horizontal="center" vertical="center"/>
    </xf>
    <xf borderId="72" fillId="17" fontId="35" numFmtId="0" xfId="0" applyAlignment="1" applyBorder="1" applyFont="1">
      <alignment horizontal="center" readingOrder="0" vertical="center"/>
    </xf>
    <xf borderId="72" fillId="17" fontId="15" numFmtId="0" xfId="0" applyAlignment="1" applyBorder="1" applyFont="1">
      <alignment readingOrder="0" shrinkToFit="0" vertical="center" wrapText="0"/>
    </xf>
    <xf borderId="72" fillId="17" fontId="15" numFmtId="0" xfId="0" applyAlignment="1" applyBorder="1" applyFont="1">
      <alignment vertical="center"/>
    </xf>
    <xf borderId="72" fillId="17" fontId="15" numFmtId="0" xfId="0" applyAlignment="1" applyBorder="1" applyFont="1">
      <alignment horizontal="center" vertical="center"/>
    </xf>
    <xf borderId="72" fillId="17" fontId="15" numFmtId="165" xfId="0" applyAlignment="1" applyBorder="1" applyFont="1" applyNumberFormat="1">
      <alignment horizontal="center" vertical="center"/>
    </xf>
    <xf borderId="72" fillId="17" fontId="24" numFmtId="165" xfId="0" applyAlignment="1" applyBorder="1" applyFont="1" applyNumberFormat="1">
      <alignment horizontal="center" vertical="center"/>
    </xf>
    <xf borderId="72" fillId="6" fontId="15" numFmtId="165" xfId="0" applyAlignment="1" applyBorder="1" applyFont="1" applyNumberFormat="1">
      <alignment horizontal="center" vertical="center"/>
    </xf>
    <xf borderId="72" fillId="6" fontId="24" numFmtId="165" xfId="0" applyAlignment="1" applyBorder="1" applyFont="1" applyNumberFormat="1">
      <alignment horizontal="center" vertical="center"/>
    </xf>
    <xf borderId="73" fillId="18" fontId="15" numFmtId="165" xfId="0" applyAlignment="1" applyBorder="1" applyFont="1" applyNumberFormat="1">
      <alignment horizontal="center" vertical="center"/>
    </xf>
    <xf borderId="73" fillId="18" fontId="24" numFmtId="165" xfId="0" applyAlignment="1" applyBorder="1" applyFont="1" applyNumberFormat="1">
      <alignment horizontal="center" vertical="center"/>
    </xf>
    <xf borderId="79" fillId="9" fontId="15" numFmtId="0" xfId="0" applyAlignment="1" applyBorder="1" applyFont="1">
      <alignment horizontal="center" readingOrder="0" vertical="center"/>
    </xf>
    <xf borderId="72" fillId="9" fontId="35" numFmtId="0" xfId="0" applyAlignment="1" applyBorder="1" applyFont="1">
      <alignment horizontal="center" readingOrder="0" vertical="center"/>
    </xf>
    <xf borderId="72" fillId="9" fontId="15" numFmtId="0" xfId="0" applyAlignment="1" applyBorder="1" applyFont="1">
      <alignment horizontal="center" readingOrder="0" vertical="center"/>
    </xf>
    <xf borderId="73" fillId="0" fontId="24" numFmtId="165" xfId="0" applyAlignment="1" applyBorder="1" applyFont="1" applyNumberFormat="1">
      <alignment horizontal="center" readingOrder="0" vertical="center"/>
    </xf>
    <xf borderId="79" fillId="17" fontId="15" numFmtId="0" xfId="0" applyAlignment="1" applyBorder="1" applyFont="1">
      <alignment horizontal="center" readingOrder="0" vertical="center"/>
    </xf>
    <xf borderId="72" fillId="17" fontId="35" numFmtId="0" xfId="0" applyAlignment="1" applyBorder="1" applyFont="1">
      <alignment horizontal="center" readingOrder="0" vertical="center"/>
    </xf>
    <xf borderId="72" fillId="17" fontId="15" numFmtId="0" xfId="0" applyAlignment="1" applyBorder="1" applyFont="1">
      <alignment horizontal="center" readingOrder="0" vertical="center"/>
    </xf>
    <xf borderId="73" fillId="18" fontId="24" numFmtId="165" xfId="0" applyAlignment="1" applyBorder="1" applyFont="1" applyNumberFormat="1">
      <alignment horizontal="center" readingOrder="0" vertical="center"/>
    </xf>
    <xf borderId="72" fillId="9" fontId="24" numFmtId="165" xfId="0" applyAlignment="1" applyBorder="1" applyFont="1" applyNumberFormat="1">
      <alignment horizontal="center" readingOrder="0" vertical="center"/>
    </xf>
    <xf borderId="70" fillId="9" fontId="15" numFmtId="0" xfId="0" applyAlignment="1" applyBorder="1" applyFont="1">
      <alignment horizontal="center" vertical="center"/>
    </xf>
    <xf borderId="70" fillId="9" fontId="20" numFmtId="165" xfId="0" applyAlignment="1" applyBorder="1" applyFont="1" applyNumberFormat="1">
      <alignment horizontal="center" vertical="center"/>
    </xf>
    <xf borderId="70" fillId="9" fontId="15" numFmtId="165" xfId="0" applyAlignment="1" applyBorder="1" applyFont="1" applyNumberFormat="1">
      <alignment horizontal="center" vertical="center"/>
    </xf>
    <xf borderId="70" fillId="9" fontId="24" numFmtId="165" xfId="0" applyAlignment="1" applyBorder="1" applyFont="1" applyNumberFormat="1">
      <alignment horizontal="center" vertical="center"/>
    </xf>
    <xf borderId="0" fillId="0" fontId="36" numFmtId="3" xfId="0" applyAlignment="1" applyFont="1" applyNumberFormat="1">
      <alignment readingOrder="0" vertical="center"/>
    </xf>
    <xf borderId="72" fillId="17" fontId="15" numFmtId="0" xfId="0" applyAlignment="1" applyBorder="1" applyFont="1">
      <alignment horizontal="center" readingOrder="0" vertical="center"/>
    </xf>
    <xf borderId="72" fillId="17" fontId="24" numFmtId="165" xfId="0" applyAlignment="1" applyBorder="1" applyFont="1" applyNumberFormat="1">
      <alignment horizontal="center" readingOrder="0" vertical="center"/>
    </xf>
    <xf borderId="79" fillId="9" fontId="15" numFmtId="0" xfId="0" applyAlignment="1" applyBorder="1" applyFont="1">
      <alignment horizontal="center" readingOrder="0" vertical="center"/>
    </xf>
    <xf borderId="72" fillId="9" fontId="15" numFmtId="0" xfId="0" applyAlignment="1" applyBorder="1" applyFont="1">
      <alignment horizontal="center" readingOrder="0" vertical="center"/>
    </xf>
    <xf borderId="0" fillId="9" fontId="15" numFmtId="0" xfId="0" applyAlignment="1" applyFont="1">
      <alignment vertical="center"/>
    </xf>
    <xf borderId="0" fillId="0" fontId="15" numFmtId="3" xfId="0" applyAlignment="1" applyFont="1" applyNumberFormat="1">
      <alignment vertical="center"/>
    </xf>
    <xf borderId="0" fillId="0" fontId="24" numFmtId="3" xfId="0" applyAlignment="1" applyFont="1" applyNumberFormat="1">
      <alignment vertical="center"/>
    </xf>
    <xf borderId="0" fillId="0" fontId="15" numFmtId="3" xfId="0" applyAlignment="1" applyFont="1" applyNumberFormat="1">
      <alignment horizontal="right" vertical="center"/>
    </xf>
    <xf borderId="80" fillId="0" fontId="15" numFmtId="3" xfId="0" applyAlignment="1" applyBorder="1" applyFont="1" applyNumberFormat="1">
      <alignment shrinkToFit="0" vertical="center" wrapText="0"/>
    </xf>
    <xf borderId="80" fillId="0" fontId="15" numFmtId="3" xfId="0" applyAlignment="1" applyBorder="1" applyFont="1" applyNumberFormat="1">
      <alignment vertical="center"/>
    </xf>
    <xf borderId="80" fillId="0" fontId="24" numFmtId="3" xfId="0" applyAlignment="1" applyBorder="1" applyFont="1" applyNumberFormat="1">
      <alignment vertical="center"/>
    </xf>
    <xf borderId="81" fillId="9" fontId="30" numFmtId="0" xfId="0" applyAlignment="1" applyBorder="1" applyFont="1">
      <alignment vertical="center"/>
    </xf>
    <xf borderId="81" fillId="9" fontId="30" numFmtId="165" xfId="0" applyAlignment="1" applyBorder="1" applyFont="1" applyNumberFormat="1">
      <alignment vertical="center"/>
    </xf>
    <xf borderId="81" fillId="9" fontId="31" numFmtId="165" xfId="0" applyAlignment="1" applyBorder="1" applyFont="1" applyNumberFormat="1">
      <alignment vertical="center"/>
    </xf>
    <xf borderId="0" fillId="9" fontId="30" numFmtId="165" xfId="0" applyAlignment="1" applyFont="1" applyNumberFormat="1">
      <alignment vertical="center"/>
    </xf>
    <xf borderId="0" fillId="9" fontId="31" numFmtId="165" xfId="0" applyAlignment="1" applyFont="1" applyNumberFormat="1">
      <alignment vertical="center"/>
    </xf>
    <xf borderId="81" fillId="25" fontId="30" numFmtId="0" xfId="0" applyAlignment="1" applyBorder="1" applyFill="1" applyFont="1">
      <alignment vertical="center"/>
    </xf>
    <xf borderId="81" fillId="25" fontId="30" numFmtId="165" xfId="0" applyAlignment="1" applyBorder="1" applyFont="1" applyNumberFormat="1">
      <alignment vertical="center"/>
    </xf>
    <xf borderId="81" fillId="25" fontId="31" numFmtId="165" xfId="0" applyAlignment="1" applyBorder="1" applyFont="1" applyNumberFormat="1">
      <alignment vertical="center"/>
    </xf>
    <xf borderId="0" fillId="25" fontId="30" numFmtId="165" xfId="0" applyAlignment="1" applyFont="1" applyNumberFormat="1">
      <alignment vertical="center"/>
    </xf>
    <xf borderId="0" fillId="25" fontId="31" numFmtId="165" xfId="0" applyAlignment="1" applyFont="1" applyNumberFormat="1">
      <alignment vertical="center"/>
    </xf>
    <xf borderId="0" fillId="25" fontId="30" numFmtId="3" xfId="0" applyAlignment="1" applyFont="1" applyNumberFormat="1">
      <alignment vertical="center"/>
    </xf>
    <xf borderId="0" fillId="25" fontId="31" numFmtId="3" xfId="0" applyAlignment="1" applyFont="1" applyNumberFormat="1">
      <alignment vertical="center"/>
    </xf>
    <xf borderId="0" fillId="25" fontId="32" numFmtId="0" xfId="0" applyAlignment="1" applyFont="1">
      <alignment vertical="center"/>
    </xf>
    <xf borderId="0" fillId="25" fontId="33" numFmtId="0" xfId="0" applyAlignment="1" applyFont="1">
      <alignment vertical="center"/>
    </xf>
    <xf borderId="82" fillId="9" fontId="30" numFmtId="0" xfId="0" applyAlignment="1" applyBorder="1" applyFont="1">
      <alignment vertical="center"/>
    </xf>
    <xf borderId="80" fillId="9" fontId="30" numFmtId="0" xfId="0" applyAlignment="1" applyBorder="1" applyFont="1">
      <alignment vertical="center"/>
    </xf>
    <xf borderId="80" fillId="9" fontId="38" numFmtId="165" xfId="0" applyAlignment="1" applyBorder="1" applyFont="1" applyNumberFormat="1">
      <alignment shrinkToFit="0" vertical="center" wrapText="0"/>
    </xf>
    <xf borderId="80" fillId="9" fontId="30" numFmtId="165" xfId="0" applyAlignment="1" applyBorder="1" applyFont="1" applyNumberFormat="1">
      <alignment vertical="center"/>
    </xf>
    <xf borderId="80" fillId="9" fontId="31" numFmtId="165" xfId="0" applyAlignment="1" applyBorder="1" applyFont="1" applyNumberFormat="1">
      <alignment vertical="center"/>
    </xf>
    <xf borderId="0" fillId="3" fontId="38" numFmtId="0" xfId="0" applyAlignment="1" applyFont="1">
      <alignment horizontal="center" vertical="center"/>
    </xf>
    <xf borderId="0" fillId="3" fontId="39" numFmtId="0" xfId="0" applyAlignment="1" applyFont="1">
      <alignment horizontal="center" vertical="center"/>
    </xf>
    <xf borderId="0" fillId="3" fontId="40" numFmtId="0" xfId="0" applyAlignment="1" applyFont="1">
      <alignment horizontal="center" vertical="center"/>
    </xf>
    <xf borderId="0" fillId="3" fontId="39" numFmtId="3" xfId="0" applyAlignment="1" applyFont="1" applyNumberFormat="1">
      <alignment horizontal="center" vertical="center"/>
    </xf>
    <xf borderId="0" fillId="3" fontId="41" numFmtId="0" xfId="0" applyAlignment="1" applyFont="1">
      <alignment horizontal="center" vertical="center"/>
    </xf>
    <xf borderId="0" fillId="3" fontId="42" numFmtId="0" xfId="0" applyAlignment="1" applyFont="1">
      <alignment horizontal="center" vertical="center"/>
    </xf>
    <xf borderId="0" fillId="3" fontId="43" numFmtId="0" xfId="0" applyAlignment="1" applyFont="1">
      <alignment horizontal="center" vertical="center"/>
    </xf>
    <xf borderId="0" fillId="3" fontId="38" numFmtId="3" xfId="0" applyAlignment="1" applyFont="1" applyNumberFormat="1">
      <alignment horizontal="center" vertical="center"/>
    </xf>
    <xf borderId="0" fillId="3" fontId="44" numFmtId="0" xfId="0" applyAlignment="1" applyFont="1">
      <alignment horizontal="center" vertical="center"/>
    </xf>
    <xf borderId="0" fillId="3" fontId="45" numFmtId="0" xfId="0" applyAlignment="1" applyFont="1">
      <alignment horizontal="center" vertical="center"/>
    </xf>
    <xf borderId="0" fillId="24" fontId="46" numFmtId="0" xfId="0" applyAlignment="1" applyFont="1">
      <alignment horizontal="center" vertical="center"/>
    </xf>
    <xf borderId="0" fillId="9" fontId="47" numFmtId="0" xfId="0" applyAlignment="1" applyFont="1">
      <alignment horizontal="center" vertical="center"/>
    </xf>
    <xf borderId="80" fillId="9" fontId="47" numFmtId="0" xfId="0" applyAlignment="1" applyBorder="1" applyFont="1">
      <alignment shrinkToFit="0" vertical="center" wrapText="0"/>
    </xf>
    <xf borderId="0" fillId="9" fontId="47" numFmtId="0" xfId="0" applyAlignment="1" applyFont="1">
      <alignment vertical="center"/>
    </xf>
    <xf borderId="0" fillId="26" fontId="47" numFmtId="165" xfId="0" applyAlignment="1" applyFill="1" applyFont="1" applyNumberFormat="1">
      <alignment horizontal="center" vertical="center"/>
    </xf>
    <xf borderId="0" fillId="26" fontId="48" numFmtId="165" xfId="0" applyAlignment="1" applyFont="1" applyNumberFormat="1">
      <alignment horizontal="center" vertical="center"/>
    </xf>
    <xf borderId="80" fillId="0" fontId="47" numFmtId="165" xfId="0" applyAlignment="1" applyBorder="1" applyFont="1" applyNumberFormat="1">
      <alignment shrinkToFit="0" vertical="center" wrapText="0"/>
    </xf>
    <xf borderId="0" fillId="27" fontId="30" numFmtId="3" xfId="0" applyAlignment="1" applyFill="1" applyFont="1" applyNumberFormat="1">
      <alignment vertical="center"/>
    </xf>
    <xf borderId="0" fillId="27" fontId="31" numFmtId="3" xfId="0" applyAlignment="1" applyFont="1" applyNumberFormat="1">
      <alignment vertical="center"/>
    </xf>
    <xf borderId="0" fillId="27" fontId="32" numFmtId="0" xfId="0" applyAlignment="1" applyFont="1">
      <alignment vertical="center"/>
    </xf>
    <xf borderId="0" fillId="27" fontId="33" numFmtId="0" xfId="0" applyAlignment="1" applyFont="1">
      <alignment vertical="center"/>
    </xf>
    <xf borderId="0" fillId="27" fontId="47" numFmtId="3" xfId="0" applyAlignment="1" applyFont="1" applyNumberFormat="1">
      <alignment horizontal="center" vertical="center"/>
    </xf>
    <xf borderId="0" fillId="27" fontId="48" numFmtId="3" xfId="0" applyAlignment="1" applyFont="1" applyNumberFormat="1">
      <alignment horizontal="center" vertical="center"/>
    </xf>
    <xf borderId="0" fillId="27" fontId="49" numFmtId="165" xfId="0" applyAlignment="1" applyFont="1" applyNumberFormat="1">
      <alignment horizontal="center" vertical="center"/>
    </xf>
    <xf borderId="0" fillId="27" fontId="33" numFmtId="165" xfId="0" applyAlignment="1" applyFont="1" applyNumberFormat="1">
      <alignment horizontal="center" vertical="center"/>
    </xf>
    <xf borderId="0" fillId="24" fontId="30" numFmtId="0" xfId="0" applyAlignment="1" applyFont="1">
      <alignment vertical="center"/>
    </xf>
    <xf borderId="0" fillId="24" fontId="31" numFmtId="0" xfId="0" applyAlignment="1" applyFont="1">
      <alignment vertical="center"/>
    </xf>
    <xf borderId="0" fillId="9" fontId="47" numFmtId="165" xfId="0" applyAlignment="1" applyFont="1" applyNumberFormat="1">
      <alignment horizontal="center" vertical="center"/>
    </xf>
    <xf borderId="0" fillId="9" fontId="48" numFmtId="165" xfId="0" applyAlignment="1" applyFont="1" applyNumberFormat="1">
      <alignment horizontal="center" vertical="center"/>
    </xf>
    <xf borderId="0" fillId="0" fontId="30" numFmtId="0" xfId="0" applyAlignment="1" applyFont="1">
      <alignment vertical="center"/>
    </xf>
    <xf borderId="0" fillId="0" fontId="31" numFmtId="0" xfId="0" applyAlignment="1" applyFont="1">
      <alignment vertical="center"/>
    </xf>
    <xf borderId="0" fillId="24" fontId="50" numFmtId="0" xfId="0" applyAlignment="1" applyFont="1">
      <alignment horizontal="center" vertical="center"/>
    </xf>
    <xf borderId="83" fillId="9" fontId="30" numFmtId="0" xfId="0" applyAlignment="1" applyBorder="1" applyFont="1">
      <alignment vertical="center"/>
    </xf>
    <xf borderId="81" fillId="0" fontId="30" numFmtId="0" xfId="0" applyAlignment="1" applyBorder="1" applyFont="1">
      <alignment vertical="center"/>
    </xf>
    <xf borderId="81" fillId="0" fontId="7" numFmtId="0" xfId="0" applyBorder="1" applyFont="1"/>
    <xf borderId="84" fillId="0" fontId="7" numFmtId="0" xfId="0" applyBorder="1" applyFont="1"/>
    <xf borderId="0" fillId="9" fontId="51" numFmtId="0" xfId="0" applyAlignment="1" applyFont="1">
      <alignment horizontal="center" shrinkToFit="0" vertical="center" wrapText="1"/>
    </xf>
    <xf borderId="0" fillId="9" fontId="51" numFmtId="0" xfId="0" applyAlignment="1" applyFont="1">
      <alignment shrinkToFit="0" vertical="center" wrapText="1"/>
    </xf>
    <xf borderId="0" fillId="9" fontId="52" numFmtId="0" xfId="0" applyAlignment="1" applyFont="1">
      <alignment shrinkToFit="0" vertical="center" wrapText="1"/>
    </xf>
    <xf borderId="81" fillId="9" fontId="51" numFmtId="0" xfId="0" applyAlignment="1" applyBorder="1" applyFont="1">
      <alignment shrinkToFit="0" vertical="center" wrapText="1"/>
    </xf>
    <xf borderId="84" fillId="9" fontId="30" numFmtId="0" xfId="0" applyAlignment="1" applyBorder="1" applyFont="1">
      <alignment vertical="center"/>
    </xf>
    <xf borderId="84" fillId="9" fontId="38" numFmtId="165" xfId="0" applyAlignment="1" applyBorder="1" applyFont="1" applyNumberFormat="1">
      <alignment shrinkToFit="0" vertical="center" wrapText="0"/>
    </xf>
    <xf borderId="84" fillId="9" fontId="30" numFmtId="165" xfId="0" applyAlignment="1" applyBorder="1" applyFont="1" applyNumberFormat="1">
      <alignment vertical="center"/>
    </xf>
    <xf borderId="84" fillId="9" fontId="31" numFmtId="165" xfId="0" applyAlignment="1" applyBorder="1" applyFont="1" applyNumberFormat="1">
      <alignment vertical="center"/>
    </xf>
    <xf borderId="0" fillId="9" fontId="30" numFmtId="0" xfId="0" applyAlignment="1" applyFont="1">
      <alignment vertical="center"/>
    </xf>
    <xf borderId="0" fillId="9" fontId="31" numFmtId="0" xfId="0" applyAlignment="1" applyFont="1">
      <alignment vertical="center"/>
    </xf>
    <xf borderId="81" fillId="9" fontId="31" numFmtId="0" xfId="0" applyAlignment="1" applyBorder="1" applyFont="1">
      <alignment vertical="center"/>
    </xf>
    <xf borderId="85" fillId="9" fontId="53" numFmtId="0" xfId="0" applyAlignment="1" applyBorder="1" applyFont="1">
      <alignment horizontal="right" vertical="center"/>
    </xf>
    <xf borderId="0" fillId="9" fontId="53" numFmtId="0" xfId="0" applyAlignment="1" applyFont="1">
      <alignment horizontal="right" vertical="center"/>
    </xf>
    <xf borderId="86" fillId="9" fontId="17" numFmtId="0" xfId="0" applyAlignment="1" applyBorder="1" applyFont="1">
      <alignment horizontal="center" vertical="center"/>
    </xf>
    <xf borderId="80" fillId="0" fontId="7" numFmtId="0" xfId="0" applyBorder="1" applyFont="1"/>
    <xf borderId="85" fillId="0" fontId="7" numFmtId="0" xfId="0" applyBorder="1" applyFont="1"/>
    <xf borderId="0" fillId="9" fontId="54" numFmtId="0" xfId="0" applyAlignment="1" applyFont="1">
      <alignment vertical="center"/>
    </xf>
    <xf borderId="0" fillId="9" fontId="51" numFmtId="0" xfId="0" applyAlignment="1" applyFont="1">
      <alignment vertical="center"/>
    </xf>
    <xf borderId="0" fillId="9" fontId="52" numFmtId="0" xfId="0" applyAlignment="1" applyFont="1">
      <alignment vertical="center"/>
    </xf>
    <xf borderId="0" fillId="11" fontId="55" numFmtId="3" xfId="0" applyAlignment="1" applyFont="1" applyNumberFormat="1">
      <alignment horizontal="center" vertical="center"/>
    </xf>
    <xf borderId="0" fillId="11" fontId="56" numFmtId="3" xfId="0" applyAlignment="1" applyFont="1" applyNumberFormat="1">
      <alignment horizontal="center" vertical="center"/>
    </xf>
    <xf borderId="0" fillId="11" fontId="57" numFmtId="3" xfId="0" applyAlignment="1" applyFont="1" applyNumberFormat="1">
      <alignment horizontal="center" vertical="center"/>
    </xf>
    <xf borderId="0" fillId="9" fontId="43" numFmtId="0" xfId="0" applyAlignment="1" applyFont="1">
      <alignment vertical="center"/>
    </xf>
    <xf borderId="0" fillId="9" fontId="38" numFmtId="0" xfId="0" applyAlignment="1" applyFont="1">
      <alignment vertical="center"/>
    </xf>
    <xf borderId="0" fillId="9" fontId="51" numFmtId="49" xfId="0" applyAlignment="1" applyFont="1" applyNumberFormat="1">
      <alignment vertical="center"/>
    </xf>
    <xf borderId="0" fillId="9" fontId="52" numFmtId="49" xfId="0" applyAlignment="1" applyFont="1" applyNumberFormat="1">
      <alignment vertical="center"/>
    </xf>
    <xf borderId="84" fillId="0" fontId="30" numFmtId="0" xfId="0" applyAlignment="1" applyBorder="1" applyFont="1">
      <alignment vertical="center"/>
    </xf>
    <xf borderId="85" fillId="9" fontId="58" numFmtId="0" xfId="0" applyAlignment="1" applyBorder="1" applyFont="1">
      <alignment vertical="center"/>
    </xf>
    <xf borderId="0" fillId="9" fontId="58" numFmtId="0" xfId="0" applyAlignment="1" applyFont="1">
      <alignment vertical="center"/>
    </xf>
    <xf borderId="0" fillId="9" fontId="59" numFmtId="0" xfId="0" applyAlignment="1" applyFont="1">
      <alignment vertical="center"/>
    </xf>
    <xf borderId="80" fillId="9" fontId="30" numFmtId="166" xfId="0" applyAlignment="1" applyBorder="1" applyFont="1" applyNumberFormat="1">
      <alignment vertical="center"/>
    </xf>
    <xf borderId="80" fillId="9" fontId="31" numFmtId="166" xfId="0" applyAlignment="1" applyBorder="1" applyFont="1" applyNumberFormat="1">
      <alignment vertical="center"/>
    </xf>
    <xf borderId="81" fillId="9" fontId="51" numFmtId="0" xfId="0" applyAlignment="1" applyBorder="1" applyFont="1">
      <alignment horizontal="center" shrinkToFit="0" vertical="center" wrapText="1"/>
    </xf>
    <xf borderId="0" fillId="0" fontId="32" numFmtId="165" xfId="0" applyAlignment="1" applyFont="1" applyNumberFormat="1">
      <alignment vertical="center"/>
    </xf>
    <xf borderId="0" fillId="0" fontId="33" numFmtId="165" xfId="0" applyAlignment="1" applyFont="1" applyNumberFormat="1">
      <alignment vertical="center"/>
    </xf>
    <xf borderId="87" fillId="9" fontId="17" numFmtId="165" xfId="0" applyAlignment="1" applyBorder="1" applyFont="1" applyNumberFormat="1">
      <alignment horizontal="center" readingOrder="0" vertical="center"/>
    </xf>
    <xf borderId="88" fillId="0" fontId="7" numFmtId="0" xfId="0" applyBorder="1" applyFont="1"/>
    <xf borderId="89" fillId="0" fontId="7" numFmtId="0" xfId="0" applyBorder="1" applyFont="1"/>
    <xf borderId="0" fillId="0" fontId="30" numFmtId="165" xfId="0" applyAlignment="1" applyFont="1" applyNumberFormat="1">
      <alignment vertical="center"/>
    </xf>
    <xf borderId="0" fillId="9" fontId="17" numFmtId="165" xfId="0" applyAlignment="1" applyFont="1" applyNumberFormat="1">
      <alignment horizontal="center" readingOrder="0" vertical="center"/>
    </xf>
    <xf borderId="61" fillId="3" fontId="14" numFmtId="0" xfId="0" applyAlignment="1" applyBorder="1" applyFont="1">
      <alignment horizontal="center" readingOrder="0" shrinkToFit="0" vertical="center" wrapText="1"/>
    </xf>
    <xf borderId="90" fillId="3" fontId="14" numFmtId="0" xfId="0" applyAlignment="1" applyBorder="1" applyFont="1">
      <alignment horizontal="center" readingOrder="0" shrinkToFit="0" vertical="center" wrapText="1"/>
    </xf>
    <xf borderId="91" fillId="0" fontId="7" numFmtId="0" xfId="0" applyBorder="1" applyFont="1"/>
    <xf borderId="90" fillId="12" fontId="24" numFmtId="0" xfId="0" applyAlignment="1" applyBorder="1" applyFont="1">
      <alignment horizontal="center" readingOrder="0" shrinkToFit="0" vertical="center" wrapText="1"/>
    </xf>
    <xf borderId="90" fillId="18" fontId="24" numFmtId="0" xfId="0" applyAlignment="1" applyBorder="1" applyFont="1">
      <alignment horizontal="center" readingOrder="0" shrinkToFit="0" vertical="center" wrapText="1"/>
    </xf>
    <xf borderId="92" fillId="3" fontId="14" numFmtId="165" xfId="0" applyAlignment="1" applyBorder="1" applyFont="1" applyNumberFormat="1">
      <alignment horizontal="center" readingOrder="0" shrinkToFit="0" vertical="center" wrapText="1"/>
    </xf>
    <xf borderId="93" fillId="3" fontId="14" numFmtId="165" xfId="0" applyAlignment="1" applyBorder="1" applyFont="1" applyNumberFormat="1">
      <alignment horizontal="center" shrinkToFit="0" vertical="center" wrapText="1"/>
    </xf>
    <xf borderId="0" fillId="0" fontId="15" numFmtId="0" xfId="0" applyFont="1"/>
    <xf borderId="94" fillId="0" fontId="7" numFmtId="0" xfId="0" applyBorder="1" applyFont="1"/>
    <xf borderId="79" fillId="3" fontId="14" numFmtId="0" xfId="0" applyAlignment="1" applyBorder="1" applyFont="1">
      <alignment horizontal="center" shrinkToFit="0" vertical="center" wrapText="1"/>
    </xf>
    <xf borderId="95" fillId="3" fontId="14" numFmtId="0" xfId="0" applyAlignment="1" applyBorder="1" applyFont="1">
      <alignment horizontal="center" readingOrder="0" shrinkToFit="0" vertical="center" wrapText="1"/>
    </xf>
    <xf borderId="79" fillId="12" fontId="24" numFmtId="0" xfId="0" applyAlignment="1" applyBorder="1" applyFont="1">
      <alignment horizontal="center" shrinkToFit="0" vertical="center" wrapText="1"/>
    </xf>
    <xf borderId="95" fillId="12" fontId="24" numFmtId="0" xfId="0" applyAlignment="1" applyBorder="1" applyFont="1">
      <alignment horizontal="center" readingOrder="0" shrinkToFit="0" vertical="center" wrapText="1"/>
    </xf>
    <xf borderId="79" fillId="18" fontId="24" numFmtId="0" xfId="0" applyAlignment="1" applyBorder="1" applyFont="1">
      <alignment horizontal="center" shrinkToFit="0" vertical="center" wrapText="1"/>
    </xf>
    <xf borderId="95" fillId="18" fontId="24" numFmtId="0" xfId="0" applyAlignment="1" applyBorder="1" applyFont="1">
      <alignment horizontal="center" readingOrder="0" shrinkToFit="0" vertical="center" wrapText="1"/>
    </xf>
    <xf borderId="0" fillId="3" fontId="14" numFmtId="165" xfId="0" applyAlignment="1" applyFont="1" applyNumberFormat="1">
      <alignment horizontal="center" readingOrder="0" shrinkToFit="0" vertical="center" wrapText="1"/>
    </xf>
    <xf borderId="96" fillId="3" fontId="14" numFmtId="165" xfId="0" applyAlignment="1" applyBorder="1" applyFont="1" applyNumberFormat="1">
      <alignment horizontal="center" shrinkToFit="0" vertical="center" wrapText="1"/>
    </xf>
    <xf borderId="77" fillId="3" fontId="14" numFmtId="0" xfId="0" applyAlignment="1" applyBorder="1" applyFont="1">
      <alignment horizontal="center" vertical="center"/>
    </xf>
    <xf borderId="79" fillId="3" fontId="16" numFmtId="165" xfId="0" applyAlignment="1" applyBorder="1" applyFont="1" applyNumberFormat="1">
      <alignment horizontal="center" readingOrder="0" vertical="center"/>
    </xf>
    <xf borderId="95" fillId="3" fontId="16" numFmtId="165" xfId="0" applyAlignment="1" applyBorder="1" applyFont="1" applyNumberFormat="1">
      <alignment horizontal="center" readingOrder="0" vertical="center"/>
    </xf>
    <xf borderId="79" fillId="12" fontId="18" numFmtId="165" xfId="0" applyAlignment="1" applyBorder="1" applyFont="1" applyNumberFormat="1">
      <alignment horizontal="center" readingOrder="0" vertical="center"/>
    </xf>
    <xf borderId="95" fillId="12" fontId="18" numFmtId="165" xfId="0" applyAlignment="1" applyBorder="1" applyFont="1" applyNumberFormat="1">
      <alignment horizontal="center" readingOrder="0" vertical="center"/>
    </xf>
    <xf borderId="79" fillId="18" fontId="18" numFmtId="165" xfId="0" applyAlignment="1" applyBorder="1" applyFont="1" applyNumberFormat="1">
      <alignment horizontal="center" readingOrder="0" vertical="center"/>
    </xf>
    <xf borderId="95" fillId="18" fontId="18" numFmtId="165" xfId="0" applyAlignment="1" applyBorder="1" applyFont="1" applyNumberFormat="1">
      <alignment horizontal="center" readingOrder="0" vertical="center"/>
    </xf>
    <xf borderId="0" fillId="3" fontId="16" numFmtId="165" xfId="0" applyAlignment="1" applyFont="1" applyNumberFormat="1">
      <alignment horizontal="center" vertical="center"/>
    </xf>
    <xf borderId="97" fillId="3" fontId="14" numFmtId="165" xfId="0" applyAlignment="1" applyBorder="1" applyFont="1" applyNumberFormat="1">
      <alignment horizontal="center" readingOrder="0" shrinkToFit="0" vertical="center" wrapText="1"/>
    </xf>
    <xf borderId="0" fillId="16" fontId="24" numFmtId="3" xfId="0" applyAlignment="1" applyFont="1" applyNumberFormat="1">
      <alignment readingOrder="0" vertical="center"/>
    </xf>
    <xf borderId="73" fillId="9" fontId="15" numFmtId="0" xfId="0" applyAlignment="1" applyBorder="1" applyFont="1">
      <alignment vertical="center"/>
    </xf>
    <xf borderId="79" fillId="9" fontId="15" numFmtId="165" xfId="0" applyAlignment="1" applyBorder="1" applyFont="1" applyNumberFormat="1">
      <alignment horizontal="center" readingOrder="0" vertical="center"/>
    </xf>
    <xf borderId="95" fillId="9" fontId="15" numFmtId="165" xfId="0" applyAlignment="1" applyBorder="1" applyFont="1" applyNumberFormat="1">
      <alignment horizontal="center" readingOrder="0" vertical="center"/>
    </xf>
    <xf borderId="78" fillId="9" fontId="15" numFmtId="3" xfId="0" applyAlignment="1" applyBorder="1" applyFont="1" applyNumberFormat="1">
      <alignment horizontal="center" vertical="center"/>
    </xf>
    <xf borderId="96" fillId="0" fontId="7" numFmtId="0" xfId="0" applyBorder="1" applyFont="1"/>
    <xf borderId="0" fillId="0" fontId="15" numFmtId="165" xfId="0" applyAlignment="1" applyFont="1" applyNumberFormat="1">
      <alignment vertical="center"/>
    </xf>
    <xf borderId="0" fillId="0" fontId="30" numFmtId="9" xfId="0" applyAlignment="1" applyFont="1" applyNumberFormat="1">
      <alignment readingOrder="0" vertical="center"/>
    </xf>
    <xf borderId="67" fillId="3" fontId="16" numFmtId="165" xfId="0" applyAlignment="1" applyBorder="1" applyFont="1" applyNumberFormat="1">
      <alignment horizontal="center" readingOrder="0" vertical="center"/>
    </xf>
    <xf borderId="98" fillId="3" fontId="16" numFmtId="165" xfId="0" applyAlignment="1" applyBorder="1" applyFont="1" applyNumberFormat="1">
      <alignment horizontal="center" readingOrder="0" vertical="center"/>
    </xf>
    <xf borderId="67" fillId="12" fontId="18" numFmtId="165" xfId="0" applyAlignment="1" applyBorder="1" applyFont="1" applyNumberFormat="1">
      <alignment horizontal="center" readingOrder="0" vertical="center"/>
    </xf>
    <xf borderId="98" fillId="12" fontId="18" numFmtId="165" xfId="0" applyAlignment="1" applyBorder="1" applyFont="1" applyNumberFormat="1">
      <alignment horizontal="center" readingOrder="0" vertical="center"/>
    </xf>
    <xf borderId="67" fillId="18" fontId="18" numFmtId="165" xfId="0" applyAlignment="1" applyBorder="1" applyFont="1" applyNumberFormat="1">
      <alignment horizontal="center" readingOrder="0" vertical="center"/>
    </xf>
    <xf borderId="98" fillId="18" fontId="18" numFmtId="165" xfId="0" applyAlignment="1" applyBorder="1" applyFont="1" applyNumberFormat="1">
      <alignment horizontal="center" readingOrder="0" vertical="center"/>
    </xf>
    <xf borderId="78" fillId="3" fontId="16" numFmtId="0" xfId="0" applyAlignment="1" applyBorder="1" applyFont="1">
      <alignment horizontal="center" vertical="center"/>
    </xf>
    <xf borderId="79" fillId="10" fontId="15" numFmtId="165" xfId="0" applyAlignment="1" applyBorder="1" applyFont="1" applyNumberFormat="1">
      <alignment horizontal="center" shrinkToFit="0" vertical="center" wrapText="0"/>
    </xf>
    <xf borderId="95" fillId="10" fontId="15" numFmtId="165" xfId="0" applyAlignment="1" applyBorder="1" applyFont="1" applyNumberFormat="1">
      <alignment horizontal="center" readingOrder="0" shrinkToFit="0" vertical="center" wrapText="0"/>
    </xf>
    <xf borderId="78" fillId="9" fontId="15" numFmtId="165" xfId="0" applyAlignment="1" applyBorder="1" applyFont="1" applyNumberFormat="1">
      <alignment horizontal="center" vertical="center"/>
    </xf>
    <xf borderId="95" fillId="10" fontId="15" numFmtId="165" xfId="0" applyAlignment="1" applyBorder="1" applyFont="1" applyNumberFormat="1">
      <alignment horizontal="center" shrinkToFit="0" vertical="center" wrapText="0"/>
    </xf>
    <xf borderId="95" fillId="9" fontId="15" numFmtId="165" xfId="0" applyAlignment="1" applyBorder="1" applyFont="1" applyNumberFormat="1">
      <alignment horizontal="center" vertical="center"/>
    </xf>
    <xf borderId="79" fillId="9" fontId="15" numFmtId="165" xfId="0" applyAlignment="1" applyBorder="1" applyFont="1" applyNumberFormat="1">
      <alignment horizontal="center" vertical="center"/>
    </xf>
    <xf borderId="0" fillId="0" fontId="60" numFmtId="3" xfId="0" applyAlignment="1" applyFont="1" applyNumberFormat="1">
      <alignment horizontal="center" readingOrder="0" vertical="center"/>
    </xf>
    <xf borderId="99" fillId="9" fontId="15" numFmtId="0" xfId="0" applyAlignment="1" applyBorder="1" applyFont="1">
      <alignment horizontal="center" vertical="center"/>
    </xf>
    <xf borderId="100" fillId="9" fontId="15" numFmtId="0" xfId="0" applyAlignment="1" applyBorder="1" applyFont="1">
      <alignment horizontal="center" vertical="center"/>
    </xf>
    <xf borderId="100" fillId="9" fontId="15" numFmtId="0" xfId="0" applyAlignment="1" applyBorder="1" applyFont="1">
      <alignment vertical="center"/>
    </xf>
    <xf borderId="101" fillId="9" fontId="15" numFmtId="0" xfId="0" applyAlignment="1" applyBorder="1" applyFont="1">
      <alignment vertical="center"/>
    </xf>
    <xf borderId="99" fillId="9" fontId="15" numFmtId="165" xfId="0" applyAlignment="1" applyBorder="1" applyFont="1" applyNumberFormat="1">
      <alignment horizontal="center" vertical="center"/>
    </xf>
    <xf borderId="102" fillId="9" fontId="15" numFmtId="165" xfId="0" applyAlignment="1" applyBorder="1" applyFont="1" applyNumberFormat="1">
      <alignment horizontal="center" vertical="center"/>
    </xf>
    <xf borderId="103" fillId="9" fontId="15" numFmtId="165" xfId="0" applyAlignment="1" applyBorder="1" applyFont="1" applyNumberFormat="1">
      <alignment horizontal="center" vertical="center"/>
    </xf>
    <xf borderId="104" fillId="0" fontId="7" numFmtId="0" xfId="0" applyBorder="1" applyFont="1"/>
    <xf borderId="81" fillId="9" fontId="51" numFmtId="0" xfId="0" applyAlignment="1" applyBorder="1" applyFont="1">
      <alignment horizontal="center" readingOrder="0" shrinkToFit="0" vertical="center" wrapText="1"/>
    </xf>
    <xf borderId="81" fillId="9" fontId="51" numFmtId="0" xfId="0" applyAlignment="1" applyBorder="1" applyFont="1">
      <alignment readingOrder="0" shrinkToFit="0" vertical="center" wrapText="1"/>
    </xf>
    <xf borderId="83" fillId="9" fontId="30" numFmtId="165" xfId="0" applyAlignment="1" applyBorder="1" applyFont="1" applyNumberFormat="1">
      <alignment vertical="center"/>
    </xf>
    <xf borderId="0" fillId="9" fontId="17" numFmtId="0" xfId="0" applyAlignment="1" applyFont="1">
      <alignment horizontal="center" readingOrder="0" vertical="center"/>
    </xf>
    <xf borderId="0" fillId="0" fontId="20" numFmtId="0" xfId="0" applyAlignment="1" applyFont="1">
      <alignment shrinkToFit="0" vertical="center" wrapText="0"/>
    </xf>
    <xf borderId="0" fillId="0" fontId="20" numFmtId="0" xfId="0" applyAlignment="1" applyFont="1">
      <alignment vertical="center"/>
    </xf>
    <xf borderId="2" fillId="3" fontId="14" numFmtId="0" xfId="0" applyAlignment="1" applyBorder="1" applyFont="1">
      <alignment horizontal="center" readingOrder="0" vertical="center"/>
    </xf>
    <xf borderId="0" fillId="0" fontId="14" numFmtId="0" xfId="0" applyAlignment="1" applyFont="1">
      <alignment readingOrder="0" vertical="center"/>
    </xf>
    <xf borderId="0" fillId="0" fontId="14" numFmtId="3" xfId="0" applyAlignment="1" applyFont="1" applyNumberFormat="1">
      <alignment readingOrder="0" vertical="center"/>
    </xf>
    <xf borderId="0" fillId="0" fontId="14" numFmtId="0" xfId="0" applyAlignment="1" applyFont="1">
      <alignment vertical="center"/>
    </xf>
    <xf borderId="0" fillId="10" fontId="61" numFmtId="0" xfId="0" applyAlignment="1" applyFont="1">
      <alignment horizontal="left" shrinkToFit="0" vertical="center" wrapText="1"/>
    </xf>
    <xf borderId="0" fillId="10" fontId="20" numFmtId="0" xfId="0" applyAlignment="1" applyFont="1">
      <alignment shrinkToFit="0" vertical="center" wrapText="0"/>
    </xf>
    <xf borderId="6" fillId="3" fontId="14" numFmtId="0" xfId="0" applyAlignment="1" applyBorder="1" applyFont="1">
      <alignment horizontal="center" readingOrder="0" vertical="center"/>
    </xf>
    <xf borderId="0" fillId="10" fontId="15" numFmtId="0" xfId="0" applyFont="1"/>
    <xf borderId="6" fillId="10" fontId="20" numFmtId="3" xfId="0" applyAlignment="1" applyBorder="1" applyFont="1" applyNumberFormat="1">
      <alignment horizontal="center" readingOrder="0" vertical="center"/>
    </xf>
    <xf borderId="6" fillId="10" fontId="15" numFmtId="164" xfId="0" applyAlignment="1" applyBorder="1" applyFont="1" applyNumberFormat="1">
      <alignment horizontal="center" readingOrder="0" vertical="center"/>
    </xf>
    <xf borderId="105" fillId="3" fontId="14" numFmtId="0" xfId="0" applyAlignment="1" applyBorder="1" applyFont="1">
      <alignment horizontal="center" readingOrder="0" vertical="center"/>
    </xf>
    <xf borderId="92" fillId="3" fontId="14" numFmtId="0" xfId="0" applyAlignment="1" applyBorder="1" applyFont="1">
      <alignment horizontal="center" readingOrder="0" shrinkToFit="0" vertical="center" wrapText="1"/>
    </xf>
    <xf borderId="66" fillId="3" fontId="62" numFmtId="0" xfId="0" applyAlignment="1" applyBorder="1" applyFont="1">
      <alignment horizontal="center" readingOrder="0" shrinkToFit="0" vertical="center" wrapText="1"/>
    </xf>
    <xf borderId="92" fillId="0" fontId="7" numFmtId="0" xfId="0" applyBorder="1" applyFont="1"/>
    <xf borderId="65" fillId="3" fontId="14" numFmtId="0" xfId="0" applyAlignment="1" applyBorder="1" applyFont="1">
      <alignment horizontal="center" readingOrder="0" shrinkToFit="0" vertical="center" wrapText="1"/>
    </xf>
    <xf borderId="0" fillId="10" fontId="14" numFmtId="0" xfId="0" applyAlignment="1" applyFont="1">
      <alignment shrinkToFit="0" vertical="bottom" wrapText="0"/>
    </xf>
    <xf borderId="6" fillId="10" fontId="20" numFmtId="3" xfId="0" applyAlignment="1" applyBorder="1" applyFont="1" applyNumberFormat="1">
      <alignment horizontal="center" readingOrder="0" shrinkToFit="0" vertical="center" wrapText="0"/>
    </xf>
    <xf borderId="79" fillId="0" fontId="63" numFmtId="0" xfId="0" applyAlignment="1" applyBorder="1" applyFont="1">
      <alignment horizontal="center" readingOrder="0" vertical="center"/>
    </xf>
    <xf borderId="72" fillId="0" fontId="21" numFmtId="0" xfId="0" applyAlignment="1" applyBorder="1" applyFont="1">
      <alignment horizontal="right" readingOrder="0" vertical="center"/>
    </xf>
    <xf borderId="72" fillId="0" fontId="63" numFmtId="0" xfId="0" applyAlignment="1" applyBorder="1" applyFont="1">
      <alignment horizontal="center" readingOrder="0" vertical="center"/>
    </xf>
    <xf borderId="72" fillId="0" fontId="64" numFmtId="0" xfId="0" applyAlignment="1" applyBorder="1" applyFont="1">
      <alignment horizontal="right" readingOrder="0" vertical="center"/>
    </xf>
    <xf borderId="72" fillId="0" fontId="63" numFmtId="3" xfId="0" applyAlignment="1" applyBorder="1" applyFont="1" applyNumberFormat="1">
      <alignment horizontal="right" readingOrder="0" vertical="center"/>
    </xf>
    <xf borderId="6" fillId="0" fontId="20" numFmtId="3" xfId="0" applyAlignment="1" applyBorder="1" applyFont="1" applyNumberFormat="1">
      <alignment horizontal="center" readingOrder="0" shrinkToFit="0" vertical="center" wrapText="0"/>
    </xf>
    <xf borderId="6" fillId="0" fontId="15" numFmtId="164" xfId="0" applyAlignment="1" applyBorder="1" applyFont="1" applyNumberFormat="1">
      <alignment horizontal="center" readingOrder="0" vertical="center"/>
    </xf>
    <xf borderId="79" fillId="27" fontId="63" numFmtId="0" xfId="0" applyAlignment="1" applyBorder="1" applyFont="1">
      <alignment horizontal="center" readingOrder="0" vertical="center"/>
    </xf>
    <xf borderId="72" fillId="27" fontId="21" numFmtId="0" xfId="0" applyAlignment="1" applyBorder="1" applyFont="1">
      <alignment horizontal="right" readingOrder="0" vertical="center"/>
    </xf>
    <xf borderId="72" fillId="27" fontId="63" numFmtId="0" xfId="0" applyAlignment="1" applyBorder="1" applyFont="1">
      <alignment horizontal="center" readingOrder="0" vertical="center"/>
    </xf>
    <xf borderId="72" fillId="27" fontId="64" numFmtId="0" xfId="0" applyAlignment="1" applyBorder="1" applyFont="1">
      <alignment horizontal="right" readingOrder="0" vertical="center"/>
    </xf>
    <xf borderId="72" fillId="27" fontId="63" numFmtId="3" xfId="0" applyAlignment="1" applyBorder="1" applyFont="1" applyNumberFormat="1">
      <alignment horizontal="right" readingOrder="0" vertical="center"/>
    </xf>
    <xf borderId="0" fillId="0" fontId="26" numFmtId="0" xfId="0" applyAlignment="1" applyFont="1">
      <alignment horizontal="center" readingOrder="0" shrinkToFit="0" vertical="bottom" wrapText="0"/>
    </xf>
    <xf borderId="0" fillId="0" fontId="20" numFmtId="9" xfId="0" applyAlignment="1" applyFont="1" applyNumberFormat="1">
      <alignment horizontal="right" readingOrder="0" shrinkToFit="0" vertical="bottom" wrapText="0"/>
    </xf>
    <xf borderId="0" fillId="0" fontId="20" numFmtId="3" xfId="0" applyAlignment="1" applyFont="1" applyNumberFormat="1">
      <alignment horizontal="right" readingOrder="0" shrinkToFit="0" vertical="bottom" wrapText="0"/>
    </xf>
    <xf borderId="0" fillId="0" fontId="20" numFmtId="9" xfId="0" applyAlignment="1" applyFont="1" applyNumberFormat="1">
      <alignment readingOrder="0" vertical="center"/>
    </xf>
    <xf borderId="0" fillId="0" fontId="20" numFmtId="0" xfId="0" applyAlignment="1" applyFont="1">
      <alignment readingOrder="0" vertical="center"/>
    </xf>
    <xf borderId="6" fillId="0" fontId="20" numFmtId="3" xfId="0" applyAlignment="1" applyBorder="1" applyFont="1" applyNumberFormat="1">
      <alignment horizontal="center" shrinkToFit="0" vertical="center" wrapText="0"/>
    </xf>
    <xf borderId="6" fillId="0" fontId="15" numFmtId="164" xfId="0" applyAlignment="1" applyBorder="1" applyFont="1" applyNumberFormat="1">
      <alignment horizontal="center" vertical="center"/>
    </xf>
    <xf borderId="99" fillId="0" fontId="63" numFmtId="0" xfId="0" applyAlignment="1" applyBorder="1" applyFont="1">
      <alignment horizontal="center" readingOrder="0" vertical="center"/>
    </xf>
    <xf borderId="100" fillId="0" fontId="21" numFmtId="0" xfId="0" applyAlignment="1" applyBorder="1" applyFont="1">
      <alignment horizontal="right" readingOrder="0" vertical="center"/>
    </xf>
    <xf borderId="100" fillId="0" fontId="63" numFmtId="0" xfId="0" applyAlignment="1" applyBorder="1" applyFont="1">
      <alignment horizontal="center" readingOrder="0" vertical="center"/>
    </xf>
    <xf borderId="100" fillId="0" fontId="64" numFmtId="0" xfId="0" applyAlignment="1" applyBorder="1" applyFont="1">
      <alignment horizontal="right" readingOrder="0" vertical="center"/>
    </xf>
    <xf borderId="100" fillId="0" fontId="63" numFmtId="3" xfId="0" applyAlignment="1" applyBorder="1" applyFont="1" applyNumberFormat="1">
      <alignment horizontal="right" readingOrder="0" vertical="center"/>
    </xf>
    <xf borderId="0" fillId="0" fontId="14" numFmtId="0" xfId="0" applyAlignment="1" applyFont="1">
      <alignment readingOrder="0" shrinkToFit="0" vertical="bottom" wrapText="0"/>
    </xf>
    <xf borderId="0" fillId="0" fontId="20" numFmtId="0" xfId="0" applyAlignment="1" applyFont="1">
      <alignment shrinkToFit="0" vertical="bottom" wrapText="0"/>
    </xf>
    <xf borderId="0" fillId="0" fontId="20" numFmtId="0" xfId="0" applyAlignment="1" applyFont="1">
      <alignment horizontal="center" shrinkToFit="0" vertical="bottom" wrapText="0"/>
    </xf>
    <xf borderId="0" fillId="0" fontId="20" numFmtId="0" xfId="0" applyAlignment="1" applyFont="1">
      <alignment shrinkToFit="0" vertical="bottom" wrapText="0"/>
    </xf>
    <xf borderId="0" fillId="0" fontId="20" numFmtId="3" xfId="0" applyAlignment="1" applyFont="1" applyNumberFormat="1">
      <alignment shrinkToFit="0" vertical="center" wrapText="0"/>
    </xf>
    <xf borderId="0" fillId="0" fontId="20" numFmtId="3" xfId="0" applyAlignment="1" applyFont="1" applyNumberFormat="1">
      <alignment vertical="center"/>
    </xf>
    <xf borderId="0" fillId="0" fontId="26" numFmtId="0" xfId="0" applyAlignment="1" applyFont="1">
      <alignment horizontal="right" readingOrder="0" shrinkToFit="0" vertical="bottom" wrapText="0"/>
    </xf>
    <xf borderId="0" fillId="0" fontId="26" numFmtId="0" xfId="0" applyAlignment="1" applyFont="1">
      <alignment readingOrder="0" shrinkToFit="0" vertical="bottom" wrapText="0"/>
    </xf>
    <xf borderId="0" fillId="0" fontId="20" numFmtId="0" xfId="0" applyAlignment="1" applyFont="1">
      <alignment horizontal="right" readingOrder="0" shrinkToFit="0" vertical="bottom" wrapText="0"/>
    </xf>
    <xf borderId="0" fillId="0" fontId="20" numFmtId="0" xfId="0" applyAlignment="1" applyFont="1">
      <alignment readingOrder="0" shrinkToFit="0" vertical="bottom" wrapText="0"/>
    </xf>
    <xf borderId="0" fillId="0" fontId="20" numFmtId="0" xfId="0" applyAlignment="1" applyFont="1">
      <alignment horizontal="left" readingOrder="0" vertical="bottom"/>
    </xf>
    <xf borderId="0" fillId="0" fontId="20" numFmtId="0" xfId="0" applyAlignment="1" applyFont="1">
      <alignment horizontal="center" shrinkToFit="0" vertical="bottom" wrapText="0"/>
    </xf>
    <xf borderId="0" fillId="0" fontId="20" numFmtId="0" xfId="0" applyAlignment="1" applyFont="1">
      <alignment shrinkToFit="0" vertical="bottom" wrapText="0"/>
    </xf>
    <xf borderId="0" fillId="0" fontId="14" numFmtId="3" xfId="0" applyAlignment="1" applyFont="1" applyNumberFormat="1">
      <alignment shrinkToFit="0" vertical="center" wrapText="0"/>
    </xf>
    <xf quotePrefix="1" borderId="0" fillId="3" fontId="14" numFmtId="0" xfId="0" applyAlignment="1" applyFont="1">
      <alignment readingOrder="0" shrinkToFit="0" vertical="bottom" wrapText="0"/>
    </xf>
    <xf borderId="0" fillId="3" fontId="20" numFmtId="0" xfId="0" applyAlignment="1" applyFont="1">
      <alignment readingOrder="0" shrinkToFit="0" vertical="bottom" wrapText="0"/>
    </xf>
    <xf borderId="106" fillId="10" fontId="65" numFmtId="0" xfId="0" applyAlignment="1" applyBorder="1" applyFont="1">
      <alignment horizontal="right" vertical="center"/>
    </xf>
    <xf borderId="107" fillId="0" fontId="7" numFmtId="0" xfId="0" applyBorder="1" applyFont="1"/>
    <xf borderId="108" fillId="0" fontId="7" numFmtId="0" xfId="0" applyBorder="1" applyFont="1"/>
    <xf borderId="0" fillId="0" fontId="66" numFmtId="0" xfId="0" applyAlignment="1" applyFont="1">
      <alignment vertical="center"/>
    </xf>
    <xf borderId="0" fillId="9" fontId="67" numFmtId="0" xfId="0" applyAlignment="1" applyFont="1">
      <alignment horizontal="center" vertical="center"/>
    </xf>
    <xf borderId="86" fillId="11" fontId="68" numFmtId="0" xfId="0" applyAlignment="1" applyBorder="1" applyFont="1">
      <alignment horizontal="center" vertical="center"/>
    </xf>
    <xf borderId="80" fillId="9" fontId="67" numFmtId="0" xfId="0" applyAlignment="1" applyBorder="1" applyFont="1">
      <alignment horizontal="center" vertical="center"/>
    </xf>
    <xf borderId="85" fillId="9" fontId="67" numFmtId="0" xfId="0" applyAlignment="1" applyBorder="1" applyFont="1">
      <alignment horizontal="center" vertical="center"/>
    </xf>
    <xf borderId="81" fillId="9" fontId="67" numFmtId="0" xfId="0" applyAlignment="1" applyBorder="1" applyFont="1">
      <alignment horizontal="center" vertical="center"/>
    </xf>
    <xf borderId="84" fillId="9" fontId="67" numFmtId="0" xfId="0" applyAlignment="1" applyBorder="1" applyFont="1">
      <alignment horizontal="center" vertical="center"/>
    </xf>
    <xf borderId="0" fillId="0" fontId="66" numFmtId="0" xfId="0" applyAlignment="1" applyFont="1">
      <alignment vertical="center"/>
    </xf>
    <xf borderId="61" fillId="3" fontId="69" numFmtId="0" xfId="0" applyAlignment="1" applyBorder="1" applyFont="1">
      <alignment horizontal="center" readingOrder="0" vertical="center"/>
    </xf>
    <xf borderId="90" fillId="3" fontId="70" numFmtId="165" xfId="0" applyAlignment="1" applyBorder="1" applyFont="1" applyNumberFormat="1">
      <alignment horizontal="center" readingOrder="0" shrinkToFit="0" vertical="center" wrapText="1"/>
    </xf>
    <xf borderId="109" fillId="0" fontId="7" numFmtId="0" xfId="0" applyBorder="1" applyFont="1"/>
    <xf borderId="90" fillId="12" fontId="71" numFmtId="165" xfId="0" applyAlignment="1" applyBorder="1" applyFont="1" applyNumberFormat="1">
      <alignment horizontal="center" readingOrder="0" shrinkToFit="0" vertical="center" wrapText="1"/>
    </xf>
    <xf borderId="90" fillId="18" fontId="71" numFmtId="165" xfId="0" applyAlignment="1" applyBorder="1" applyFont="1" applyNumberFormat="1">
      <alignment horizontal="center" readingOrder="0" shrinkToFit="0" vertical="center" wrapText="1"/>
    </xf>
    <xf borderId="110" fillId="3" fontId="70" numFmtId="165" xfId="0" applyAlignment="1" applyBorder="1" applyFont="1" applyNumberFormat="1">
      <alignment horizontal="center" shrinkToFit="0" vertical="center" wrapText="1"/>
    </xf>
    <xf borderId="76" fillId="3" fontId="70" numFmtId="165" xfId="0" applyAlignment="1" applyBorder="1" applyFont="1" applyNumberFormat="1">
      <alignment horizontal="center" shrinkToFit="0" vertical="center" wrapText="1"/>
    </xf>
    <xf borderId="111" fillId="3" fontId="70" numFmtId="165" xfId="0" applyAlignment="1" applyBorder="1" applyFont="1" applyNumberFormat="1">
      <alignment horizontal="center" shrinkToFit="0" vertical="center" wrapText="1"/>
    </xf>
    <xf borderId="110" fillId="12" fontId="71" numFmtId="165" xfId="0" applyAlignment="1" applyBorder="1" applyFont="1" applyNumberFormat="1">
      <alignment horizontal="center" shrinkToFit="0" vertical="center" wrapText="1"/>
    </xf>
    <xf borderId="76" fillId="12" fontId="71" numFmtId="165" xfId="0" applyAlignment="1" applyBorder="1" applyFont="1" applyNumberFormat="1">
      <alignment horizontal="center" shrinkToFit="0" vertical="center" wrapText="1"/>
    </xf>
    <xf borderId="111" fillId="12" fontId="71" numFmtId="165" xfId="0" applyAlignment="1" applyBorder="1" applyFont="1" applyNumberFormat="1">
      <alignment horizontal="center" shrinkToFit="0" vertical="center" wrapText="1"/>
    </xf>
    <xf borderId="110" fillId="18" fontId="71" numFmtId="165" xfId="0" applyAlignment="1" applyBorder="1" applyFont="1" applyNumberFormat="1">
      <alignment horizontal="center" shrinkToFit="0" vertical="center" wrapText="1"/>
    </xf>
    <xf borderId="70" fillId="18" fontId="71" numFmtId="165" xfId="0" applyAlignment="1" applyBorder="1" applyFont="1" applyNumberFormat="1">
      <alignment horizontal="center" shrinkToFit="0" vertical="center" wrapText="1"/>
    </xf>
    <xf borderId="112" fillId="18" fontId="71" numFmtId="165" xfId="0" applyAlignment="1" applyBorder="1" applyFont="1" applyNumberFormat="1">
      <alignment horizontal="center" shrinkToFit="0" vertical="center" wrapText="1"/>
    </xf>
    <xf borderId="77" fillId="3" fontId="67" numFmtId="165" xfId="0" applyAlignment="1" applyBorder="1" applyFont="1" applyNumberFormat="1">
      <alignment horizontal="center" shrinkToFit="0" vertical="center" wrapText="1"/>
    </xf>
    <xf borderId="79" fillId="3" fontId="70" numFmtId="165" xfId="0" applyAlignment="1" applyBorder="1" applyFont="1" applyNumberFormat="1">
      <alignment horizontal="center" shrinkToFit="0" vertical="center" wrapText="1"/>
    </xf>
    <xf borderId="78" fillId="3" fontId="70" numFmtId="165" xfId="0" applyAlignment="1" applyBorder="1" applyFont="1" applyNumberFormat="1">
      <alignment horizontal="center" shrinkToFit="0" vertical="center" wrapText="1"/>
    </xf>
    <xf borderId="113" fillId="3" fontId="70" numFmtId="165" xfId="0" applyAlignment="1" applyBorder="1" applyFont="1" applyNumberFormat="1">
      <alignment horizontal="center" shrinkToFit="0" vertical="center" wrapText="1"/>
    </xf>
    <xf borderId="79" fillId="12" fontId="71" numFmtId="165" xfId="0" applyAlignment="1" applyBorder="1" applyFont="1" applyNumberFormat="1">
      <alignment horizontal="center" shrinkToFit="0" vertical="center" wrapText="1"/>
    </xf>
    <xf borderId="78" fillId="12" fontId="71" numFmtId="165" xfId="0" applyAlignment="1" applyBorder="1" applyFont="1" applyNumberFormat="1">
      <alignment horizontal="center" shrinkToFit="0" vertical="center" wrapText="1"/>
    </xf>
    <xf borderId="113" fillId="12" fontId="71" numFmtId="165" xfId="0" applyAlignment="1" applyBorder="1" applyFont="1" applyNumberFormat="1">
      <alignment horizontal="center" shrinkToFit="0" vertical="center" wrapText="1"/>
    </xf>
    <xf borderId="79" fillId="18" fontId="71" numFmtId="165" xfId="0" applyAlignment="1" applyBorder="1" applyFont="1" applyNumberFormat="1">
      <alignment horizontal="center" shrinkToFit="0" vertical="center" wrapText="1"/>
    </xf>
    <xf borderId="72" fillId="18" fontId="71" numFmtId="165" xfId="0" applyAlignment="1" applyBorder="1" applyFont="1" applyNumberFormat="1">
      <alignment horizontal="center" shrinkToFit="0" vertical="center" wrapText="1"/>
    </xf>
    <xf borderId="95" fillId="18" fontId="71" numFmtId="0" xfId="0" applyAlignment="1" applyBorder="1" applyFont="1">
      <alignment horizontal="center" shrinkToFit="0" vertical="center" wrapText="1"/>
    </xf>
    <xf borderId="79" fillId="9" fontId="66" numFmtId="0" xfId="0" applyAlignment="1" applyBorder="1" applyFont="1">
      <alignment horizontal="center" vertical="center"/>
    </xf>
    <xf borderId="72" fillId="9" fontId="66" numFmtId="0" xfId="0" applyAlignment="1" applyBorder="1" applyFont="1">
      <alignment horizontal="center" vertical="center"/>
    </xf>
    <xf borderId="73" fillId="9" fontId="66" numFmtId="0" xfId="0" applyAlignment="1" applyBorder="1" applyFont="1">
      <alignment horizontal="center" vertical="center"/>
    </xf>
    <xf borderId="79" fillId="9" fontId="66" numFmtId="165" xfId="0" applyAlignment="1" applyBorder="1" applyFont="1" applyNumberFormat="1">
      <alignment horizontal="center" vertical="center"/>
    </xf>
    <xf borderId="72" fillId="9" fontId="66" numFmtId="165" xfId="0" applyAlignment="1" applyBorder="1" applyFont="1" applyNumberFormat="1">
      <alignment horizontal="center" readingOrder="0" vertical="center"/>
    </xf>
    <xf borderId="95" fillId="9" fontId="66" numFmtId="165" xfId="0" applyAlignment="1" applyBorder="1" applyFont="1" applyNumberFormat="1">
      <alignment horizontal="center" readingOrder="0" vertical="center"/>
    </xf>
    <xf borderId="72" fillId="9" fontId="66" numFmtId="165" xfId="0" applyAlignment="1" applyBorder="1" applyFont="1" applyNumberFormat="1">
      <alignment horizontal="center" vertical="center"/>
    </xf>
    <xf borderId="95" fillId="9" fontId="66" numFmtId="165" xfId="0" applyAlignment="1" applyBorder="1" applyFont="1" applyNumberFormat="1">
      <alignment horizontal="center" vertical="center"/>
    </xf>
    <xf borderId="0" fillId="9" fontId="66" numFmtId="165" xfId="0" applyAlignment="1" applyFont="1" applyNumberFormat="1">
      <alignment horizontal="center" vertical="center"/>
    </xf>
    <xf borderId="72" fillId="9" fontId="66" numFmtId="165" xfId="0" applyAlignment="1" applyBorder="1" applyFont="1" applyNumberFormat="1">
      <alignment horizontal="right" shrinkToFit="0" vertical="center" wrapText="1"/>
    </xf>
    <xf borderId="98" fillId="9" fontId="66" numFmtId="165" xfId="0" applyAlignment="1" applyBorder="1" applyFont="1" applyNumberFormat="1">
      <alignment horizontal="center" readingOrder="0" vertical="center"/>
    </xf>
    <xf borderId="0" fillId="28" fontId="72" numFmtId="165" xfId="0" applyAlignment="1" applyFill="1" applyFont="1" applyNumberFormat="1">
      <alignment readingOrder="0" vertical="center"/>
    </xf>
    <xf borderId="0" fillId="0" fontId="66" numFmtId="9" xfId="0" applyAlignment="1" applyFont="1" applyNumberFormat="1">
      <alignment readingOrder="0" vertical="center"/>
    </xf>
    <xf borderId="79" fillId="9" fontId="66" numFmtId="165" xfId="0" applyAlignment="1" applyBorder="1" applyFont="1" applyNumberFormat="1">
      <alignment horizontal="right" shrinkToFit="0" vertical="center" wrapText="1"/>
    </xf>
    <xf borderId="95" fillId="9" fontId="66" numFmtId="165" xfId="0" applyAlignment="1" applyBorder="1" applyFont="1" applyNumberFormat="1">
      <alignment horizontal="right" shrinkToFit="0" vertical="center" wrapText="1"/>
    </xf>
    <xf borderId="95" fillId="9" fontId="66" numFmtId="165" xfId="0" applyAlignment="1" applyBorder="1" applyFont="1" applyNumberFormat="1">
      <alignment vertical="center"/>
    </xf>
    <xf borderId="79" fillId="0" fontId="66" numFmtId="165" xfId="0" applyAlignment="1" applyBorder="1" applyFont="1" applyNumberFormat="1">
      <alignment horizontal="right" vertical="center"/>
    </xf>
    <xf borderId="72" fillId="0" fontId="66" numFmtId="165" xfId="0" applyAlignment="1" applyBorder="1" applyFont="1" applyNumberFormat="1">
      <alignment horizontal="right" vertical="center"/>
    </xf>
    <xf borderId="95" fillId="0" fontId="66" numFmtId="165" xfId="0" applyAlignment="1" applyBorder="1" applyFont="1" applyNumberFormat="1">
      <alignment horizontal="right" vertical="center"/>
    </xf>
    <xf borderId="73" fillId="9" fontId="66" numFmtId="165" xfId="0" applyAlignment="1" applyBorder="1" applyFont="1" applyNumberFormat="1">
      <alignment horizontal="center" vertical="center"/>
    </xf>
    <xf borderId="79" fillId="9" fontId="66" numFmtId="165" xfId="0" applyAlignment="1" applyBorder="1" applyFont="1" applyNumberFormat="1">
      <alignment vertical="center"/>
    </xf>
    <xf borderId="72" fillId="9" fontId="66" numFmtId="165" xfId="0" applyAlignment="1" applyBorder="1" applyFont="1" applyNumberFormat="1">
      <alignment vertical="center"/>
    </xf>
    <xf borderId="72" fillId="0" fontId="66" numFmtId="165" xfId="0" applyAlignment="1" applyBorder="1" applyFont="1" applyNumberFormat="1">
      <alignment vertical="center"/>
    </xf>
    <xf borderId="95" fillId="0" fontId="66" numFmtId="165" xfId="0" applyAlignment="1" applyBorder="1" applyFont="1" applyNumberFormat="1">
      <alignment vertical="center"/>
    </xf>
    <xf borderId="0" fillId="0" fontId="66" numFmtId="165" xfId="0" applyAlignment="1" applyFont="1" applyNumberFormat="1">
      <alignment vertical="center"/>
    </xf>
    <xf borderId="95" fillId="18" fontId="71" numFmtId="165" xfId="0" applyAlignment="1" applyBorder="1" applyFont="1" applyNumberFormat="1">
      <alignment horizontal="center" shrinkToFit="0" vertical="center" wrapText="1"/>
    </xf>
    <xf borderId="0" fillId="3" fontId="67" numFmtId="0" xfId="0" applyAlignment="1" applyFont="1">
      <alignment horizontal="center" shrinkToFit="0" vertical="center" wrapText="1"/>
    </xf>
    <xf borderId="73" fillId="9" fontId="66" numFmtId="165" xfId="0" applyAlignment="1" applyBorder="1" applyFont="1" applyNumberFormat="1">
      <alignment vertical="center"/>
    </xf>
    <xf borderId="0" fillId="28" fontId="72" numFmtId="164" xfId="0" applyAlignment="1" applyFont="1" applyNumberFormat="1">
      <alignment readingOrder="0" vertical="center"/>
    </xf>
    <xf borderId="77" fillId="3" fontId="67" numFmtId="0" xfId="0" applyAlignment="1" applyBorder="1" applyFont="1">
      <alignment horizontal="center" shrinkToFit="0" vertical="center" wrapText="1"/>
    </xf>
    <xf borderId="78" fillId="3" fontId="70" numFmtId="165" xfId="0" applyAlignment="1" applyBorder="1" applyFont="1" applyNumberFormat="1">
      <alignment horizontal="center" readingOrder="0" shrinkToFit="0" vertical="center" wrapText="1"/>
    </xf>
    <xf borderId="78" fillId="12" fontId="71" numFmtId="165" xfId="0" applyAlignment="1" applyBorder="1" applyFont="1" applyNumberFormat="1">
      <alignment horizontal="center" readingOrder="0" shrinkToFit="0" vertical="center" wrapText="1"/>
    </xf>
    <xf borderId="72" fillId="18" fontId="71" numFmtId="165" xfId="0" applyAlignment="1" applyBorder="1" applyFont="1" applyNumberFormat="1">
      <alignment horizontal="center" readingOrder="0" shrinkToFit="0" vertical="center" wrapText="1"/>
    </xf>
    <xf borderId="79" fillId="9" fontId="66" numFmtId="165" xfId="0" applyAlignment="1" applyBorder="1" applyFont="1" applyNumberFormat="1">
      <alignment horizontal="center" readingOrder="0" vertical="center"/>
    </xf>
    <xf borderId="95" fillId="0" fontId="66" numFmtId="3" xfId="0" applyAlignment="1" applyBorder="1" applyFont="1" applyNumberFormat="1">
      <alignment vertical="center"/>
    </xf>
    <xf borderId="72" fillId="0" fontId="66" numFmtId="3" xfId="0" applyAlignment="1" applyBorder="1" applyFont="1" applyNumberFormat="1">
      <alignment horizontal="right" vertical="center"/>
    </xf>
    <xf borderId="72" fillId="9" fontId="66" numFmtId="0" xfId="0" applyAlignment="1" applyBorder="1" applyFont="1">
      <alignment horizontal="center" readingOrder="0" vertical="center"/>
    </xf>
    <xf borderId="79" fillId="9" fontId="66" numFmtId="165" xfId="0" applyAlignment="1" applyBorder="1" applyFont="1" applyNumberFormat="1">
      <alignment horizontal="right" vertical="center"/>
    </xf>
    <xf borderId="72" fillId="9" fontId="66" numFmtId="165" xfId="0" applyAlignment="1" applyBorder="1" applyFont="1" applyNumberFormat="1">
      <alignment horizontal="right" vertical="center"/>
    </xf>
    <xf borderId="95" fillId="9" fontId="66" numFmtId="165" xfId="0" applyAlignment="1" applyBorder="1" applyFont="1" applyNumberFormat="1">
      <alignment horizontal="right" vertical="center"/>
    </xf>
    <xf borderId="99" fillId="9" fontId="66" numFmtId="0" xfId="0" applyAlignment="1" applyBorder="1" applyFont="1">
      <alignment horizontal="center" vertical="center"/>
    </xf>
    <xf borderId="100" fillId="9" fontId="66" numFmtId="0" xfId="0" applyAlignment="1" applyBorder="1" applyFont="1">
      <alignment horizontal="center" vertical="center"/>
    </xf>
    <xf borderId="101" fillId="9" fontId="66" numFmtId="0" xfId="0" applyAlignment="1" applyBorder="1" applyFont="1">
      <alignment horizontal="center" vertical="center"/>
    </xf>
    <xf borderId="103" fillId="0" fontId="7" numFmtId="0" xfId="0" applyBorder="1" applyFont="1"/>
    <xf borderId="99" fillId="9" fontId="66" numFmtId="165" xfId="0" applyAlignment="1" applyBorder="1" applyFont="1" applyNumberFormat="1">
      <alignment horizontal="right" vertical="center"/>
    </xf>
    <xf borderId="100" fillId="9" fontId="66" numFmtId="165" xfId="0" applyAlignment="1" applyBorder="1" applyFont="1" applyNumberFormat="1">
      <alignment horizontal="right" vertical="center"/>
    </xf>
    <xf borderId="100" fillId="9" fontId="66" numFmtId="165" xfId="0" applyAlignment="1" applyBorder="1" applyFont="1" applyNumberFormat="1">
      <alignment horizontal="right" readingOrder="0" vertical="center"/>
    </xf>
    <xf borderId="102" fillId="9" fontId="66" numFmtId="165" xfId="0" applyAlignment="1" applyBorder="1" applyFont="1" applyNumberFormat="1">
      <alignment horizontal="right" vertical="center"/>
    </xf>
    <xf borderId="102" fillId="9" fontId="66" numFmtId="165" xfId="0" applyAlignment="1" applyBorder="1" applyFont="1" applyNumberFormat="1">
      <alignment vertical="center"/>
    </xf>
    <xf borderId="83" fillId="9" fontId="66" numFmtId="0" xfId="0" applyAlignment="1" applyBorder="1" applyFont="1">
      <alignment vertical="center"/>
    </xf>
    <xf borderId="84" fillId="9" fontId="66" numFmtId="0" xfId="0" applyAlignment="1" applyBorder="1" applyFont="1">
      <alignment vertical="center"/>
    </xf>
    <xf borderId="84" fillId="9" fontId="66" numFmtId="0" xfId="0" applyAlignment="1" applyBorder="1" applyFont="1">
      <alignment readingOrder="0" vertical="center"/>
    </xf>
    <xf borderId="84" fillId="9" fontId="66" numFmtId="165" xfId="0" applyAlignment="1" applyBorder="1" applyFont="1" applyNumberFormat="1">
      <alignment vertical="center"/>
    </xf>
    <xf borderId="0" fillId="9" fontId="73" numFmtId="0" xfId="0" applyAlignment="1" applyFont="1">
      <alignment horizontal="center" shrinkToFit="0" vertical="center" wrapText="1"/>
    </xf>
    <xf borderId="0" fillId="9" fontId="73" numFmtId="165" xfId="0" applyAlignment="1" applyFont="1" applyNumberFormat="1">
      <alignment readingOrder="0" shrinkToFit="0" vertical="center" wrapText="1"/>
    </xf>
    <xf borderId="0" fillId="9" fontId="73" numFmtId="165" xfId="0" applyAlignment="1" applyFont="1" applyNumberFormat="1">
      <alignment shrinkToFit="0" vertical="center" wrapText="1"/>
    </xf>
    <xf borderId="0" fillId="9" fontId="70" numFmtId="165" xfId="0" applyAlignment="1" applyFont="1" applyNumberFormat="1">
      <alignment shrinkToFit="0" vertical="center" wrapText="1"/>
    </xf>
    <xf borderId="81" fillId="9" fontId="73" numFmtId="0" xfId="0" applyAlignment="1" applyBorder="1" applyFont="1">
      <alignment horizontal="center" shrinkToFit="0" vertical="center" wrapText="1"/>
    </xf>
    <xf borderId="81" fillId="9" fontId="73" numFmtId="165" xfId="0" applyAlignment="1" applyBorder="1" applyFont="1" applyNumberFormat="1">
      <alignment shrinkToFit="0" vertical="center" wrapText="1"/>
    </xf>
    <xf borderId="83" fillId="13" fontId="66" numFmtId="0" xfId="0" applyAlignment="1" applyBorder="1" applyFont="1">
      <alignment vertical="center"/>
    </xf>
    <xf borderId="84" fillId="13" fontId="66" numFmtId="0" xfId="0" applyAlignment="1" applyBorder="1" applyFont="1">
      <alignment vertical="center"/>
    </xf>
    <xf borderId="84" fillId="13" fontId="66" numFmtId="165" xfId="0" applyAlignment="1" applyBorder="1" applyFont="1" applyNumberFormat="1">
      <alignment vertical="center"/>
    </xf>
    <xf borderId="0" fillId="13" fontId="66" numFmtId="0" xfId="0" applyAlignment="1" applyFont="1">
      <alignment vertical="center"/>
    </xf>
    <xf borderId="98" fillId="9" fontId="66" numFmtId="165" xfId="0" applyAlignment="1" applyBorder="1" applyFont="1" applyNumberFormat="1">
      <alignment horizontal="center" vertical="center"/>
    </xf>
    <xf borderId="0" fillId="0" fontId="74" numFmtId="0" xfId="0" applyAlignment="1" applyFont="1">
      <alignment shrinkToFit="0" vertical="center" wrapText="0"/>
    </xf>
    <xf borderId="0" fillId="0" fontId="74" numFmtId="0" xfId="0" applyAlignment="1" applyFont="1">
      <alignment vertical="center"/>
    </xf>
    <xf borderId="0" fillId="0" fontId="67" numFmtId="0" xfId="0" applyAlignment="1" applyFont="1">
      <alignment readingOrder="0" vertical="center"/>
    </xf>
    <xf borderId="0" fillId="0" fontId="67" numFmtId="3" xfId="0" applyAlignment="1" applyFont="1" applyNumberFormat="1">
      <alignment readingOrder="0" vertical="center"/>
    </xf>
    <xf borderId="0" fillId="16" fontId="72" numFmtId="164" xfId="0" applyAlignment="1" applyFont="1" applyNumberFormat="1">
      <alignment readingOrder="0" vertical="center"/>
    </xf>
    <xf borderId="0" fillId="10" fontId="73" numFmtId="0" xfId="0" applyAlignment="1" applyFont="1">
      <alignment horizontal="left" shrinkToFit="0" vertical="center" wrapText="1"/>
    </xf>
    <xf borderId="0" fillId="16" fontId="72" numFmtId="0" xfId="0" applyAlignment="1" applyFont="1">
      <alignment readingOrder="0" vertical="center"/>
    </xf>
    <xf borderId="114" fillId="3" fontId="67" numFmtId="0" xfId="0" applyAlignment="1" applyBorder="1" applyFont="1">
      <alignment horizontal="center" shrinkToFit="0" vertical="center" wrapText="0"/>
    </xf>
    <xf borderId="115" fillId="3" fontId="67" numFmtId="0" xfId="0" applyAlignment="1" applyBorder="1" applyFont="1">
      <alignment horizontal="center" shrinkToFit="0" vertical="center" wrapText="0"/>
    </xf>
    <xf borderId="115" fillId="3" fontId="75" numFmtId="0" xfId="0" applyAlignment="1" applyBorder="1" applyFont="1">
      <alignment horizontal="center" readingOrder="0" shrinkToFit="0" vertical="center" wrapText="0"/>
    </xf>
    <xf borderId="116" fillId="3" fontId="67" numFmtId="0" xfId="0" applyAlignment="1" applyBorder="1" applyFont="1">
      <alignment horizontal="center" readingOrder="0" shrinkToFit="0" vertical="center" wrapText="0"/>
    </xf>
    <xf borderId="117" fillId="3" fontId="67" numFmtId="4" xfId="0" applyAlignment="1" applyBorder="1" applyFont="1" applyNumberFormat="1">
      <alignment horizontal="center" readingOrder="0" shrinkToFit="0" vertical="center" wrapText="1"/>
    </xf>
    <xf borderId="118" fillId="3" fontId="67" numFmtId="0" xfId="0" applyAlignment="1" applyBorder="1" applyFont="1">
      <alignment horizontal="center" readingOrder="0" shrinkToFit="0" vertical="center" wrapText="0"/>
    </xf>
    <xf borderId="119" fillId="12" fontId="76" numFmtId="0" xfId="0" applyAlignment="1" applyBorder="1" applyFont="1">
      <alignment horizontal="center" readingOrder="0" shrinkToFit="0" vertical="center" wrapText="0"/>
    </xf>
    <xf borderId="0" fillId="0" fontId="30" numFmtId="0" xfId="0" applyFont="1"/>
    <xf borderId="120" fillId="3" fontId="67" numFmtId="0" xfId="0" applyAlignment="1" applyBorder="1" applyFont="1">
      <alignment horizontal="center" shrinkToFit="0" vertical="center" wrapText="0"/>
    </xf>
    <xf borderId="120" fillId="3" fontId="77" numFmtId="0" xfId="0" applyAlignment="1" applyBorder="1" applyFont="1">
      <alignment horizontal="center" readingOrder="0" shrinkToFit="0" vertical="center" wrapText="1"/>
    </xf>
    <xf borderId="120" fillId="3" fontId="67" numFmtId="0" xfId="0" applyAlignment="1" applyBorder="1" applyFont="1">
      <alignment horizontal="center" readingOrder="0" shrinkToFit="0" vertical="center" wrapText="0"/>
    </xf>
    <xf borderId="121" fillId="3" fontId="67" numFmtId="165" xfId="0" applyAlignment="1" applyBorder="1" applyFont="1" applyNumberFormat="1">
      <alignment horizontal="center" readingOrder="0" shrinkToFit="0" vertical="center" wrapText="1"/>
    </xf>
    <xf borderId="122" fillId="12" fontId="76" numFmtId="4" xfId="0" applyAlignment="1" applyBorder="1" applyFont="1" applyNumberFormat="1">
      <alignment horizontal="center" readingOrder="0" shrinkToFit="0" vertical="center" wrapText="1"/>
    </xf>
    <xf borderId="123" fillId="0" fontId="7" numFmtId="0" xfId="0" applyBorder="1" applyFont="1"/>
    <xf borderId="124" fillId="0" fontId="7" numFmtId="0" xfId="0" applyBorder="1" applyFont="1"/>
    <xf borderId="125" fillId="0" fontId="7" numFmtId="0" xfId="0" applyBorder="1" applyFont="1"/>
    <xf borderId="126" fillId="0" fontId="7" numFmtId="0" xfId="0" applyBorder="1" applyFont="1"/>
    <xf borderId="127" fillId="0" fontId="7" numFmtId="0" xfId="0" applyBorder="1" applyFont="1"/>
    <xf borderId="128" fillId="0" fontId="7" numFmtId="0" xfId="0" applyBorder="1" applyFont="1"/>
    <xf borderId="129" fillId="0" fontId="7" numFmtId="0" xfId="0" applyBorder="1" applyFont="1"/>
    <xf borderId="130" fillId="20" fontId="66" numFmtId="0" xfId="0" applyAlignment="1" applyBorder="1" applyFont="1">
      <alignment horizontal="center" readingOrder="0" shrinkToFit="0" vertical="center" wrapText="0"/>
    </xf>
    <xf borderId="70" fillId="20" fontId="78" numFmtId="0" xfId="0" applyAlignment="1" applyBorder="1" applyFont="1">
      <alignment shrinkToFit="0" vertical="center" wrapText="0"/>
    </xf>
    <xf borderId="70" fillId="20" fontId="66" numFmtId="0" xfId="0" applyAlignment="1" applyBorder="1" applyFont="1">
      <alignment readingOrder="0" shrinkToFit="0" vertical="center" wrapText="0"/>
    </xf>
    <xf borderId="70" fillId="20" fontId="66" numFmtId="0" xfId="0" applyAlignment="1" applyBorder="1" applyFont="1">
      <alignment horizontal="center" shrinkToFit="0" vertical="center" wrapText="0"/>
    </xf>
    <xf borderId="70" fillId="20" fontId="79" numFmtId="165" xfId="0" applyAlignment="1" applyBorder="1" applyFont="1" applyNumberFormat="1">
      <alignment horizontal="center" shrinkToFit="0" vertical="center" wrapText="0"/>
    </xf>
    <xf borderId="131" fillId="20" fontId="79" numFmtId="4" xfId="0" applyAlignment="1" applyBorder="1" applyFont="1" applyNumberFormat="1">
      <alignment horizontal="center" shrinkToFit="0" vertical="center" wrapText="0"/>
    </xf>
    <xf borderId="70" fillId="20" fontId="63" numFmtId="165" xfId="0" applyAlignment="1" applyBorder="1" applyFont="1" applyNumberFormat="1">
      <alignment horizontal="center" shrinkToFit="0" vertical="center" wrapText="0"/>
    </xf>
    <xf borderId="132" fillId="20" fontId="63" numFmtId="165" xfId="0" applyAlignment="1" applyBorder="1" applyFont="1" applyNumberFormat="1">
      <alignment horizontal="center" shrinkToFit="0" vertical="center" wrapText="0"/>
    </xf>
    <xf borderId="70" fillId="20" fontId="80" numFmtId="0" xfId="0" applyAlignment="1" applyBorder="1" applyFont="1">
      <alignment shrinkToFit="0" vertical="center" wrapText="0"/>
    </xf>
    <xf borderId="70" fillId="20" fontId="66" numFmtId="0" xfId="0" applyAlignment="1" applyBorder="1" applyFont="1">
      <alignment horizontal="center" readingOrder="0" shrinkToFit="0" vertical="center" wrapText="0"/>
    </xf>
    <xf borderId="70" fillId="20" fontId="79" numFmtId="4" xfId="0" applyAlignment="1" applyBorder="1" applyFont="1" applyNumberFormat="1">
      <alignment horizontal="center" shrinkToFit="0" vertical="center" wrapText="0"/>
    </xf>
    <xf borderId="70" fillId="20" fontId="79" numFmtId="3" xfId="0" applyAlignment="1" applyBorder="1" applyFont="1" applyNumberFormat="1">
      <alignment horizontal="center" shrinkToFit="0" vertical="center" wrapText="0"/>
    </xf>
    <xf borderId="131" fillId="20" fontId="79" numFmtId="3" xfId="0" applyAlignment="1" applyBorder="1" applyFont="1" applyNumberFormat="1">
      <alignment horizontal="center" shrinkToFit="0" vertical="center" wrapText="0"/>
    </xf>
    <xf borderId="133" fillId="0" fontId="66" numFmtId="0" xfId="0" applyAlignment="1" applyBorder="1" applyFont="1">
      <alignment horizontal="center" readingOrder="0" shrinkToFit="0" vertical="center" wrapText="0"/>
    </xf>
    <xf borderId="70" fillId="0" fontId="78" numFmtId="0" xfId="0" applyAlignment="1" applyBorder="1" applyFont="1">
      <alignment shrinkToFit="0" vertical="center" wrapText="0"/>
    </xf>
    <xf borderId="72" fillId="0" fontId="66" numFmtId="0" xfId="0" applyAlignment="1" applyBorder="1" applyFont="1">
      <alignment readingOrder="0" shrinkToFit="0" vertical="center" wrapText="0"/>
    </xf>
    <xf borderId="72" fillId="0" fontId="66" numFmtId="0" xfId="0" applyAlignment="1" applyBorder="1" applyFont="1">
      <alignment horizontal="center" shrinkToFit="0" vertical="center" wrapText="0"/>
    </xf>
    <xf borderId="72" fillId="0" fontId="79" numFmtId="165" xfId="0" applyAlignment="1" applyBorder="1" applyFont="1" applyNumberFormat="1">
      <alignment horizontal="center" shrinkToFit="0" vertical="center" wrapText="0"/>
    </xf>
    <xf borderId="134" fillId="0" fontId="79" numFmtId="4" xfId="0" applyAlignment="1" applyBorder="1" applyFont="1" applyNumberFormat="1">
      <alignment horizontal="center" shrinkToFit="0" vertical="center" wrapText="0"/>
    </xf>
    <xf borderId="72" fillId="0" fontId="63" numFmtId="165" xfId="0" applyAlignment="1" applyBorder="1" applyFont="1" applyNumberFormat="1">
      <alignment horizontal="center" shrinkToFit="0" vertical="center" wrapText="0"/>
    </xf>
    <xf borderId="135" fillId="0" fontId="63" numFmtId="165" xfId="0" applyAlignment="1" applyBorder="1" applyFont="1" applyNumberFormat="1">
      <alignment horizontal="center" shrinkToFit="0" vertical="center" wrapText="0"/>
    </xf>
    <xf borderId="70" fillId="0" fontId="80" numFmtId="0" xfId="0" applyAlignment="1" applyBorder="1" applyFont="1">
      <alignment shrinkToFit="0" vertical="center" wrapText="0"/>
    </xf>
    <xf borderId="72" fillId="0" fontId="66" numFmtId="0" xfId="0" applyAlignment="1" applyBorder="1" applyFont="1">
      <alignment horizontal="center" readingOrder="0" shrinkToFit="0" vertical="center" wrapText="0"/>
    </xf>
    <xf borderId="72" fillId="0" fontId="79" numFmtId="4" xfId="0" applyAlignment="1" applyBorder="1" applyFont="1" applyNumberFormat="1">
      <alignment horizontal="center" shrinkToFit="0" vertical="center" wrapText="0"/>
    </xf>
    <xf borderId="72" fillId="0" fontId="79" numFmtId="3" xfId="0" applyAlignment="1" applyBorder="1" applyFont="1" applyNumberFormat="1">
      <alignment horizontal="center" shrinkToFit="0" vertical="center" wrapText="0"/>
    </xf>
    <xf borderId="134" fillId="0" fontId="79" numFmtId="3" xfId="0" applyAlignment="1" applyBorder="1" applyFont="1" applyNumberFormat="1">
      <alignment horizontal="center" shrinkToFit="0" vertical="center" wrapText="0"/>
    </xf>
    <xf borderId="130" fillId="0" fontId="66" numFmtId="0" xfId="0" applyAlignment="1" applyBorder="1" applyFont="1">
      <alignment horizontal="center" readingOrder="0" shrinkToFit="0" vertical="center" wrapText="0"/>
    </xf>
    <xf borderId="72" fillId="0" fontId="78" numFmtId="0" xfId="0" applyAlignment="1" applyBorder="1" applyFont="1">
      <alignment readingOrder="0" shrinkToFit="0" vertical="center" wrapText="0"/>
    </xf>
    <xf borderId="70" fillId="20" fontId="66" numFmtId="0" xfId="0" applyAlignment="1" applyBorder="1" applyFont="1">
      <alignment horizontal="center" readingOrder="0" shrinkToFit="0" vertical="center" wrapText="0"/>
    </xf>
    <xf borderId="133" fillId="21" fontId="66" numFmtId="0" xfId="0" applyAlignment="1" applyBorder="1" applyFont="1">
      <alignment horizontal="center" readingOrder="0" shrinkToFit="0" vertical="center" wrapText="0"/>
    </xf>
    <xf borderId="72" fillId="21" fontId="78" numFmtId="0" xfId="0" applyAlignment="1" applyBorder="1" applyFont="1">
      <alignment shrinkToFit="0" vertical="center" wrapText="0"/>
    </xf>
    <xf borderId="72" fillId="21" fontId="66" numFmtId="0" xfId="0" applyAlignment="1" applyBorder="1" applyFont="1">
      <alignment readingOrder="0" shrinkToFit="0" vertical="center" wrapText="0"/>
    </xf>
    <xf borderId="72" fillId="21" fontId="66" numFmtId="0" xfId="0" applyAlignment="1" applyBorder="1" applyFont="1">
      <alignment horizontal="center" shrinkToFit="0" vertical="center" wrapText="0"/>
    </xf>
    <xf borderId="72" fillId="21" fontId="79" numFmtId="165" xfId="0" applyAlignment="1" applyBorder="1" applyFont="1" applyNumberFormat="1">
      <alignment horizontal="center" shrinkToFit="0" vertical="center" wrapText="0"/>
    </xf>
    <xf borderId="134" fillId="21" fontId="79" numFmtId="4" xfId="0" applyAlignment="1" applyBorder="1" applyFont="1" applyNumberFormat="1">
      <alignment horizontal="center" shrinkToFit="0" vertical="center" wrapText="0"/>
    </xf>
    <xf borderId="72" fillId="21" fontId="63" numFmtId="165" xfId="0" applyAlignment="1" applyBorder="1" applyFont="1" applyNumberFormat="1">
      <alignment horizontal="center" shrinkToFit="0" vertical="center" wrapText="0"/>
    </xf>
    <xf borderId="135" fillId="21" fontId="63" numFmtId="165" xfId="0" applyAlignment="1" applyBorder="1" applyFont="1" applyNumberFormat="1">
      <alignment horizontal="center" shrinkToFit="0" vertical="center" wrapText="0"/>
    </xf>
    <xf borderId="72" fillId="0" fontId="78" numFmtId="0" xfId="0" applyAlignment="1" applyBorder="1" applyFont="1">
      <alignment shrinkToFit="0" vertical="center" wrapText="0"/>
    </xf>
    <xf borderId="136" fillId="0" fontId="79" numFmtId="4" xfId="0" applyAlignment="1" applyBorder="1" applyFont="1" applyNumberFormat="1">
      <alignment horizontal="center" shrinkToFit="0" vertical="center" wrapText="0"/>
    </xf>
    <xf borderId="130" fillId="21" fontId="66" numFmtId="0" xfId="0" applyAlignment="1" applyBorder="1" applyFont="1">
      <alignment horizontal="center" readingOrder="0" shrinkToFit="0" vertical="center" wrapText="0"/>
    </xf>
    <xf borderId="72" fillId="21" fontId="78" numFmtId="0" xfId="0" applyAlignment="1" applyBorder="1" applyFont="1">
      <alignment readingOrder="0" shrinkToFit="0" vertical="center" wrapText="0"/>
    </xf>
    <xf borderId="72" fillId="21" fontId="78" numFmtId="0" xfId="0" applyAlignment="1" applyBorder="1" applyFont="1">
      <alignment shrinkToFit="0" vertical="center" wrapText="0"/>
    </xf>
    <xf borderId="73" fillId="21" fontId="79" numFmtId="165" xfId="0" applyAlignment="1" applyBorder="1" applyFont="1" applyNumberFormat="1">
      <alignment horizontal="center" shrinkToFit="0" vertical="center" wrapText="0"/>
    </xf>
    <xf borderId="73" fillId="21" fontId="63" numFmtId="165" xfId="0" applyAlignment="1" applyBorder="1" applyFont="1" applyNumberFormat="1">
      <alignment horizontal="center" shrinkToFit="0" vertical="center" wrapText="0"/>
    </xf>
    <xf borderId="137" fillId="0" fontId="66" numFmtId="0" xfId="0" applyAlignment="1" applyBorder="1" applyFont="1">
      <alignment horizontal="center" shrinkToFit="0" vertical="center" wrapText="0"/>
    </xf>
    <xf borderId="138" fillId="0" fontId="66" numFmtId="0" xfId="0" applyAlignment="1" applyBorder="1" applyFont="1">
      <alignment shrinkToFit="0" vertical="center" wrapText="0"/>
    </xf>
    <xf borderId="138" fillId="0" fontId="66" numFmtId="0" xfId="0" applyAlignment="1" applyBorder="1" applyFont="1">
      <alignment horizontal="center" shrinkToFit="0" vertical="center" wrapText="0"/>
    </xf>
    <xf borderId="138" fillId="0" fontId="79" numFmtId="165" xfId="0" applyAlignment="1" applyBorder="1" applyFont="1" applyNumberFormat="1">
      <alignment horizontal="center" shrinkToFit="0" vertical="center" wrapText="0"/>
    </xf>
    <xf borderId="139" fillId="0" fontId="79" numFmtId="4" xfId="0" applyAlignment="1" applyBorder="1" applyFont="1" applyNumberFormat="1">
      <alignment horizontal="center" shrinkToFit="0" vertical="center" wrapText="0"/>
    </xf>
    <xf borderId="138" fillId="0" fontId="63" numFmtId="165" xfId="0" applyAlignment="1" applyBorder="1" applyFont="1" applyNumberFormat="1">
      <alignment horizontal="center" shrinkToFit="0" vertical="center" wrapText="0"/>
    </xf>
    <xf borderId="140" fillId="0" fontId="63" numFmtId="165" xfId="0" applyAlignment="1" applyBorder="1" applyFont="1" applyNumberFormat="1">
      <alignment horizontal="center" shrinkToFit="0" vertical="center" wrapText="0"/>
    </xf>
    <xf borderId="141" fillId="29" fontId="81" numFmtId="0" xfId="0" applyAlignment="1" applyBorder="1" applyFill="1" applyFont="1">
      <alignment horizontal="center" readingOrder="0" shrinkToFit="0" vertical="center" wrapText="0"/>
    </xf>
    <xf borderId="142" fillId="0" fontId="7" numFmtId="0" xfId="0" applyBorder="1" applyFont="1"/>
    <xf borderId="143" fillId="29" fontId="67" numFmtId="0" xfId="0" applyAlignment="1" applyBorder="1" applyFont="1">
      <alignment horizontal="center" shrinkToFit="0" vertical="center" wrapText="0"/>
    </xf>
    <xf borderId="143" fillId="29" fontId="67" numFmtId="0" xfId="0" applyAlignment="1" applyBorder="1" applyFont="1">
      <alignment horizontal="center" readingOrder="0" shrinkToFit="0" vertical="center" wrapText="1"/>
    </xf>
    <xf borderId="144" fillId="12" fontId="76" numFmtId="0" xfId="0" applyAlignment="1" applyBorder="1" applyFont="1">
      <alignment horizontal="center" readingOrder="0" shrinkToFit="0" vertical="center" wrapText="1"/>
    </xf>
    <xf borderId="0" fillId="0" fontId="30" numFmtId="0" xfId="0" applyFont="1"/>
    <xf borderId="145" fillId="0" fontId="7" numFmtId="0" xfId="0" applyBorder="1" applyFont="1"/>
    <xf borderId="146" fillId="0" fontId="7" numFmtId="0" xfId="0" applyBorder="1" applyFont="1"/>
    <xf borderId="147" fillId="0" fontId="7" numFmtId="0" xfId="0" applyBorder="1" applyFont="1"/>
    <xf borderId="148" fillId="0" fontId="7" numFmtId="0" xfId="0" applyBorder="1" applyFont="1"/>
    <xf borderId="55" fillId="8" fontId="82" numFmtId="0" xfId="0" applyAlignment="1" applyBorder="1" applyFont="1">
      <alignment horizontal="center" readingOrder="0" shrinkToFit="0" vertical="center" wrapText="0"/>
    </xf>
    <xf borderId="149" fillId="0" fontId="7" numFmtId="0" xfId="0" applyBorder="1" applyFont="1"/>
    <xf borderId="29" fillId="0" fontId="78" numFmtId="0" xfId="0" applyAlignment="1" applyBorder="1" applyFont="1">
      <alignment horizontal="left" readingOrder="0" shrinkToFit="0" vertical="center" wrapText="0"/>
    </xf>
    <xf borderId="30" fillId="0" fontId="66" numFmtId="0" xfId="0" applyAlignment="1" applyBorder="1" applyFont="1">
      <alignment horizontal="left" readingOrder="0" shrinkToFit="0" vertical="center" wrapText="0"/>
    </xf>
    <xf borderId="30" fillId="0" fontId="66" numFmtId="0" xfId="0" applyAlignment="1" applyBorder="1" applyFont="1">
      <alignment horizontal="center" readingOrder="0" shrinkToFit="0" vertical="center" wrapText="0"/>
    </xf>
    <xf borderId="30" fillId="0" fontId="66" numFmtId="0" xfId="0" applyAlignment="1" applyBorder="1" applyFont="1">
      <alignment horizontal="right" readingOrder="0" shrinkToFit="0" vertical="center" wrapText="0"/>
    </xf>
    <xf borderId="30" fillId="0" fontId="66" numFmtId="4" xfId="0" applyAlignment="1" applyBorder="1" applyFont="1" applyNumberFormat="1">
      <alignment horizontal="right" shrinkToFit="0" vertical="center" wrapText="0"/>
    </xf>
    <xf borderId="30" fillId="0" fontId="66" numFmtId="3" xfId="0" applyAlignment="1" applyBorder="1" applyFont="1" applyNumberFormat="1">
      <alignment horizontal="right" shrinkToFit="0" vertical="center" wrapText="0"/>
    </xf>
    <xf borderId="31" fillId="0" fontId="15" numFmtId="3" xfId="0" applyAlignment="1" applyBorder="1" applyFont="1" applyNumberFormat="1">
      <alignment horizontal="right" shrinkToFit="0" vertical="center" wrapText="0"/>
    </xf>
    <xf borderId="59" fillId="8" fontId="82" numFmtId="0" xfId="0" applyAlignment="1" applyBorder="1" applyFont="1">
      <alignment horizontal="center" readingOrder="0" shrinkToFit="0" vertical="center" wrapText="0"/>
    </xf>
    <xf borderId="150" fillId="0" fontId="7" numFmtId="0" xfId="0" applyBorder="1" applyFont="1"/>
    <xf borderId="30" fillId="0" fontId="74" numFmtId="4" xfId="0" applyAlignment="1" applyBorder="1" applyFont="1" applyNumberFormat="1">
      <alignment shrinkToFit="0" vertical="center" wrapText="0"/>
    </xf>
    <xf borderId="30" fillId="0" fontId="74" numFmtId="3" xfId="0" applyAlignment="1" applyBorder="1" applyFont="1" applyNumberFormat="1">
      <alignment shrinkToFit="0" vertical="center" wrapText="0"/>
    </xf>
    <xf borderId="151" fillId="0" fontId="80" numFmtId="0" xfId="0" applyAlignment="1" applyBorder="1" applyFont="1">
      <alignment shrinkToFit="0" vertical="center" wrapText="0"/>
    </xf>
    <xf borderId="151" fillId="0" fontId="66" numFmtId="0" xfId="0" applyAlignment="1" applyBorder="1" applyFont="1">
      <alignment shrinkToFit="0" vertical="center" wrapText="0"/>
    </xf>
    <xf borderId="151" fillId="0" fontId="66" numFmtId="0" xfId="0" applyAlignment="1" applyBorder="1" applyFont="1">
      <alignment horizontal="center" readingOrder="0" shrinkToFit="0" vertical="center" wrapText="0"/>
    </xf>
    <xf borderId="151" fillId="0" fontId="79" numFmtId="165" xfId="0" applyAlignment="1" applyBorder="1" applyFont="1" applyNumberFormat="1">
      <alignment horizontal="center" shrinkToFit="0" vertical="center" wrapText="0"/>
    </xf>
    <xf borderId="151" fillId="0" fontId="79" numFmtId="4" xfId="0" applyAlignment="1" applyBorder="1" applyFont="1" applyNumberFormat="1">
      <alignment horizontal="center" shrinkToFit="0" vertical="center" wrapText="0"/>
    </xf>
    <xf borderId="151" fillId="0" fontId="79" numFmtId="3" xfId="0" applyAlignment="1" applyBorder="1" applyFont="1" applyNumberFormat="1">
      <alignment horizontal="center" shrinkToFit="0" vertical="center" wrapText="0"/>
    </xf>
    <xf borderId="152" fillId="0" fontId="79" numFmtId="3" xfId="0" applyAlignment="1" applyBorder="1" applyFont="1" applyNumberFormat="1">
      <alignment horizontal="center" shrinkToFit="0" vertical="center" wrapText="0"/>
    </xf>
    <xf borderId="153" fillId="0" fontId="78" numFmtId="0" xfId="0" applyAlignment="1" applyBorder="1" applyFont="1">
      <alignment horizontal="left" shrinkToFit="0" vertical="center" wrapText="0"/>
    </xf>
    <xf borderId="154" fillId="0" fontId="66" numFmtId="0" xfId="0" applyAlignment="1" applyBorder="1" applyFont="1">
      <alignment horizontal="left" readingOrder="0" shrinkToFit="0" vertical="center" wrapText="0"/>
    </xf>
    <xf borderId="155" fillId="0" fontId="66" numFmtId="0" xfId="0" applyAlignment="1" applyBorder="1" applyFont="1">
      <alignment horizontal="center" shrinkToFit="0" vertical="center" wrapText="0"/>
    </xf>
    <xf borderId="155" fillId="0" fontId="66" numFmtId="0" xfId="0" applyAlignment="1" applyBorder="1" applyFont="1">
      <alignment horizontal="right" shrinkToFit="0" vertical="center" wrapText="0"/>
    </xf>
    <xf borderId="156" fillId="0" fontId="66" numFmtId="3" xfId="0" applyAlignment="1" applyBorder="1" applyFont="1" applyNumberFormat="1">
      <alignment horizontal="right" shrinkToFit="0" vertical="center" wrapText="0"/>
    </xf>
    <xf borderId="157" fillId="0" fontId="15" numFmtId="3" xfId="0" applyAlignment="1" applyBorder="1" applyFont="1" applyNumberFormat="1">
      <alignment horizontal="right" shrinkToFit="0" vertical="center" wrapText="0"/>
    </xf>
    <xf borderId="0" fillId="11" fontId="68" numFmtId="0" xfId="0" applyAlignment="1" applyFont="1">
      <alignment horizontal="center" readingOrder="0" vertical="center"/>
    </xf>
    <xf borderId="0" fillId="0" fontId="14" numFmtId="3" xfId="0" applyAlignment="1" applyFont="1" applyNumberFormat="1">
      <alignment horizontal="center" shrinkToFit="0" vertical="center" wrapText="0"/>
    </xf>
    <xf borderId="0" fillId="0" fontId="14" numFmtId="3" xfId="0" applyAlignment="1" applyFont="1" applyNumberFormat="1">
      <alignment horizontal="center" readingOrder="0" shrinkToFit="0" vertical="center" wrapText="0"/>
    </xf>
    <xf borderId="0" fillId="0" fontId="14" numFmtId="4" xfId="0" applyAlignment="1" applyFont="1" applyNumberFormat="1">
      <alignment horizontal="center" readingOrder="0" shrinkToFit="0" vertical="center" wrapText="0"/>
    </xf>
    <xf borderId="158" fillId="0" fontId="67" numFmtId="3" xfId="0" applyAlignment="1" applyBorder="1" applyFont="1" applyNumberFormat="1">
      <alignment horizontal="center" readingOrder="0" shrinkToFit="0" vertical="center" wrapText="0"/>
    </xf>
    <xf borderId="159" fillId="0" fontId="67" numFmtId="3" xfId="0" applyAlignment="1" applyBorder="1" applyFont="1" applyNumberFormat="1">
      <alignment horizontal="center" readingOrder="0" shrinkToFit="0" vertical="center" wrapText="0"/>
    </xf>
    <xf borderId="160" fillId="0" fontId="67" numFmtId="3" xfId="0" applyAlignment="1" applyBorder="1" applyFont="1" applyNumberFormat="1">
      <alignment horizontal="center" readingOrder="0" shrinkToFit="0" vertical="center" wrapText="0"/>
    </xf>
    <xf borderId="161" fillId="0" fontId="7" numFmtId="0" xfId="0" applyBorder="1" applyFont="1"/>
    <xf borderId="162" fillId="0" fontId="67" numFmtId="3" xfId="0" applyAlignment="1" applyBorder="1" applyFont="1" applyNumberFormat="1">
      <alignment horizontal="center" readingOrder="0" shrinkToFit="0" vertical="center" wrapText="0"/>
    </xf>
    <xf borderId="163" fillId="0" fontId="67" numFmtId="3" xfId="0" applyAlignment="1" applyBorder="1" applyFont="1" applyNumberFormat="1">
      <alignment horizontal="center" readingOrder="0" shrinkToFit="0" vertical="center" wrapText="0"/>
    </xf>
    <xf borderId="0" fillId="0" fontId="20" numFmtId="4" xfId="0" applyAlignment="1" applyFont="1" applyNumberFormat="1">
      <alignment vertical="center"/>
    </xf>
    <xf borderId="164" fillId="3" fontId="14" numFmtId="0" xfId="0" applyAlignment="1" applyBorder="1" applyFont="1">
      <alignment horizontal="center" readingOrder="0" shrinkToFit="0" vertical="center" wrapText="0"/>
    </xf>
    <xf borderId="165" fillId="3" fontId="14" numFmtId="0" xfId="0" applyAlignment="1" applyBorder="1" applyFont="1">
      <alignment horizontal="center" readingOrder="0" shrinkToFit="0" vertical="center" wrapText="1"/>
    </xf>
    <xf borderId="166" fillId="3" fontId="14" numFmtId="0" xfId="0" applyAlignment="1" applyBorder="1" applyFont="1">
      <alignment horizontal="center" readingOrder="0" shrinkToFit="0" vertical="center" wrapText="0"/>
    </xf>
    <xf borderId="167" fillId="0" fontId="7" numFmtId="0" xfId="0" applyBorder="1" applyFont="1"/>
    <xf borderId="165" fillId="3" fontId="14" numFmtId="0" xfId="0" applyAlignment="1" applyBorder="1" applyFont="1">
      <alignment horizontal="center" readingOrder="0" shrinkToFit="0" vertical="center" wrapText="0"/>
    </xf>
    <xf borderId="168" fillId="3" fontId="14" numFmtId="0" xfId="0" applyAlignment="1" applyBorder="1" applyFont="1">
      <alignment horizontal="center" readingOrder="0" shrinkToFit="0" vertical="center" wrapText="0"/>
    </xf>
    <xf borderId="169" fillId="0" fontId="7" numFmtId="0" xfId="0" applyBorder="1" applyFont="1"/>
    <xf borderId="170" fillId="0" fontId="7" numFmtId="0" xfId="0" applyBorder="1" applyFont="1"/>
    <xf borderId="171" fillId="3" fontId="14" numFmtId="0" xfId="0" applyAlignment="1" applyBorder="1" applyFont="1">
      <alignment horizontal="center" readingOrder="0" shrinkToFit="0" vertical="center" wrapText="0"/>
    </xf>
    <xf borderId="0" fillId="3" fontId="14" numFmtId="0" xfId="0" applyAlignment="1" applyFont="1">
      <alignment horizontal="center" readingOrder="0" shrinkToFit="0" vertical="center" wrapText="0"/>
    </xf>
    <xf borderId="172" fillId="3" fontId="14" numFmtId="0" xfId="0" applyAlignment="1" applyBorder="1" applyFont="1">
      <alignment horizontal="center" readingOrder="0" shrinkToFit="0" vertical="center" wrapText="0"/>
    </xf>
    <xf borderId="173" fillId="0" fontId="7" numFmtId="0" xfId="0" applyBorder="1" applyFont="1"/>
    <xf borderId="174" fillId="0" fontId="7" numFmtId="0" xfId="0" applyBorder="1" applyFont="1"/>
    <xf borderId="175" fillId="0" fontId="7" numFmtId="0" xfId="0" applyBorder="1" applyFont="1"/>
    <xf borderId="176" fillId="0" fontId="7" numFmtId="0" xfId="0" applyBorder="1" applyFont="1"/>
    <xf borderId="177" fillId="0" fontId="7" numFmtId="0" xfId="0" applyBorder="1" applyFont="1"/>
    <xf borderId="178" fillId="0" fontId="7" numFmtId="0" xfId="0" applyBorder="1" applyFont="1"/>
    <xf borderId="179" fillId="3" fontId="14" numFmtId="0" xfId="0" applyAlignment="1" applyBorder="1" applyFont="1">
      <alignment horizontal="center" readingOrder="0" shrinkToFit="0" vertical="center" wrapText="0"/>
    </xf>
    <xf borderId="179" fillId="3" fontId="14" numFmtId="0" xfId="0" applyAlignment="1" applyBorder="1" applyFont="1">
      <alignment horizontal="center" readingOrder="0" shrinkToFit="0" vertical="center" wrapText="1"/>
    </xf>
    <xf borderId="180" fillId="0" fontId="7" numFmtId="0" xfId="0" applyBorder="1" applyFont="1"/>
    <xf borderId="181" fillId="3" fontId="14" numFmtId="0" xfId="0" applyAlignment="1" applyBorder="1" applyFont="1">
      <alignment horizontal="center" readingOrder="0" shrinkToFit="0" vertical="center" wrapText="0"/>
    </xf>
    <xf borderId="182" fillId="0" fontId="83" numFmtId="0" xfId="0" applyAlignment="1" applyBorder="1" applyFont="1">
      <alignment horizontal="center" readingOrder="0" shrinkToFit="0" vertical="center" wrapText="0"/>
    </xf>
    <xf borderId="183" fillId="0" fontId="35" numFmtId="0" xfId="0" applyAlignment="1" applyBorder="1" applyFont="1">
      <alignment horizontal="right" vertical="center"/>
    </xf>
    <xf borderId="183" fillId="0" fontId="83" numFmtId="0" xfId="0" applyAlignment="1" applyBorder="1" applyFont="1">
      <alignment horizontal="right" readingOrder="0" vertical="center"/>
    </xf>
    <xf borderId="183" fillId="0" fontId="62" numFmtId="0" xfId="0" applyAlignment="1" applyBorder="1" applyFont="1">
      <alignment horizontal="left" readingOrder="0" shrinkToFit="0" vertical="center" wrapText="0"/>
    </xf>
    <xf borderId="183" fillId="0" fontId="83" numFmtId="0" xfId="0" applyAlignment="1" applyBorder="1" applyFont="1">
      <alignment horizontal="center" readingOrder="0" shrinkToFit="0" vertical="center" wrapText="0"/>
    </xf>
    <xf borderId="183" fillId="30" fontId="83" numFmtId="3" xfId="0" applyAlignment="1" applyBorder="1" applyFill="1" applyFont="1" applyNumberFormat="1">
      <alignment horizontal="center" readingOrder="0" shrinkToFit="0" vertical="center" wrapText="0"/>
    </xf>
    <xf borderId="184" fillId="0" fontId="83" numFmtId="3" xfId="0" applyAlignment="1" applyBorder="1" applyFont="1" applyNumberFormat="1">
      <alignment horizontal="center" readingOrder="0" shrinkToFit="0" vertical="center" wrapText="0"/>
    </xf>
    <xf borderId="185" fillId="0" fontId="83" numFmtId="0" xfId="0" applyAlignment="1" applyBorder="1" applyFont="1">
      <alignment horizontal="center" readingOrder="0" shrinkToFit="0" vertical="center" wrapText="0"/>
    </xf>
    <xf borderId="183" fillId="0" fontId="83" numFmtId="2" xfId="0" applyAlignment="1" applyBorder="1" applyFont="1" applyNumberFormat="1">
      <alignment horizontal="center" readingOrder="0" shrinkToFit="0" vertical="center" wrapText="0"/>
    </xf>
    <xf borderId="183" fillId="0" fontId="83" numFmtId="2" xfId="0" applyAlignment="1" applyBorder="1" applyFont="1" applyNumberFormat="1">
      <alignment horizontal="center" shrinkToFit="0" vertical="center" wrapText="0"/>
    </xf>
    <xf borderId="186" fillId="0" fontId="83" numFmtId="0" xfId="0" applyAlignment="1" applyBorder="1" applyFont="1">
      <alignment horizontal="center" readingOrder="0" shrinkToFit="0" vertical="center" wrapText="0"/>
    </xf>
    <xf borderId="187" fillId="0" fontId="35" numFmtId="0" xfId="0" applyAlignment="1" applyBorder="1" applyFont="1">
      <alignment horizontal="right" vertical="center"/>
    </xf>
    <xf borderId="187" fillId="0" fontId="83" numFmtId="0" xfId="0" applyAlignment="1" applyBorder="1" applyFont="1">
      <alignment horizontal="right" readingOrder="0" vertical="center"/>
    </xf>
    <xf borderId="187" fillId="0" fontId="62" numFmtId="0" xfId="0" applyAlignment="1" applyBorder="1" applyFont="1">
      <alignment horizontal="left" readingOrder="0" shrinkToFit="0" vertical="center" wrapText="0"/>
    </xf>
    <xf borderId="187" fillId="0" fontId="83" numFmtId="0" xfId="0" applyAlignment="1" applyBorder="1" applyFont="1">
      <alignment horizontal="center" readingOrder="0" shrinkToFit="0" vertical="center" wrapText="0"/>
    </xf>
    <xf borderId="187" fillId="30" fontId="83" numFmtId="3" xfId="0" applyAlignment="1" applyBorder="1" applyFont="1" applyNumberFormat="1">
      <alignment horizontal="center" readingOrder="0" shrinkToFit="0" vertical="center" wrapText="0"/>
    </xf>
    <xf borderId="188" fillId="0" fontId="83" numFmtId="3" xfId="0" applyAlignment="1" applyBorder="1" applyFont="1" applyNumberFormat="1">
      <alignment horizontal="center" readingOrder="0" shrinkToFit="0" vertical="center" wrapText="0"/>
    </xf>
    <xf borderId="189" fillId="0" fontId="83" numFmtId="0" xfId="0" applyAlignment="1" applyBorder="1" applyFont="1">
      <alignment horizontal="center" readingOrder="0" shrinkToFit="0" vertical="center" wrapText="0"/>
    </xf>
    <xf borderId="187" fillId="0" fontId="83" numFmtId="2" xfId="0" applyAlignment="1" applyBorder="1" applyFont="1" applyNumberFormat="1">
      <alignment horizontal="center" readingOrder="0" shrinkToFit="0" vertical="center" wrapText="0"/>
    </xf>
    <xf borderId="187" fillId="0" fontId="83" numFmtId="2" xfId="0" applyAlignment="1" applyBorder="1" applyFont="1" applyNumberFormat="1">
      <alignment horizontal="center" shrinkToFit="0" vertical="center" wrapText="0"/>
    </xf>
    <xf borderId="190" fillId="0" fontId="83" numFmtId="0" xfId="0" applyAlignment="1" applyBorder="1" applyFont="1">
      <alignment horizontal="center" readingOrder="0" shrinkToFit="0" vertical="center" wrapText="0"/>
    </xf>
    <xf borderId="191" fillId="0" fontId="35" numFmtId="0" xfId="0" applyAlignment="1" applyBorder="1" applyFont="1">
      <alignment horizontal="right" vertical="center"/>
    </xf>
    <xf borderId="191" fillId="0" fontId="83" numFmtId="0" xfId="0" applyAlignment="1" applyBorder="1" applyFont="1">
      <alignment horizontal="right" readingOrder="0" vertical="center"/>
    </xf>
    <xf borderId="191" fillId="0" fontId="62" numFmtId="0" xfId="0" applyAlignment="1" applyBorder="1" applyFont="1">
      <alignment horizontal="left" readingOrder="0" shrinkToFit="0" vertical="center" wrapText="0"/>
    </xf>
    <xf borderId="191" fillId="0" fontId="83" numFmtId="0" xfId="0" applyAlignment="1" applyBorder="1" applyFont="1">
      <alignment horizontal="center" readingOrder="0" shrinkToFit="0" vertical="center" wrapText="0"/>
    </xf>
    <xf borderId="191" fillId="30" fontId="83" numFmtId="3" xfId="0" applyAlignment="1" applyBorder="1" applyFont="1" applyNumberFormat="1">
      <alignment horizontal="center" readingOrder="0" shrinkToFit="0" vertical="center" wrapText="0"/>
    </xf>
    <xf borderId="192" fillId="0" fontId="83" numFmtId="3" xfId="0" applyAlignment="1" applyBorder="1" applyFont="1" applyNumberFormat="1">
      <alignment horizontal="center" readingOrder="0" shrinkToFit="0" vertical="center" wrapText="0"/>
    </xf>
    <xf borderId="193" fillId="0" fontId="83" numFmtId="0" xfId="0" applyAlignment="1" applyBorder="1" applyFont="1">
      <alignment horizontal="center" readingOrder="0" shrinkToFit="0" vertical="center" wrapText="0"/>
    </xf>
    <xf borderId="191" fillId="0" fontId="83" numFmtId="2" xfId="0" applyAlignment="1" applyBorder="1" applyFont="1" applyNumberFormat="1">
      <alignment horizontal="center" readingOrder="0" shrinkToFit="0" vertical="center" wrapText="0"/>
    </xf>
    <xf borderId="191" fillId="0" fontId="83" numFmtId="2" xfId="0" applyAlignment="1" applyBorder="1" applyFont="1" applyNumberFormat="1">
      <alignment horizontal="center" shrinkToFit="0" vertical="center" wrapText="0"/>
    </xf>
    <xf borderId="194" fillId="0" fontId="20" numFmtId="0" xfId="0" applyAlignment="1" applyBorder="1" applyFont="1">
      <alignment horizontal="right" readingOrder="0" vertical="center"/>
    </xf>
    <xf borderId="195" fillId="0" fontId="20" numFmtId="3" xfId="0" applyAlignment="1" applyBorder="1" applyFont="1" applyNumberFormat="1">
      <alignment horizontal="left" readingOrder="0" vertical="center"/>
    </xf>
    <xf borderId="0" fillId="0" fontId="22" numFmtId="0" xfId="0" applyAlignment="1" applyFont="1">
      <alignment horizontal="left" readingOrder="0" shrinkToFit="0" vertical="bottom" wrapText="0"/>
    </xf>
    <xf borderId="0" fillId="9" fontId="84" numFmtId="0" xfId="0" applyAlignment="1" applyFont="1">
      <alignment horizontal="center" readingOrder="0" vertical="center"/>
    </xf>
    <xf borderId="0" fillId="0" fontId="85" numFmtId="0" xfId="0" applyAlignment="1" applyFont="1">
      <alignment shrinkToFit="0" vertical="center" wrapText="0"/>
    </xf>
    <xf borderId="0" fillId="0" fontId="85" numFmtId="0" xfId="0" applyAlignment="1" applyFont="1">
      <alignment vertical="center"/>
    </xf>
    <xf borderId="0" fillId="0" fontId="86" numFmtId="0" xfId="0" applyAlignment="1" applyFont="1">
      <alignment readingOrder="0" vertical="center"/>
    </xf>
    <xf borderId="0" fillId="0" fontId="86" numFmtId="3" xfId="0" applyAlignment="1" applyFont="1" applyNumberFormat="1">
      <alignment readingOrder="0" vertical="center"/>
    </xf>
    <xf borderId="0" fillId="16" fontId="87" numFmtId="0" xfId="0" applyAlignment="1" applyFont="1">
      <alignment readingOrder="0" vertical="center"/>
    </xf>
    <xf borderId="0" fillId="0" fontId="86" numFmtId="0" xfId="0" applyAlignment="1" applyFont="1">
      <alignment vertical="center"/>
    </xf>
    <xf borderId="0" fillId="10" fontId="88" numFmtId="0" xfId="0" applyAlignment="1" applyFont="1">
      <alignment horizontal="left" shrinkToFit="0" vertical="center" wrapText="1"/>
    </xf>
    <xf borderId="196" fillId="3" fontId="89" numFmtId="0" xfId="0" applyAlignment="1" applyBorder="1" applyFont="1">
      <alignment horizontal="center" readingOrder="0" vertical="center"/>
    </xf>
    <xf borderId="64" fillId="3" fontId="89" numFmtId="0" xfId="0" applyAlignment="1" applyBorder="1" applyFont="1">
      <alignment horizontal="center" readingOrder="0" vertical="center"/>
    </xf>
    <xf borderId="64" fillId="3" fontId="89" numFmtId="0" xfId="0" applyAlignment="1" applyBorder="1" applyFont="1">
      <alignment horizontal="center" readingOrder="0" shrinkToFit="0" vertical="center" wrapText="1"/>
    </xf>
    <xf borderId="65" fillId="3" fontId="89" numFmtId="0" xfId="0" applyAlignment="1" applyBorder="1" applyFont="1">
      <alignment horizontal="center" readingOrder="0" shrinkToFit="0" vertical="center" wrapText="1"/>
    </xf>
    <xf borderId="197" fillId="3" fontId="89" numFmtId="0" xfId="0" applyAlignment="1" applyBorder="1" applyFont="1">
      <alignment horizontal="center" readingOrder="0" shrinkToFit="0" vertical="center" wrapText="1"/>
    </xf>
    <xf borderId="66" fillId="3" fontId="89" numFmtId="0" xfId="0" applyAlignment="1" applyBorder="1" applyFont="1">
      <alignment horizontal="center" readingOrder="0" shrinkToFit="0" vertical="center" wrapText="1"/>
    </xf>
    <xf borderId="110" fillId="0" fontId="7" numFmtId="0" xfId="0" applyBorder="1" applyFont="1"/>
    <xf borderId="72" fillId="3" fontId="90" numFmtId="3" xfId="0" applyAlignment="1" applyBorder="1" applyFont="1" applyNumberFormat="1">
      <alignment horizontal="center" readingOrder="0" shrinkToFit="0" vertical="center" wrapText="0"/>
    </xf>
    <xf borderId="112" fillId="0" fontId="7" numFmtId="0" xfId="0" applyBorder="1" applyFont="1"/>
    <xf borderId="0" fillId="0" fontId="85" numFmtId="3" xfId="0" applyAlignment="1" applyFont="1" applyNumberFormat="1">
      <alignment vertical="center"/>
    </xf>
    <xf borderId="79" fillId="0" fontId="91" numFmtId="0" xfId="0" applyAlignment="1" applyBorder="1" applyFont="1">
      <alignment horizontal="center" readingOrder="0" vertical="center"/>
    </xf>
    <xf borderId="72" fillId="0" fontId="92" numFmtId="0" xfId="0" applyAlignment="1" applyBorder="1" applyFont="1">
      <alignment horizontal="right" readingOrder="0" vertical="center"/>
    </xf>
    <xf borderId="72" fillId="0" fontId="91" numFmtId="0" xfId="0" applyAlignment="1" applyBorder="1" applyFont="1">
      <alignment horizontal="center" readingOrder="0" vertical="center"/>
    </xf>
    <xf borderId="72" fillId="0" fontId="93" numFmtId="0" xfId="0" applyAlignment="1" applyBorder="1" applyFont="1">
      <alignment horizontal="right" readingOrder="0" vertical="center"/>
    </xf>
    <xf borderId="72" fillId="0" fontId="91" numFmtId="4" xfId="0" applyAlignment="1" applyBorder="1" applyFont="1" applyNumberFormat="1">
      <alignment horizontal="center" readingOrder="0" vertical="center"/>
    </xf>
    <xf borderId="72" fillId="0" fontId="91" numFmtId="3" xfId="0" applyAlignment="1" applyBorder="1" applyFont="1" applyNumberFormat="1">
      <alignment horizontal="right" readingOrder="0" vertical="center"/>
    </xf>
    <xf borderId="72" fillId="0" fontId="94" numFmtId="3" xfId="0" applyAlignment="1" applyBorder="1" applyFont="1" applyNumberFormat="1">
      <alignment horizontal="right" readingOrder="0" shrinkToFit="0" vertical="center" wrapText="0"/>
    </xf>
    <xf borderId="95" fillId="0" fontId="94" numFmtId="3" xfId="0" applyAlignment="1" applyBorder="1" applyFont="1" applyNumberFormat="1">
      <alignment horizontal="right" readingOrder="0" shrinkToFit="0" vertical="center" wrapText="0"/>
    </xf>
    <xf borderId="72" fillId="27" fontId="94" numFmtId="3" xfId="0" applyAlignment="1" applyBorder="1" applyFont="1" applyNumberFormat="1">
      <alignment horizontal="center" readingOrder="0" shrinkToFit="0" vertical="center" wrapText="0"/>
    </xf>
    <xf borderId="72" fillId="27" fontId="94" numFmtId="164" xfId="0" applyAlignment="1" applyBorder="1" applyFont="1" applyNumberFormat="1">
      <alignment horizontal="center" readingOrder="0" shrinkToFit="0" vertical="center" wrapText="0"/>
    </xf>
    <xf borderId="79" fillId="27" fontId="91" numFmtId="0" xfId="0" applyAlignment="1" applyBorder="1" applyFont="1">
      <alignment horizontal="center" readingOrder="0" vertical="center"/>
    </xf>
    <xf borderId="72" fillId="27" fontId="92" numFmtId="0" xfId="0" applyAlignment="1" applyBorder="1" applyFont="1">
      <alignment horizontal="right" readingOrder="0" vertical="center"/>
    </xf>
    <xf borderId="72" fillId="27" fontId="91" numFmtId="0" xfId="0" applyAlignment="1" applyBorder="1" applyFont="1">
      <alignment horizontal="center" readingOrder="0" vertical="center"/>
    </xf>
    <xf borderId="72" fillId="27" fontId="93" numFmtId="0" xfId="0" applyAlignment="1" applyBorder="1" applyFont="1">
      <alignment horizontal="right" readingOrder="0" vertical="center"/>
    </xf>
    <xf borderId="72" fillId="27" fontId="91" numFmtId="4" xfId="0" applyAlignment="1" applyBorder="1" applyFont="1" applyNumberFormat="1">
      <alignment horizontal="center" readingOrder="0" vertical="center"/>
    </xf>
    <xf borderId="72" fillId="27" fontId="91" numFmtId="3" xfId="0" applyAlignment="1" applyBorder="1" applyFont="1" applyNumberFormat="1">
      <alignment horizontal="right" readingOrder="0" vertical="center"/>
    </xf>
    <xf borderId="95" fillId="27" fontId="94" numFmtId="3" xfId="0" applyAlignment="1" applyBorder="1" applyFont="1" applyNumberFormat="1">
      <alignment horizontal="right" readingOrder="0" shrinkToFit="0" vertical="center" wrapText="0"/>
    </xf>
    <xf borderId="72" fillId="0" fontId="94" numFmtId="3" xfId="0" applyAlignment="1" applyBorder="1" applyFont="1" applyNumberFormat="1">
      <alignment horizontal="center" readingOrder="0" shrinkToFit="0" vertical="center" wrapText="0"/>
    </xf>
    <xf borderId="72" fillId="0" fontId="94" numFmtId="164" xfId="0" applyAlignment="1" applyBorder="1" applyFont="1" applyNumberFormat="1">
      <alignment horizontal="center" readingOrder="0" shrinkToFit="0" vertical="center" wrapText="0"/>
    </xf>
    <xf borderId="99" fillId="0" fontId="91" numFmtId="0" xfId="0" applyAlignment="1" applyBorder="1" applyFont="1">
      <alignment horizontal="center" readingOrder="0" vertical="center"/>
    </xf>
    <xf borderId="100" fillId="0" fontId="92" numFmtId="0" xfId="0" applyAlignment="1" applyBorder="1" applyFont="1">
      <alignment horizontal="right" readingOrder="0" vertical="center"/>
    </xf>
    <xf borderId="100" fillId="0" fontId="91" numFmtId="0" xfId="0" applyAlignment="1" applyBorder="1" applyFont="1">
      <alignment horizontal="center" readingOrder="0" vertical="center"/>
    </xf>
    <xf borderId="100" fillId="0" fontId="93" numFmtId="0" xfId="0" applyAlignment="1" applyBorder="1" applyFont="1">
      <alignment horizontal="right" readingOrder="0" vertical="center"/>
    </xf>
    <xf borderId="100" fillId="0" fontId="91" numFmtId="4" xfId="0" applyAlignment="1" applyBorder="1" applyFont="1" applyNumberFormat="1">
      <alignment horizontal="center" readingOrder="0" vertical="center"/>
    </xf>
    <xf borderId="100" fillId="0" fontId="91" numFmtId="3" xfId="0" applyAlignment="1" applyBorder="1" applyFont="1" applyNumberFormat="1">
      <alignment horizontal="right" readingOrder="0" vertical="center"/>
    </xf>
    <xf borderId="100" fillId="0" fontId="94" numFmtId="3" xfId="0" applyAlignment="1" applyBorder="1" applyFont="1" applyNumberFormat="1">
      <alignment horizontal="right" readingOrder="0" shrinkToFit="0" vertical="center" wrapText="0"/>
    </xf>
    <xf borderId="102" fillId="0" fontId="94" numFmtId="3" xfId="0" applyAlignment="1" applyBorder="1" applyFont="1" applyNumberFormat="1">
      <alignment horizontal="right" readingOrder="0" shrinkToFit="0" vertical="center" wrapText="0"/>
    </xf>
    <xf borderId="0" fillId="0" fontId="95" numFmtId="0" xfId="0" applyAlignment="1" applyFont="1">
      <alignment readingOrder="0" shrinkToFit="0" wrapText="0"/>
    </xf>
    <xf borderId="100" fillId="0" fontId="94" numFmtId="3" xfId="0" applyAlignment="1" applyBorder="1" applyFont="1" applyNumberFormat="1">
      <alignment horizontal="center" readingOrder="0" shrinkToFit="0" vertical="center" wrapText="0"/>
    </xf>
    <xf borderId="100" fillId="0" fontId="94" numFmtId="164" xfId="0" applyAlignment="1" applyBorder="1" applyFont="1" applyNumberFormat="1">
      <alignment horizontal="center" readingOrder="0" shrinkToFit="0" vertical="center" wrapText="0"/>
    </xf>
    <xf borderId="0" fillId="0" fontId="96" numFmtId="0" xfId="0" applyAlignment="1" applyFont="1">
      <alignment readingOrder="0" shrinkToFit="0" wrapText="0"/>
    </xf>
    <xf borderId="0" fillId="0" fontId="97" numFmtId="0" xfId="0" applyAlignment="1" applyFont="1">
      <alignment readingOrder="0" shrinkToFit="0" wrapText="0"/>
    </xf>
    <xf borderId="0" fillId="0" fontId="85" numFmtId="10" xfId="0" applyAlignment="1" applyFont="1" applyNumberFormat="1">
      <alignment readingOrder="0" shrinkToFit="0" wrapText="0"/>
    </xf>
    <xf borderId="0" fillId="0" fontId="85" numFmtId="9" xfId="0" applyAlignment="1" applyFont="1" applyNumberFormat="1">
      <alignment readingOrder="0" shrinkToFit="0" vertical="center" wrapText="0"/>
    </xf>
    <xf borderId="0" fillId="0" fontId="85" numFmtId="164" xfId="0" applyAlignment="1" applyFont="1" applyNumberFormat="1">
      <alignment shrinkToFit="0" vertical="center" wrapText="0"/>
    </xf>
    <xf borderId="0" fillId="0" fontId="97" numFmtId="0" xfId="0" applyAlignment="1" applyFont="1">
      <alignment shrinkToFit="0" wrapText="0"/>
    </xf>
    <xf borderId="0" fillId="0" fontId="98" numFmtId="0" xfId="0" applyAlignment="1" applyFont="1">
      <alignment shrinkToFit="0" wrapText="0"/>
    </xf>
    <xf borderId="0" fillId="0" fontId="97" numFmtId="0" xfId="0" applyAlignment="1" applyFont="1">
      <alignment shrinkToFit="0" wrapText="0"/>
    </xf>
    <xf borderId="0" fillId="0" fontId="96" numFmtId="0" xfId="0" applyAlignment="1" applyFont="1">
      <alignment shrinkToFit="0" wrapText="0"/>
    </xf>
    <xf borderId="0" fillId="0" fontId="85" numFmtId="9" xfId="0" applyAlignment="1" applyFont="1" applyNumberFormat="1">
      <alignment readingOrder="0" shrinkToFit="0" wrapText="0"/>
    </xf>
    <xf borderId="0" fillId="0" fontId="86" numFmtId="164" xfId="0" applyAlignment="1" applyFont="1" applyNumberFormat="1">
      <alignment shrinkToFit="0" vertical="center" wrapText="0"/>
    </xf>
    <xf borderId="0" fillId="0" fontId="97" numFmtId="0" xfId="0" applyAlignment="1" applyFont="1">
      <alignment shrinkToFit="0" wrapText="0"/>
    </xf>
    <xf borderId="0" fillId="0" fontId="97" numFmtId="0" xfId="0" applyAlignment="1" applyFont="1">
      <alignment readingOrder="0" shrinkToFit="0" wrapText="1"/>
    </xf>
    <xf borderId="0" fillId="0" fontId="97" numFmtId="0" xfId="0" applyAlignment="1" applyFont="1">
      <alignment readingOrder="0" vertical="center"/>
    </xf>
    <xf borderId="0" fillId="10" fontId="90" numFmtId="0" xfId="0" applyAlignment="1" applyFont="1">
      <alignment horizontal="center" readingOrder="0" shrinkToFit="0" vertical="center" wrapText="0"/>
    </xf>
    <xf borderId="0" fillId="0" fontId="94" numFmtId="0" xfId="0" applyAlignment="1" applyFont="1">
      <alignment shrinkToFit="0" vertical="bottom" wrapText="0"/>
    </xf>
    <xf borderId="0" fillId="0" fontId="99" numFmtId="0" xfId="0" applyAlignment="1" applyFont="1">
      <alignment shrinkToFit="0" vertical="bottom" wrapText="0"/>
    </xf>
    <xf borderId="0" fillId="0" fontId="100" numFmtId="0" xfId="0" applyFont="1"/>
    <xf borderId="107" fillId="10" fontId="90" numFmtId="0" xfId="0" applyAlignment="1" applyBorder="1" applyFont="1">
      <alignment horizontal="center" readingOrder="0" shrinkToFit="0" vertical="center" wrapText="0"/>
    </xf>
    <xf borderId="87" fillId="11" fontId="101" numFmtId="0" xfId="0" applyAlignment="1" applyBorder="1" applyFont="1">
      <alignment horizontal="center" readingOrder="0" shrinkToFit="0" vertical="center" wrapText="0"/>
    </xf>
    <xf borderId="198" fillId="3" fontId="102" numFmtId="165" xfId="0" applyAlignment="1" applyBorder="1" applyFont="1" applyNumberFormat="1">
      <alignment horizontal="center" shrinkToFit="0" vertical="center" wrapText="1"/>
    </xf>
    <xf borderId="199" fillId="3" fontId="103" numFmtId="0" xfId="0" applyAlignment="1" applyBorder="1" applyFont="1">
      <alignment horizontal="center" readingOrder="0" shrinkToFit="0" vertical="center" wrapText="1"/>
    </xf>
    <xf borderId="199" fillId="3" fontId="102" numFmtId="0" xfId="0" applyAlignment="1" applyBorder="1" applyFont="1">
      <alignment horizontal="center" shrinkToFit="0" vertical="center" wrapText="0"/>
    </xf>
    <xf borderId="200" fillId="3" fontId="102" numFmtId="165" xfId="0" applyAlignment="1" applyBorder="1" applyFont="1" applyNumberFormat="1">
      <alignment horizontal="center" shrinkToFit="0" vertical="center" wrapText="1"/>
    </xf>
    <xf borderId="201" fillId="3" fontId="104" numFmtId="165" xfId="0" applyAlignment="1" applyBorder="1" applyFont="1" applyNumberFormat="1">
      <alignment horizontal="center" readingOrder="0" shrinkToFit="0" vertical="center" wrapText="1"/>
    </xf>
    <xf borderId="202" fillId="0" fontId="7" numFmtId="0" xfId="0" applyBorder="1" applyFont="1"/>
    <xf borderId="203" fillId="0" fontId="7" numFmtId="0" xfId="0" applyBorder="1" applyFont="1"/>
    <xf borderId="202" fillId="12" fontId="105" numFmtId="165" xfId="0" applyAlignment="1" applyBorder="1" applyFont="1" applyNumberFormat="1">
      <alignment horizontal="center" readingOrder="0" shrinkToFit="0" vertical="center" wrapText="1"/>
    </xf>
    <xf borderId="202" fillId="6" fontId="105" numFmtId="165" xfId="0" applyAlignment="1" applyBorder="1" applyFont="1" applyNumberFormat="1">
      <alignment horizontal="center" readingOrder="0" shrinkToFit="0" vertical="center" wrapText="1"/>
    </xf>
    <xf borderId="204" fillId="3" fontId="102" numFmtId="165" xfId="0" applyAlignment="1" applyBorder="1" applyFont="1" applyNumberFormat="1">
      <alignment horizontal="center" shrinkToFit="0" vertical="center" wrapText="1"/>
    </xf>
    <xf borderId="205" fillId="0" fontId="7" numFmtId="0" xfId="0" applyBorder="1" applyFont="1"/>
    <xf borderId="206" fillId="0" fontId="7" numFmtId="0" xfId="0" applyBorder="1" applyFont="1"/>
    <xf borderId="207" fillId="0" fontId="7" numFmtId="0" xfId="0" applyBorder="1" applyFont="1"/>
    <xf borderId="208" fillId="3" fontId="102" numFmtId="165" xfId="0" applyAlignment="1" applyBorder="1" applyFont="1" applyNumberFormat="1">
      <alignment horizontal="center" readingOrder="0" shrinkToFit="0" vertical="center" wrapText="1"/>
    </xf>
    <xf borderId="209" fillId="3" fontId="102" numFmtId="165" xfId="0" applyAlignment="1" applyBorder="1" applyFont="1" applyNumberFormat="1">
      <alignment horizontal="center" readingOrder="0" shrinkToFit="0" vertical="center" wrapText="1"/>
    </xf>
    <xf borderId="210" fillId="0" fontId="7" numFmtId="0" xfId="0" applyBorder="1" applyFont="1"/>
    <xf borderId="211" fillId="12" fontId="106" numFmtId="165" xfId="0" applyAlignment="1" applyBorder="1" applyFont="1" applyNumberFormat="1">
      <alignment horizontal="center" readingOrder="0" shrinkToFit="0" vertical="center" wrapText="1"/>
    </xf>
    <xf borderId="209" fillId="12" fontId="106" numFmtId="165" xfId="0" applyAlignment="1" applyBorder="1" applyFont="1" applyNumberFormat="1">
      <alignment horizontal="center" readingOrder="0" shrinkToFit="0" vertical="center" wrapText="1"/>
    </xf>
    <xf borderId="211" fillId="6" fontId="106" numFmtId="165" xfId="0" applyAlignment="1" applyBorder="1" applyFont="1" applyNumberFormat="1">
      <alignment horizontal="center" readingOrder="0" shrinkToFit="0" vertical="center" wrapText="1"/>
    </xf>
    <xf borderId="209" fillId="6" fontId="106" numFmtId="165" xfId="0" applyAlignment="1" applyBorder="1" applyFont="1" applyNumberFormat="1">
      <alignment horizontal="center" readingOrder="0" shrinkToFit="0" vertical="center" wrapText="1"/>
    </xf>
    <xf borderId="212" fillId="0" fontId="7" numFmtId="0" xfId="0" applyBorder="1" applyFont="1"/>
    <xf borderId="213" fillId="0" fontId="7" numFmtId="0" xfId="0" applyBorder="1" applyFont="1"/>
    <xf borderId="214" fillId="0" fontId="7" numFmtId="0" xfId="0" applyBorder="1" applyFont="1"/>
    <xf borderId="215" fillId="0" fontId="7" numFmtId="0" xfId="0" applyBorder="1" applyFont="1"/>
    <xf borderId="216" fillId="0" fontId="7" numFmtId="0" xfId="0" applyBorder="1" applyFont="1"/>
    <xf borderId="217" fillId="3" fontId="102" numFmtId="165" xfId="0" applyAlignment="1" applyBorder="1" applyFont="1" applyNumberFormat="1">
      <alignment horizontal="center" readingOrder="0" shrinkToFit="0" vertical="center" wrapText="1"/>
    </xf>
    <xf borderId="218" fillId="3" fontId="102" numFmtId="165" xfId="0" applyAlignment="1" applyBorder="1" applyFont="1" applyNumberFormat="1">
      <alignment horizontal="center" readingOrder="0" shrinkToFit="0" vertical="center" wrapText="1"/>
    </xf>
    <xf borderId="219" fillId="0" fontId="7" numFmtId="0" xfId="0" applyBorder="1" applyFont="1"/>
    <xf borderId="217" fillId="12" fontId="106" numFmtId="165" xfId="0" applyAlignment="1" applyBorder="1" applyFont="1" applyNumberFormat="1">
      <alignment horizontal="center" readingOrder="0" shrinkToFit="0" vertical="center" wrapText="1"/>
    </xf>
    <xf borderId="218" fillId="12" fontId="106" numFmtId="165" xfId="0" applyAlignment="1" applyBorder="1" applyFont="1" applyNumberFormat="1">
      <alignment horizontal="center" readingOrder="0" shrinkToFit="0" vertical="center" wrapText="1"/>
    </xf>
    <xf borderId="217" fillId="6" fontId="106" numFmtId="165" xfId="0" applyAlignment="1" applyBorder="1" applyFont="1" applyNumberFormat="1">
      <alignment horizontal="center" readingOrder="0" shrinkToFit="0" vertical="center" wrapText="1"/>
    </xf>
    <xf borderId="218" fillId="6" fontId="106" numFmtId="165" xfId="0" applyAlignment="1" applyBorder="1" applyFont="1" applyNumberFormat="1">
      <alignment horizontal="center" readingOrder="0" shrinkToFit="0" vertical="center" wrapText="1"/>
    </xf>
    <xf borderId="218" fillId="0" fontId="7" numFmtId="0" xfId="0" applyBorder="1" applyFont="1"/>
    <xf borderId="220" fillId="0" fontId="107" numFmtId="0" xfId="0" applyAlignment="1" applyBorder="1" applyFont="1">
      <alignment shrinkToFit="0" vertical="bottom" wrapText="0"/>
    </xf>
    <xf borderId="221" fillId="0" fontId="108" numFmtId="0" xfId="0" applyAlignment="1" applyBorder="1" applyFont="1">
      <alignment horizontal="center" shrinkToFit="0" vertical="bottom" wrapText="1"/>
    </xf>
    <xf borderId="221" fillId="0" fontId="100" numFmtId="0" xfId="0" applyAlignment="1" applyBorder="1" applyFont="1">
      <alignment horizontal="center" shrinkToFit="0" vertical="bottom" wrapText="0"/>
    </xf>
    <xf borderId="222" fillId="0" fontId="100" numFmtId="0" xfId="0" applyAlignment="1" applyBorder="1" applyFont="1">
      <alignment horizontal="center" shrinkToFit="0" vertical="bottom" wrapText="0"/>
    </xf>
    <xf borderId="223" fillId="0" fontId="100" numFmtId="165" xfId="0" applyAlignment="1" applyBorder="1" applyFont="1" applyNumberFormat="1">
      <alignment shrinkToFit="0" vertical="bottom" wrapText="0"/>
    </xf>
    <xf borderId="209" fillId="0" fontId="100" numFmtId="165" xfId="0" applyAlignment="1" applyBorder="1" applyFont="1" applyNumberFormat="1">
      <alignment shrinkToFit="0" vertical="bottom" wrapText="0"/>
    </xf>
    <xf borderId="224" fillId="0" fontId="106" numFmtId="165" xfId="0" applyAlignment="1" applyBorder="1" applyFont="1" applyNumberFormat="1">
      <alignment shrinkToFit="0" vertical="bottom" wrapText="0"/>
    </xf>
    <xf borderId="225" fillId="0" fontId="100" numFmtId="165" xfId="0" applyAlignment="1" applyBorder="1" applyFont="1" applyNumberFormat="1">
      <alignment shrinkToFit="0" vertical="bottom" wrapText="0"/>
    </xf>
    <xf borderId="221" fillId="0" fontId="108" numFmtId="0" xfId="0" applyAlignment="1" applyBorder="1" applyFont="1">
      <alignment horizontal="left" shrinkToFit="0" vertical="bottom" wrapText="1"/>
    </xf>
    <xf borderId="226" fillId="17" fontId="107" numFmtId="0" xfId="0" applyAlignment="1" applyBorder="1" applyFont="1">
      <alignment shrinkToFit="0" vertical="bottom" wrapText="0"/>
    </xf>
    <xf borderId="227" fillId="17" fontId="108" numFmtId="0" xfId="0" applyAlignment="1" applyBorder="1" applyFont="1">
      <alignment horizontal="center" shrinkToFit="0" vertical="bottom" wrapText="1"/>
    </xf>
    <xf borderId="227" fillId="17" fontId="100" numFmtId="0" xfId="0" applyAlignment="1" applyBorder="1" applyFont="1">
      <alignment horizontal="center" shrinkToFit="0" vertical="bottom" wrapText="0"/>
    </xf>
    <xf borderId="228" fillId="17" fontId="100" numFmtId="0" xfId="0" applyAlignment="1" applyBorder="1" applyFont="1">
      <alignment horizontal="center" shrinkToFit="0" vertical="bottom" wrapText="0"/>
    </xf>
    <xf borderId="229" fillId="17" fontId="100" numFmtId="165" xfId="0" applyAlignment="1" applyBorder="1" applyFont="1" applyNumberFormat="1">
      <alignment shrinkToFit="0" vertical="bottom" wrapText="0"/>
    </xf>
    <xf borderId="230" fillId="17" fontId="100" numFmtId="165" xfId="0" applyAlignment="1" applyBorder="1" applyFont="1" applyNumberFormat="1">
      <alignment shrinkToFit="0" vertical="bottom" wrapText="0"/>
    </xf>
    <xf borderId="231" fillId="17" fontId="106" numFmtId="165" xfId="0" applyAlignment="1" applyBorder="1" applyFont="1" applyNumberFormat="1">
      <alignment shrinkToFit="0" vertical="bottom" wrapText="0"/>
    </xf>
    <xf borderId="232" fillId="6" fontId="100" numFmtId="165" xfId="0" applyAlignment="1" applyBorder="1" applyFont="1" applyNumberFormat="1">
      <alignment shrinkToFit="0" vertical="bottom" wrapText="0"/>
    </xf>
    <xf borderId="230" fillId="6" fontId="100" numFmtId="165" xfId="0" applyAlignment="1" applyBorder="1" applyFont="1" applyNumberFormat="1">
      <alignment shrinkToFit="0" vertical="bottom" wrapText="0"/>
    </xf>
    <xf borderId="231" fillId="6" fontId="106" numFmtId="165" xfId="0" applyAlignment="1" applyBorder="1" applyFont="1" applyNumberFormat="1">
      <alignment shrinkToFit="0" vertical="bottom" wrapText="0"/>
    </xf>
    <xf borderId="227" fillId="17" fontId="108" numFmtId="0" xfId="0" applyAlignment="1" applyBorder="1" applyFont="1">
      <alignment horizontal="left" shrinkToFit="0" vertical="bottom" wrapText="1"/>
    </xf>
    <xf borderId="226" fillId="0" fontId="107" numFmtId="0" xfId="0" applyAlignment="1" applyBorder="1" applyFont="1">
      <alignment shrinkToFit="0" vertical="bottom" wrapText="0"/>
    </xf>
    <xf borderId="227" fillId="0" fontId="108" numFmtId="0" xfId="0" applyAlignment="1" applyBorder="1" applyFont="1">
      <alignment horizontal="center" shrinkToFit="0" vertical="bottom" wrapText="1"/>
    </xf>
    <xf borderId="227" fillId="0" fontId="100" numFmtId="0" xfId="0" applyAlignment="1" applyBorder="1" applyFont="1">
      <alignment horizontal="center" shrinkToFit="0" vertical="bottom" wrapText="0"/>
    </xf>
    <xf borderId="228" fillId="0" fontId="100" numFmtId="0" xfId="0" applyAlignment="1" applyBorder="1" applyFont="1">
      <alignment horizontal="center" shrinkToFit="0" vertical="bottom" wrapText="0"/>
    </xf>
    <xf borderId="229" fillId="0" fontId="100" numFmtId="165" xfId="0" applyAlignment="1" applyBorder="1" applyFont="1" applyNumberFormat="1">
      <alignment shrinkToFit="0" vertical="bottom" wrapText="0"/>
    </xf>
    <xf borderId="230" fillId="0" fontId="100" numFmtId="165" xfId="0" applyAlignment="1" applyBorder="1" applyFont="1" applyNumberFormat="1">
      <alignment shrinkToFit="0" vertical="bottom" wrapText="0"/>
    </xf>
    <xf borderId="231" fillId="0" fontId="106" numFmtId="165" xfId="0" applyAlignment="1" applyBorder="1" applyFont="1" applyNumberFormat="1">
      <alignment shrinkToFit="0" vertical="bottom" wrapText="0"/>
    </xf>
    <xf borderId="232" fillId="0" fontId="100" numFmtId="165" xfId="0" applyAlignment="1" applyBorder="1" applyFont="1" applyNumberFormat="1">
      <alignment shrinkToFit="0" vertical="bottom" wrapText="0"/>
    </xf>
    <xf borderId="227" fillId="0" fontId="108" numFmtId="0" xfId="0" applyAlignment="1" applyBorder="1" applyFont="1">
      <alignment horizontal="left" shrinkToFit="0" vertical="bottom" wrapText="1"/>
    </xf>
    <xf borderId="153" fillId="0" fontId="107" numFmtId="0" xfId="0" applyAlignment="1" applyBorder="1" applyFont="1">
      <alignment shrinkToFit="0" vertical="bottom" wrapText="0"/>
    </xf>
    <xf borderId="155" fillId="0" fontId="108" numFmtId="0" xfId="0" applyAlignment="1" applyBorder="1" applyFont="1">
      <alignment horizontal="left" shrinkToFit="0" vertical="bottom" wrapText="1"/>
    </xf>
    <xf borderId="155" fillId="0" fontId="100" numFmtId="0" xfId="0" applyAlignment="1" applyBorder="1" applyFont="1">
      <alignment horizontal="center" shrinkToFit="0" vertical="bottom" wrapText="0"/>
    </xf>
    <xf borderId="156" fillId="0" fontId="100" numFmtId="0" xfId="0" applyAlignment="1" applyBorder="1" applyFont="1">
      <alignment horizontal="center" shrinkToFit="0" vertical="bottom" wrapText="0"/>
    </xf>
    <xf borderId="233" fillId="0" fontId="100" numFmtId="165" xfId="0" applyAlignment="1" applyBorder="1" applyFont="1" applyNumberFormat="1">
      <alignment shrinkToFit="0" vertical="bottom" wrapText="0"/>
    </xf>
    <xf borderId="234" fillId="0" fontId="100" numFmtId="165" xfId="0" applyAlignment="1" applyBorder="1" applyFont="1" applyNumberFormat="1">
      <alignment shrinkToFit="0" vertical="bottom" wrapText="0"/>
    </xf>
    <xf borderId="157" fillId="0" fontId="106" numFmtId="165" xfId="0" applyAlignment="1" applyBorder="1" applyFont="1" applyNumberFormat="1">
      <alignment shrinkToFit="0" vertical="bottom" wrapText="0"/>
    </xf>
    <xf borderId="235" fillId="0" fontId="100" numFmtId="165" xfId="0" applyAlignment="1" applyBorder="1" applyFont="1" applyNumberFormat="1">
      <alignment shrinkToFit="0" vertical="bottom" wrapText="0"/>
    </xf>
    <xf borderId="0" fillId="0" fontId="100" numFmtId="0" xfId="0" applyFont="1"/>
    <xf borderId="0" fillId="0" fontId="106" numFmtId="0" xfId="0" applyAlignment="1" applyFont="1">
      <alignment shrinkToFit="0" vertical="bottom" wrapText="0"/>
    </xf>
    <xf borderId="0" fillId="0" fontId="100" numFmtId="0" xfId="0" applyAlignment="1" applyFont="1">
      <alignment shrinkToFit="0" vertical="bottom" wrapText="0"/>
    </xf>
    <xf borderId="155" fillId="0" fontId="108" numFmtId="0" xfId="0" applyAlignment="1" applyBorder="1" applyFont="1">
      <alignment horizontal="center" shrinkToFit="0" vertical="bottom" wrapText="1"/>
    </xf>
    <xf borderId="153" fillId="17" fontId="107" numFmtId="0" xfId="0" applyAlignment="1" applyBorder="1" applyFont="1">
      <alignment shrinkToFit="0" vertical="bottom" wrapText="0"/>
    </xf>
    <xf borderId="155" fillId="17" fontId="108" numFmtId="0" xfId="0" applyAlignment="1" applyBorder="1" applyFont="1">
      <alignment horizontal="center" shrinkToFit="0" vertical="bottom" wrapText="1"/>
    </xf>
    <xf borderId="155" fillId="17" fontId="100" numFmtId="0" xfId="0" applyAlignment="1" applyBorder="1" applyFont="1">
      <alignment horizontal="center" shrinkToFit="0" vertical="bottom" wrapText="0"/>
    </xf>
    <xf borderId="156" fillId="17" fontId="100" numFmtId="0" xfId="0" applyAlignment="1" applyBorder="1" applyFont="1">
      <alignment horizontal="center" shrinkToFit="0" vertical="bottom" wrapText="0"/>
    </xf>
    <xf borderId="233" fillId="17" fontId="100" numFmtId="165" xfId="0" applyAlignment="1" applyBorder="1" applyFont="1" applyNumberFormat="1">
      <alignment shrinkToFit="0" vertical="bottom" wrapText="0"/>
    </xf>
    <xf borderId="234" fillId="17" fontId="100" numFmtId="165" xfId="0" applyAlignment="1" applyBorder="1" applyFont="1" applyNumberFormat="1">
      <alignment shrinkToFit="0" vertical="bottom" wrapText="0"/>
    </xf>
    <xf borderId="157" fillId="17" fontId="106" numFmtId="165" xfId="0" applyAlignment="1" applyBorder="1" applyFont="1" applyNumberFormat="1">
      <alignment shrinkToFit="0" vertical="bottom" wrapText="0"/>
    </xf>
    <xf borderId="235" fillId="6" fontId="100" numFmtId="165" xfId="0" applyAlignment="1" applyBorder="1" applyFont="1" applyNumberFormat="1">
      <alignment shrinkToFit="0" vertical="bottom" wrapText="0"/>
    </xf>
    <xf borderId="234" fillId="6" fontId="100" numFmtId="165" xfId="0" applyAlignment="1" applyBorder="1" applyFont="1" applyNumberFormat="1">
      <alignment shrinkToFit="0" vertical="bottom" wrapText="0"/>
    </xf>
    <xf borderId="157" fillId="6" fontId="106" numFmtId="165" xfId="0" applyAlignment="1" applyBorder="1" applyFont="1" applyNumberFormat="1">
      <alignment shrinkToFit="0" vertical="bottom" wrapText="0"/>
    </xf>
    <xf borderId="227" fillId="0" fontId="100" numFmtId="165" xfId="0" applyAlignment="1" applyBorder="1" applyFont="1" applyNumberFormat="1">
      <alignment shrinkToFit="0" vertical="bottom" wrapText="0"/>
    </xf>
    <xf borderId="156" fillId="17" fontId="100" numFmtId="0" xfId="0" applyAlignment="1" applyBorder="1" applyFont="1">
      <alignment horizontal="center" readingOrder="0" shrinkToFit="0" vertical="bottom" wrapText="0"/>
    </xf>
    <xf borderId="227" fillId="0" fontId="108" numFmtId="0" xfId="0" applyAlignment="1" applyBorder="1" applyFont="1">
      <alignment horizontal="center" shrinkToFit="0" vertical="bottom" wrapText="0"/>
    </xf>
    <xf borderId="231" fillId="0" fontId="100" numFmtId="0" xfId="0" applyAlignment="1" applyBorder="1" applyFont="1">
      <alignment horizontal="center" shrinkToFit="0" vertical="bottom" wrapText="0"/>
    </xf>
    <xf borderId="236" fillId="0" fontId="106" numFmtId="165" xfId="0" applyAlignment="1" applyBorder="1" applyFont="1" applyNumberFormat="1">
      <alignment shrinkToFit="0" vertical="bottom" wrapText="0"/>
    </xf>
    <xf borderId="84" fillId="0" fontId="100" numFmtId="0" xfId="0" applyAlignment="1" applyBorder="1" applyFont="1">
      <alignment shrinkToFit="0" vertical="bottom" wrapText="0"/>
    </xf>
    <xf borderId="108" fillId="0" fontId="100" numFmtId="0" xfId="0" applyAlignment="1" applyBorder="1" applyFont="1">
      <alignment shrinkToFit="0" vertical="bottom" wrapText="0"/>
    </xf>
    <xf borderId="0" fillId="0" fontId="106" numFmtId="165" xfId="0" applyAlignment="1" applyFont="1" applyNumberFormat="1">
      <alignment shrinkToFit="0" vertical="bottom" wrapText="0"/>
    </xf>
    <xf borderId="0" fillId="0" fontId="100" numFmtId="165" xfId="0" applyAlignment="1" applyFont="1" applyNumberFormat="1">
      <alignment shrinkToFit="0" vertical="bottom" wrapText="0"/>
    </xf>
    <xf borderId="0" fillId="0" fontId="100" numFmtId="0" xfId="0" applyAlignment="1" applyFont="1">
      <alignment shrinkToFit="0" wrapText="0"/>
    </xf>
    <xf borderId="0" fillId="0" fontId="90" numFmtId="0" xfId="0" applyAlignment="1" applyFont="1">
      <alignment shrinkToFit="0" vertical="bottom" wrapText="0"/>
    </xf>
    <xf borderId="0" fillId="0" fontId="20" numFmtId="0" xfId="0" applyAlignment="1" applyFont="1">
      <alignment shrinkToFit="0" vertical="center" wrapText="0"/>
    </xf>
    <xf borderId="0" fillId="0" fontId="14" numFmtId="0" xfId="0" applyAlignment="1" applyFont="1">
      <alignment horizontal="center" readingOrder="0" shrinkToFit="0" vertical="center" wrapText="0"/>
    </xf>
    <xf borderId="0" fillId="14" fontId="68" numFmtId="0" xfId="0" applyAlignment="1" applyFont="1">
      <alignment horizontal="center" readingOrder="0" shrinkToFit="0" vertical="center" wrapText="0"/>
    </xf>
    <xf borderId="0" fillId="0" fontId="20" numFmtId="0" xfId="0" applyAlignment="1" applyFont="1">
      <alignment horizontal="left" readingOrder="0" shrinkToFit="0" vertical="center" wrapText="0"/>
    </xf>
    <xf borderId="237" fillId="0" fontId="14" numFmtId="0" xfId="0" applyAlignment="1" applyBorder="1" applyFont="1">
      <alignment horizontal="center" readingOrder="0" shrinkToFit="0" vertical="center" wrapText="1"/>
    </xf>
    <xf borderId="238" fillId="0" fontId="14" numFmtId="0" xfId="0" applyAlignment="1" applyBorder="1" applyFont="1">
      <alignment horizontal="center" readingOrder="0" shrinkToFit="0" vertical="center" wrapText="1"/>
    </xf>
    <xf borderId="238" fillId="31" fontId="15" numFmtId="0" xfId="0" applyAlignment="1" applyBorder="1" applyFill="1" applyFont="1">
      <alignment horizontal="center" readingOrder="0" shrinkToFit="0" vertical="center" wrapText="1"/>
    </xf>
    <xf borderId="239" fillId="32" fontId="15" numFmtId="0" xfId="0" applyAlignment="1" applyBorder="1" applyFill="1" applyFont="1">
      <alignment horizontal="center" readingOrder="0" shrinkToFit="0" vertical="center" wrapText="1"/>
    </xf>
    <xf borderId="118" fillId="0" fontId="7" numFmtId="0" xfId="0" applyBorder="1" applyFont="1"/>
    <xf borderId="240" fillId="0" fontId="7" numFmtId="0" xfId="0" applyBorder="1" applyFont="1"/>
    <xf borderId="241" fillId="3" fontId="14" numFmtId="0" xfId="0" applyAlignment="1" applyBorder="1" applyFont="1">
      <alignment horizontal="center" readingOrder="0" shrinkToFit="0" vertical="center" wrapText="1"/>
    </xf>
    <xf borderId="242" fillId="0" fontId="7" numFmtId="0" xfId="0" applyBorder="1" applyFont="1"/>
    <xf borderId="241" fillId="12" fontId="24" numFmtId="0" xfId="0" applyAlignment="1" applyBorder="1" applyFont="1">
      <alignment horizontal="center" readingOrder="0" shrinkToFit="0" vertical="center" wrapText="1"/>
    </xf>
    <xf borderId="243" fillId="0" fontId="7" numFmtId="0" xfId="0" applyBorder="1" applyFont="1"/>
    <xf borderId="244" fillId="0" fontId="7" numFmtId="0" xfId="0" applyBorder="1" applyFont="1"/>
    <xf borderId="245" fillId="0" fontId="7" numFmtId="0" xfId="0" applyBorder="1" applyFont="1"/>
    <xf borderId="246" fillId="0" fontId="7" numFmtId="0" xfId="0" applyBorder="1" applyFont="1"/>
    <xf borderId="247" fillId="0" fontId="7" numFmtId="0" xfId="0" applyBorder="1" applyFont="1"/>
    <xf borderId="248" fillId="3" fontId="24" numFmtId="0" xfId="0" applyAlignment="1" applyBorder="1" applyFont="1">
      <alignment horizontal="center" readingOrder="0" shrinkToFit="0" vertical="center" wrapText="1"/>
    </xf>
    <xf borderId="249" fillId="3" fontId="24" numFmtId="0" xfId="0" applyAlignment="1" applyBorder="1" applyFont="1">
      <alignment horizontal="center" readingOrder="0" shrinkToFit="0" vertical="center" wrapText="1"/>
    </xf>
    <xf borderId="248" fillId="12" fontId="24" numFmtId="0" xfId="0" applyAlignment="1" applyBorder="1" applyFont="1">
      <alignment horizontal="center" readingOrder="0" shrinkToFit="0" vertical="center" wrapText="1"/>
    </xf>
    <xf borderId="249" fillId="12" fontId="24" numFmtId="0" xfId="0" applyAlignment="1" applyBorder="1" applyFont="1">
      <alignment horizontal="center" readingOrder="0" shrinkToFit="0" vertical="center" wrapText="1"/>
    </xf>
    <xf borderId="250" fillId="33" fontId="22" numFmtId="0" xfId="0" applyAlignment="1" applyBorder="1" applyFill="1" applyFont="1">
      <alignment horizontal="center" readingOrder="0" vertical="center"/>
    </xf>
    <xf borderId="251" fillId="33" fontId="22" numFmtId="0" xfId="0" applyAlignment="1" applyBorder="1" applyFont="1">
      <alignment horizontal="center" readingOrder="0" vertical="center"/>
    </xf>
    <xf borderId="252" fillId="31" fontId="15" numFmtId="0" xfId="0" applyAlignment="1" applyBorder="1" applyFont="1">
      <alignment horizontal="center" readingOrder="0" shrinkToFit="0" vertical="center" wrapText="0"/>
    </xf>
    <xf borderId="252" fillId="32" fontId="15" numFmtId="0" xfId="0" applyAlignment="1" applyBorder="1" applyFont="1">
      <alignment horizontal="center" readingOrder="0" shrinkToFit="0" vertical="center" wrapText="0"/>
    </xf>
    <xf borderId="252" fillId="32" fontId="66" numFmtId="0" xfId="0" applyAlignment="1" applyBorder="1" applyFont="1">
      <alignment horizontal="center" readingOrder="0" vertical="center"/>
    </xf>
    <xf borderId="253" fillId="32" fontId="66" numFmtId="0" xfId="0" applyAlignment="1" applyBorder="1" applyFont="1">
      <alignment horizontal="center" readingOrder="0" vertical="center"/>
    </xf>
    <xf borderId="254" fillId="0" fontId="15" numFmtId="3" xfId="0" applyAlignment="1" applyBorder="1" applyFont="1" applyNumberFormat="1">
      <alignment horizontal="center" readingOrder="0" vertical="center"/>
    </xf>
    <xf borderId="255" fillId="0" fontId="15" numFmtId="3" xfId="0" applyAlignment="1" applyBorder="1" applyFont="1" applyNumberFormat="1">
      <alignment horizontal="center" readingOrder="0" vertical="center"/>
    </xf>
    <xf borderId="256" fillId="33" fontId="22" numFmtId="0" xfId="0" applyAlignment="1" applyBorder="1" applyFont="1">
      <alignment horizontal="center" readingOrder="0" vertical="center"/>
    </xf>
    <xf borderId="252" fillId="0" fontId="7" numFmtId="0" xfId="0" applyBorder="1" applyFont="1"/>
    <xf borderId="257" fillId="31" fontId="15" numFmtId="0" xfId="0" applyAlignment="1" applyBorder="1" applyFont="1">
      <alignment horizontal="center" readingOrder="0" shrinkToFit="0" vertical="center" wrapText="0"/>
    </xf>
    <xf borderId="257" fillId="34" fontId="15" numFmtId="0" xfId="0" applyAlignment="1" applyBorder="1" applyFill="1" applyFont="1">
      <alignment horizontal="center" readingOrder="0" shrinkToFit="0" vertical="center" wrapText="0"/>
    </xf>
    <xf borderId="257" fillId="34" fontId="66" numFmtId="0" xfId="0" applyAlignment="1" applyBorder="1" applyFont="1">
      <alignment horizontal="center" readingOrder="0" vertical="center"/>
    </xf>
    <xf borderId="258" fillId="34" fontId="66" numFmtId="0" xfId="0" applyAlignment="1" applyBorder="1" applyFont="1">
      <alignment horizontal="center" readingOrder="0" vertical="center"/>
    </xf>
    <xf borderId="250" fillId="0" fontId="7" numFmtId="0" xfId="0" applyBorder="1" applyFont="1"/>
    <xf borderId="259" fillId="0" fontId="7" numFmtId="0" xfId="0" applyBorder="1" applyFont="1"/>
    <xf borderId="260" fillId="33" fontId="22" numFmtId="0" xfId="0" applyAlignment="1" applyBorder="1" applyFont="1">
      <alignment horizontal="center" readingOrder="0" vertical="center"/>
    </xf>
    <xf borderId="257" fillId="32" fontId="15" numFmtId="0" xfId="0" applyAlignment="1" applyBorder="1" applyFont="1">
      <alignment horizontal="center" readingOrder="0" shrinkToFit="0" vertical="center" wrapText="0"/>
    </xf>
    <xf borderId="257" fillId="32" fontId="66" numFmtId="0" xfId="0" applyAlignment="1" applyBorder="1" applyFont="1">
      <alignment horizontal="center" readingOrder="0" vertical="center"/>
    </xf>
    <xf borderId="258" fillId="32" fontId="66" numFmtId="0" xfId="0" applyAlignment="1" applyBorder="1" applyFont="1">
      <alignment horizontal="center" readingOrder="0" vertical="center"/>
    </xf>
    <xf borderId="261" fillId="0" fontId="15" numFmtId="3" xfId="0" applyAlignment="1" applyBorder="1" applyFont="1" applyNumberFormat="1">
      <alignment horizontal="center" readingOrder="0" vertical="center"/>
    </xf>
    <xf borderId="262" fillId="0" fontId="15" numFmtId="3" xfId="0" applyAlignment="1" applyBorder="1" applyFont="1" applyNumberFormat="1">
      <alignment horizontal="center" readingOrder="0" vertical="center"/>
    </xf>
    <xf borderId="256" fillId="35" fontId="22" numFmtId="0" xfId="0" applyAlignment="1" applyBorder="1" applyFill="1" applyFont="1">
      <alignment horizontal="center" readingOrder="0" vertical="center"/>
    </xf>
    <xf borderId="260" fillId="35" fontId="22" numFmtId="0" xfId="0" applyAlignment="1" applyBorder="1" applyFont="1">
      <alignment horizontal="center" readingOrder="0" vertical="center"/>
    </xf>
    <xf borderId="256" fillId="35" fontId="15" numFmtId="0" xfId="0" applyAlignment="1" applyBorder="1" applyFont="1">
      <alignment horizontal="center" readingOrder="0" vertical="center"/>
    </xf>
    <xf borderId="260" fillId="35" fontId="15" numFmtId="0" xfId="0" applyAlignment="1" applyBorder="1" applyFont="1">
      <alignment horizontal="center" readingOrder="0" vertical="center"/>
    </xf>
    <xf borderId="256" fillId="33" fontId="15" numFmtId="0" xfId="0" applyAlignment="1" applyBorder="1" applyFont="1">
      <alignment horizontal="center" readingOrder="0" vertical="center"/>
    </xf>
    <xf borderId="260" fillId="33" fontId="15" numFmtId="0" xfId="0" applyAlignment="1" applyBorder="1" applyFont="1">
      <alignment horizontal="center" readingOrder="0" vertical="center"/>
    </xf>
    <xf borderId="257" fillId="22" fontId="15" numFmtId="0" xfId="0" applyAlignment="1" applyBorder="1" applyFont="1">
      <alignment horizontal="center" readingOrder="0" shrinkToFit="0" vertical="center" wrapText="0"/>
    </xf>
    <xf borderId="257" fillId="22" fontId="66" numFmtId="0" xfId="0" applyAlignment="1" applyBorder="1" applyFont="1">
      <alignment horizontal="center" readingOrder="0" vertical="center"/>
    </xf>
    <xf borderId="258" fillId="22" fontId="66" numFmtId="0" xfId="0" applyAlignment="1" applyBorder="1" applyFont="1">
      <alignment horizontal="center" readingOrder="0" vertical="center"/>
    </xf>
    <xf borderId="248" fillId="35" fontId="15" numFmtId="0" xfId="0" applyAlignment="1" applyBorder="1" applyFont="1">
      <alignment horizontal="center" readingOrder="0" vertical="center"/>
    </xf>
    <xf borderId="263" fillId="31" fontId="15" numFmtId="0" xfId="0" applyAlignment="1" applyBorder="1" applyFont="1">
      <alignment horizontal="center" readingOrder="0" shrinkToFit="0" vertical="center" wrapText="0"/>
    </xf>
    <xf borderId="263" fillId="34" fontId="15" numFmtId="0" xfId="0" applyAlignment="1" applyBorder="1" applyFont="1">
      <alignment horizontal="center" readingOrder="0" shrinkToFit="0" vertical="center" wrapText="0"/>
    </xf>
    <xf borderId="263" fillId="34" fontId="66" numFmtId="0" xfId="0" applyAlignment="1" applyBorder="1" applyFont="1">
      <alignment horizontal="center" readingOrder="0" vertical="center"/>
    </xf>
    <xf borderId="264" fillId="34" fontId="66" numFmtId="0" xfId="0" applyAlignment="1" applyBorder="1" applyFont="1">
      <alignment horizontal="center" readingOrder="0" vertical="center"/>
    </xf>
    <xf borderId="265" fillId="0" fontId="7" numFmtId="0" xfId="0" applyBorder="1" applyFont="1"/>
    <xf borderId="0" fillId="0" fontId="109" numFmtId="0" xfId="0" applyAlignment="1" applyFont="1">
      <alignment horizontal="center" readingOrder="0" shrinkToFit="0" vertical="center" wrapText="0"/>
    </xf>
    <xf borderId="0" fillId="0" fontId="109" numFmtId="0" xfId="0" applyAlignment="1" applyFont="1">
      <alignment horizontal="right" readingOrder="0" shrinkToFit="0" vertical="center" wrapText="0"/>
    </xf>
    <xf borderId="0" fillId="0" fontId="100" numFmtId="0" xfId="0" applyAlignment="1" applyFont="1">
      <alignment shrinkToFit="0" vertical="center" wrapText="0"/>
    </xf>
    <xf borderId="0" fillId="0" fontId="84" numFmtId="0" xfId="0" applyAlignment="1" applyFont="1">
      <alignment horizontal="right" readingOrder="0" shrinkToFit="0" vertical="center" wrapText="0"/>
    </xf>
    <xf borderId="5" fillId="3" fontId="109" numFmtId="0" xfId="0" applyAlignment="1" applyBorder="1" applyFont="1">
      <alignment horizontal="center" readingOrder="0" shrinkToFit="0" vertical="center" wrapText="0"/>
    </xf>
    <xf borderId="5" fillId="3" fontId="109" numFmtId="0" xfId="0" applyAlignment="1" applyBorder="1" applyFont="1">
      <alignment horizontal="right" shrinkToFit="0" vertical="center" wrapText="0"/>
    </xf>
    <xf borderId="1" fillId="0" fontId="94" numFmtId="0" xfId="0" applyAlignment="1" applyBorder="1" applyFont="1">
      <alignment horizontal="left" readingOrder="0" shrinkToFit="0" vertical="center" wrapText="0"/>
    </xf>
    <xf borderId="1" fillId="0" fontId="94" numFmtId="0" xfId="0" applyAlignment="1" applyBorder="1" applyFont="1">
      <alignment horizontal="center" readingOrder="0" shrinkToFit="0" vertical="center" wrapText="0"/>
    </xf>
    <xf borderId="1" fillId="0" fontId="94" numFmtId="3" xfId="0" applyAlignment="1" applyBorder="1" applyFont="1" applyNumberFormat="1">
      <alignment horizontal="right" shrinkToFit="0" vertical="center" wrapText="0"/>
    </xf>
    <xf borderId="1" fillId="36" fontId="94" numFmtId="0" xfId="0" applyAlignment="1" applyBorder="1" applyFill="1" applyFont="1">
      <alignment horizontal="left" shrinkToFit="0" vertical="center" wrapText="0"/>
    </xf>
    <xf borderId="1" fillId="36" fontId="94" numFmtId="0" xfId="0" applyAlignment="1" applyBorder="1" applyFont="1">
      <alignment horizontal="left" readingOrder="0" shrinkToFit="0" vertical="center" wrapText="0"/>
    </xf>
    <xf borderId="1" fillId="36" fontId="94" numFmtId="0" xfId="0" applyAlignment="1" applyBorder="1" applyFont="1">
      <alignment horizontal="center" readingOrder="0" shrinkToFit="0" vertical="center" wrapText="0"/>
    </xf>
    <xf borderId="1" fillId="36" fontId="94" numFmtId="3" xfId="0" applyAlignment="1" applyBorder="1" applyFont="1" applyNumberFormat="1">
      <alignment horizontal="right" shrinkToFit="0" vertical="center" wrapText="0"/>
    </xf>
    <xf borderId="1" fillId="0" fontId="94" numFmtId="0" xfId="0" applyAlignment="1" applyBorder="1" applyFont="1">
      <alignment horizontal="center" shrinkToFit="0" vertical="center" wrapText="0"/>
    </xf>
    <xf borderId="1" fillId="36" fontId="94" numFmtId="3" xfId="0" applyAlignment="1" applyBorder="1" applyFont="1" applyNumberFormat="1">
      <alignment horizontal="right" readingOrder="0" shrinkToFit="0" vertical="center" wrapText="0"/>
    </xf>
    <xf borderId="1" fillId="36" fontId="94" numFmtId="0" xfId="0" applyAlignment="1" applyBorder="1" applyFont="1">
      <alignment horizontal="left" readingOrder="0" shrinkToFit="0" vertical="center" wrapText="0"/>
    </xf>
    <xf borderId="1" fillId="36" fontId="94" numFmtId="0" xfId="0" applyAlignment="1" applyBorder="1" applyFont="1">
      <alignment horizontal="right" shrinkToFit="0" vertical="center" wrapText="0"/>
    </xf>
    <xf borderId="5" fillId="3" fontId="109" numFmtId="0" xfId="0" applyAlignment="1" applyBorder="1" applyFont="1">
      <alignment horizontal="right" readingOrder="0" shrinkToFit="0" vertical="center" wrapText="0"/>
    </xf>
    <xf borderId="1" fillId="0" fontId="94" numFmtId="0" xfId="0" applyAlignment="1" applyBorder="1" applyFont="1">
      <alignment horizontal="left" shrinkToFit="0" vertical="center" wrapText="0"/>
    </xf>
    <xf borderId="1" fillId="0" fontId="94" numFmtId="3" xfId="0" applyAlignment="1" applyBorder="1" applyFont="1" applyNumberFormat="1">
      <alignment horizontal="right" readingOrder="0" shrinkToFit="0" vertical="center" wrapText="0"/>
    </xf>
    <xf borderId="1" fillId="0" fontId="94" numFmtId="4" xfId="0" applyAlignment="1" applyBorder="1" applyFont="1" applyNumberFormat="1">
      <alignment horizontal="right" readingOrder="0" shrinkToFit="0" vertical="center" wrapText="0"/>
    </xf>
    <xf borderId="1" fillId="0" fontId="13" numFmtId="0" xfId="0" applyAlignment="1" applyBorder="1" applyFont="1">
      <alignment vertical="bottom"/>
    </xf>
    <xf borderId="266" fillId="0" fontId="13" numFmtId="0" xfId="0" applyAlignment="1" applyBorder="1" applyFont="1">
      <alignment vertical="bottom"/>
    </xf>
    <xf borderId="0" fillId="0" fontId="94" numFmtId="3" xfId="0" applyAlignment="1" applyFont="1" applyNumberFormat="1">
      <alignment horizontal="right" readingOrder="0" shrinkToFit="0" vertical="center" wrapText="0"/>
    </xf>
    <xf borderId="1" fillId="0" fontId="94" numFmtId="0" xfId="0" applyAlignment="1" applyBorder="1" applyFont="1">
      <alignment shrinkToFit="0" vertical="center" wrapText="0"/>
    </xf>
    <xf borderId="87" fillId="37" fontId="110" numFmtId="0" xfId="0" applyAlignment="1" applyBorder="1" applyFill="1" applyFont="1">
      <alignment horizontal="center" vertical="center"/>
    </xf>
    <xf borderId="0" fillId="0" fontId="111" numFmtId="0" xfId="0" applyFont="1"/>
    <xf borderId="267" fillId="38" fontId="112" numFmtId="0" xfId="0" applyAlignment="1" applyBorder="1" applyFill="1" applyFont="1">
      <alignment horizontal="center" shrinkToFit="0" vertical="center" wrapText="1"/>
    </xf>
    <xf borderId="0" fillId="0" fontId="111" numFmtId="0" xfId="0" applyAlignment="1" applyFont="1">
      <alignment vertical="center"/>
    </xf>
    <xf borderId="268" fillId="0" fontId="111" numFmtId="0" xfId="0" applyAlignment="1" applyBorder="1" applyFont="1">
      <alignment shrinkToFit="0" vertical="center" wrapText="1"/>
    </xf>
    <xf borderId="268" fillId="0" fontId="111" numFmtId="9" xfId="0" applyAlignment="1" applyBorder="1" applyFont="1" applyNumberFormat="1">
      <alignment horizontal="left" shrinkToFit="0" vertical="center" wrapText="1"/>
    </xf>
    <xf borderId="0" fillId="0" fontId="113" numFmtId="0" xfId="0" applyAlignment="1" applyFont="1">
      <alignment vertical="center"/>
    </xf>
    <xf borderId="0" fillId="0" fontId="113" numFmtId="0" xfId="0" applyAlignment="1" applyFont="1">
      <alignment shrinkToFit="0" vertical="center" wrapText="0"/>
    </xf>
    <xf borderId="267" fillId="38" fontId="112" numFmtId="0" xfId="0" applyAlignment="1" applyBorder="1" applyFont="1">
      <alignment horizontal="center" shrinkToFit="0" vertical="center" wrapText="0"/>
    </xf>
    <xf borderId="267" fillId="38" fontId="112" numFmtId="0" xfId="0" applyAlignment="1" applyBorder="1" applyFont="1">
      <alignment horizontal="center" vertical="center"/>
    </xf>
    <xf borderId="267" fillId="38" fontId="112" numFmtId="0" xfId="0" applyAlignment="1" applyBorder="1" applyFont="1">
      <alignment horizontal="center" readingOrder="0" vertical="center"/>
    </xf>
    <xf borderId="268" fillId="0" fontId="111" numFmtId="0" xfId="0" applyAlignment="1" applyBorder="1" applyFont="1">
      <alignment shrinkToFit="0" vertical="center" wrapText="0"/>
    </xf>
    <xf borderId="268" fillId="0" fontId="111" numFmtId="0" xfId="0" applyAlignment="1" applyBorder="1" applyFont="1">
      <alignment vertical="center"/>
    </xf>
    <xf borderId="268" fillId="0" fontId="111" numFmtId="9" xfId="0" applyAlignment="1" applyBorder="1" applyFont="1" applyNumberFormat="1">
      <alignment horizontal="left" readingOrder="0" shrinkToFit="0" vertical="center" wrapText="1"/>
    </xf>
    <xf borderId="268" fillId="0" fontId="111" numFmtId="3" xfId="0" applyAlignment="1" applyBorder="1" applyFont="1" applyNumberFormat="1">
      <alignment vertical="center"/>
    </xf>
    <xf borderId="268" fillId="0" fontId="111" numFmtId="3" xfId="0" applyAlignment="1" applyBorder="1" applyFont="1" applyNumberFormat="1">
      <alignment readingOrder="0" vertical="center"/>
    </xf>
    <xf borderId="268" fillId="0" fontId="111" numFmtId="0" xfId="0" applyAlignment="1" applyBorder="1" applyFont="1">
      <alignment readingOrder="0" vertical="center"/>
    </xf>
    <xf borderId="87" fillId="37" fontId="114" numFmtId="0" xfId="0" applyAlignment="1" applyBorder="1" applyFont="1">
      <alignment horizontal="center" vertical="center"/>
    </xf>
    <xf borderId="268" fillId="0" fontId="111" numFmtId="0" xfId="0" applyAlignment="1" applyBorder="1" applyFont="1">
      <alignment readingOrder="0" vertical="center"/>
    </xf>
    <xf borderId="267" fillId="38" fontId="112" numFmtId="0" xfId="0" applyAlignment="1" applyBorder="1" applyFont="1">
      <alignment horizontal="center" readingOrder="0" vertical="center"/>
    </xf>
  </cellXfs>
  <cellStyles count="1">
    <cellStyle xfId="0" name="Normal" builtinId="0"/>
  </cellStyles>
  <dxfs count="1">
    <dxf>
      <font/>
      <fill>
        <patternFill patternType="solid">
          <fgColor rgb="FF33CCCC"/>
          <bgColor rgb="FF33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tr">
        <f>IFERROR(__xludf.DUMMYFUNCTION("importrange(""https://docs.google.com/spreadsheets/d/1Bx-DkPv89asn-FMnTnBoP4QImCsI8ushHhSUGhYiPJM"",""TỒN KHO!A:E"")"),"MÃ HÀNG")</f>
        <v>MÃ HÀNG</v>
      </c>
      <c r="B1" s="1" t="str">
        <f>IFERROR(__xludf.DUMMYFUNCTION("""COMPUTED_VALUE"""),"HN")</f>
        <v>HN</v>
      </c>
      <c r="C1" s="1" t="str">
        <f>IFERROR(__xludf.DUMMYFUNCTION("""COMPUTED_VALUE"""),"ALL")</f>
        <v>ALL</v>
      </c>
      <c r="D1" s="1" t="str">
        <f>IFERROR(__xludf.DUMMYFUNCTION("""COMPUTED_VALUE"""),"&lt;&gt;HCM")</f>
        <v>&lt;&gt;HCM</v>
      </c>
      <c r="E1" s="1" t="str">
        <f>IFERROR(__xludf.DUMMYFUNCTION("""COMPUTED_VALUE"""),"HCM")</f>
        <v>HCM</v>
      </c>
    </row>
    <row r="2">
      <c r="A2" s="1" t="str">
        <f>IFERROR(__xludf.DUMMYFUNCTION("""COMPUTED_VALUE"""),"BBCG")</f>
        <v>BBCG</v>
      </c>
      <c r="B2" s="1">
        <f>IFERROR(__xludf.DUMMYFUNCTION("""COMPUTED_VALUE"""),50.0)</f>
        <v>50</v>
      </c>
      <c r="C2" s="1">
        <f>IFERROR(__xludf.DUMMYFUNCTION("""COMPUTED_VALUE"""),50.0)</f>
        <v>50</v>
      </c>
      <c r="D2" s="1">
        <f>IFERROR(__xludf.DUMMYFUNCTION("""COMPUTED_VALUE"""),50.0)</f>
        <v>50</v>
      </c>
      <c r="E2" s="1">
        <f>IFERROR(__xludf.DUMMYFUNCTION("""COMPUTED_VALUE"""),0.0)</f>
        <v>0</v>
      </c>
    </row>
    <row r="3">
      <c r="A3" s="1" t="str">
        <f>IFERROR(__xludf.DUMMYFUNCTION("""COMPUTED_VALUE"""),"BBVTT")</f>
        <v>BBVTT</v>
      </c>
      <c r="B3" s="1">
        <f>IFERROR(__xludf.DUMMYFUNCTION("""COMPUTED_VALUE"""),1583.0)</f>
        <v>1583</v>
      </c>
      <c r="C3" s="1">
        <f>IFERROR(__xludf.DUMMYFUNCTION("""COMPUTED_VALUE"""),1583.0)</f>
        <v>1583</v>
      </c>
      <c r="D3" s="1">
        <f>IFERROR(__xludf.DUMMYFUNCTION("""COMPUTED_VALUE"""),1583.0)</f>
        <v>1583</v>
      </c>
      <c r="E3" s="1">
        <f>IFERROR(__xludf.DUMMYFUNCTION("""COMPUTED_VALUE"""),0.0)</f>
        <v>0</v>
      </c>
    </row>
    <row r="4">
      <c r="A4" s="1" t="str">
        <f>IFERROR(__xludf.DUMMYFUNCTION("""COMPUTED_VALUE"""),"BCGY11T")</f>
        <v>BCGY11T</v>
      </c>
      <c r="B4" s="1">
        <f>IFERROR(__xludf.DUMMYFUNCTION("""COMPUTED_VALUE"""),40.0)</f>
        <v>40</v>
      </c>
      <c r="C4" s="1">
        <f>IFERROR(__xludf.DUMMYFUNCTION("""COMPUTED_VALUE"""),40.0)</f>
        <v>40</v>
      </c>
      <c r="D4" s="1">
        <f>IFERROR(__xludf.DUMMYFUNCTION("""COMPUTED_VALUE"""),40.0)</f>
        <v>40</v>
      </c>
      <c r="E4" s="1">
        <f>IFERROR(__xludf.DUMMYFUNCTION("""COMPUTED_VALUE"""),0.0)</f>
        <v>0</v>
      </c>
    </row>
    <row r="5">
      <c r="A5" s="1" t="str">
        <f>IFERROR(__xludf.DUMMYFUNCTION("""COMPUTED_VALUE"""),"BCGY11TCV")</f>
        <v>BCGY11TCV</v>
      </c>
      <c r="B5" s="1">
        <f>IFERROR(__xludf.DUMMYFUNCTION("""COMPUTED_VALUE"""),155.0)</f>
        <v>155</v>
      </c>
      <c r="C5" s="1">
        <f>IFERROR(__xludf.DUMMYFUNCTION("""COMPUTED_VALUE"""),155.0)</f>
        <v>155</v>
      </c>
      <c r="D5" s="1">
        <f>IFERROR(__xludf.DUMMYFUNCTION("""COMPUTED_VALUE"""),155.0)</f>
        <v>155</v>
      </c>
      <c r="E5" s="1">
        <f>IFERROR(__xludf.DUMMYFUNCTION("""COMPUTED_VALUE"""),0.0)</f>
        <v>0</v>
      </c>
    </row>
    <row r="6">
      <c r="A6" s="1" t="str">
        <f>IFERROR(__xludf.DUMMYFUNCTION("""COMPUTED_VALUE"""),"BCGY18T")</f>
        <v>BCGY18T</v>
      </c>
      <c r="B6" s="1">
        <f>IFERROR(__xludf.DUMMYFUNCTION("""COMPUTED_VALUE"""),310.0)</f>
        <v>310</v>
      </c>
      <c r="C6" s="1">
        <f>IFERROR(__xludf.DUMMYFUNCTION("""COMPUTED_VALUE"""),314.0)</f>
        <v>314</v>
      </c>
      <c r="D6" s="1">
        <f>IFERROR(__xludf.DUMMYFUNCTION("""COMPUTED_VALUE"""),310.0)</f>
        <v>310</v>
      </c>
      <c r="E6" s="1">
        <f>IFERROR(__xludf.DUMMYFUNCTION("""COMPUTED_VALUE"""),4.0)</f>
        <v>4</v>
      </c>
    </row>
    <row r="7">
      <c r="A7" s="1" t="str">
        <f>IFERROR(__xludf.DUMMYFUNCTION("""COMPUTED_VALUE"""),"BCGY18TCV")</f>
        <v>BCGY18TCV</v>
      </c>
      <c r="B7" s="1">
        <f>IFERROR(__xludf.DUMMYFUNCTION("""COMPUTED_VALUE"""),103.0)</f>
        <v>103</v>
      </c>
      <c r="C7" s="1">
        <f>IFERROR(__xludf.DUMMYFUNCTION("""COMPUTED_VALUE"""),103.0)</f>
        <v>103</v>
      </c>
      <c r="D7" s="1">
        <f>IFERROR(__xludf.DUMMYFUNCTION("""COMPUTED_VALUE"""),103.0)</f>
        <v>103</v>
      </c>
      <c r="E7" s="1">
        <f>IFERROR(__xludf.DUMMYFUNCTION("""COMPUTED_VALUE"""),0.0)</f>
        <v>0</v>
      </c>
    </row>
    <row r="8">
      <c r="A8" s="1" t="str">
        <f>IFERROR(__xludf.DUMMYFUNCTION("""COMPUTED_VALUE"""),"BCGY22T")</f>
        <v>BCGY22T</v>
      </c>
      <c r="B8" s="1">
        <f>IFERROR(__xludf.DUMMYFUNCTION("""COMPUTED_VALUE"""),264.0)</f>
        <v>264</v>
      </c>
      <c r="C8" s="1">
        <f>IFERROR(__xludf.DUMMYFUNCTION("""COMPUTED_VALUE"""),264.0)</f>
        <v>264</v>
      </c>
      <c r="D8" s="1">
        <f>IFERROR(__xludf.DUMMYFUNCTION("""COMPUTED_VALUE"""),264.0)</f>
        <v>264</v>
      </c>
      <c r="E8" s="1">
        <f>IFERROR(__xludf.DUMMYFUNCTION("""COMPUTED_VALUE"""),0.0)</f>
        <v>0</v>
      </c>
    </row>
    <row r="9">
      <c r="A9" s="1" t="str">
        <f>IFERROR(__xludf.DUMMYFUNCTION("""COMPUTED_VALUE"""),"BCGY22TCV")</f>
        <v>BCGY22TCV</v>
      </c>
      <c r="B9" s="1">
        <f>IFERROR(__xludf.DUMMYFUNCTION("""COMPUTED_VALUE"""),684.0)</f>
        <v>684</v>
      </c>
      <c r="C9" s="1">
        <f>IFERROR(__xludf.DUMMYFUNCTION("""COMPUTED_VALUE"""),722.0)</f>
        <v>722</v>
      </c>
      <c r="D9" s="1">
        <f>IFERROR(__xludf.DUMMYFUNCTION("""COMPUTED_VALUE"""),684.0)</f>
        <v>684</v>
      </c>
      <c r="E9" s="1">
        <f>IFERROR(__xludf.DUMMYFUNCTION("""COMPUTED_VALUE"""),38.0)</f>
        <v>38</v>
      </c>
    </row>
    <row r="10">
      <c r="A10" s="1" t="str">
        <f>IFERROR(__xludf.DUMMYFUNCTION("""COMPUTED_VALUE"""),"BCGY33T")</f>
        <v>BCGY33T</v>
      </c>
      <c r="B10" s="1">
        <f>IFERROR(__xludf.DUMMYFUNCTION("""COMPUTED_VALUE"""),151.0)</f>
        <v>151</v>
      </c>
      <c r="C10" s="1">
        <f>IFERROR(__xludf.DUMMYFUNCTION("""COMPUTED_VALUE"""),151.0)</f>
        <v>151</v>
      </c>
      <c r="D10" s="1">
        <f>IFERROR(__xludf.DUMMYFUNCTION("""COMPUTED_VALUE"""),151.0)</f>
        <v>151</v>
      </c>
      <c r="E10" s="1">
        <f>IFERROR(__xludf.DUMMYFUNCTION("""COMPUTED_VALUE"""),0.0)</f>
        <v>0</v>
      </c>
    </row>
    <row r="11">
      <c r="A11" s="1" t="str">
        <f>IFERROR(__xludf.DUMMYFUNCTION("""COMPUTED_VALUE"""),"BCGY33TCV")</f>
        <v>BCGY33TCV</v>
      </c>
      <c r="B11" s="1">
        <f>IFERROR(__xludf.DUMMYFUNCTION("""COMPUTED_VALUE"""),1227.0)</f>
        <v>1227</v>
      </c>
      <c r="C11" s="1">
        <f>IFERROR(__xludf.DUMMYFUNCTION("""COMPUTED_VALUE"""),1270.0)</f>
        <v>1270</v>
      </c>
      <c r="D11" s="1">
        <f>IFERROR(__xludf.DUMMYFUNCTION("""COMPUTED_VALUE"""),1227.0)</f>
        <v>1227</v>
      </c>
      <c r="E11" s="1">
        <f>IFERROR(__xludf.DUMMYFUNCTION("""COMPUTED_VALUE"""),43.0)</f>
        <v>43</v>
      </c>
    </row>
    <row r="12">
      <c r="A12" s="1" t="str">
        <f>IFERROR(__xludf.DUMMYFUNCTION("""COMPUTED_VALUE"""),"BCGY37T")</f>
        <v>BCGY37T</v>
      </c>
      <c r="B12" s="1">
        <f>IFERROR(__xludf.DUMMYFUNCTION("""COMPUTED_VALUE"""),70.0)</f>
        <v>70</v>
      </c>
      <c r="C12" s="1">
        <f>IFERROR(__xludf.DUMMYFUNCTION("""COMPUTED_VALUE"""),70.0)</f>
        <v>70</v>
      </c>
      <c r="D12" s="1">
        <f>IFERROR(__xludf.DUMMYFUNCTION("""COMPUTED_VALUE"""),70.0)</f>
        <v>70</v>
      </c>
      <c r="E12" s="1">
        <f>IFERROR(__xludf.DUMMYFUNCTION("""COMPUTED_VALUE"""),0.0)</f>
        <v>0</v>
      </c>
    </row>
    <row r="13">
      <c r="A13" s="1" t="str">
        <f>IFERROR(__xludf.DUMMYFUNCTION("""COMPUTED_VALUE"""),"BCGY37TCV")</f>
        <v>BCGY37TCV</v>
      </c>
      <c r="B13" s="1">
        <f>IFERROR(__xludf.DUMMYFUNCTION("""COMPUTED_VALUE"""),33.0)</f>
        <v>33</v>
      </c>
      <c r="C13" s="1">
        <f>IFERROR(__xludf.DUMMYFUNCTION("""COMPUTED_VALUE"""),33.0)</f>
        <v>33</v>
      </c>
      <c r="D13" s="1">
        <f>IFERROR(__xludf.DUMMYFUNCTION("""COMPUTED_VALUE"""),33.0)</f>
        <v>33</v>
      </c>
      <c r="E13" s="1">
        <f>IFERROR(__xludf.DUMMYFUNCTION("""COMPUTED_VALUE"""),0.0)</f>
        <v>0</v>
      </c>
    </row>
    <row r="14">
      <c r="A14" s="1" t="str">
        <f>IFERROR(__xludf.DUMMYFUNCTION("""COMPUTED_VALUE"""),"BCGY40T")</f>
        <v>BCGY40T</v>
      </c>
      <c r="B14" s="1">
        <f>IFERROR(__xludf.DUMMYFUNCTION("""COMPUTED_VALUE"""),122.0)</f>
        <v>122</v>
      </c>
      <c r="C14" s="1">
        <f>IFERROR(__xludf.DUMMYFUNCTION("""COMPUTED_VALUE"""),122.0)</f>
        <v>122</v>
      </c>
      <c r="D14" s="1">
        <f>IFERROR(__xludf.DUMMYFUNCTION("""COMPUTED_VALUE"""),122.0)</f>
        <v>122</v>
      </c>
      <c r="E14" s="1">
        <f>IFERROR(__xludf.DUMMYFUNCTION("""COMPUTED_VALUE"""),0.0)</f>
        <v>0</v>
      </c>
    </row>
    <row r="15">
      <c r="A15" s="1" t="str">
        <f>IFERROR(__xludf.DUMMYFUNCTION("""COMPUTED_VALUE"""),"BCGY40TCV")</f>
        <v>BCGY40TCV</v>
      </c>
      <c r="B15" s="1">
        <f>IFERROR(__xludf.DUMMYFUNCTION("""COMPUTED_VALUE"""),31.0)</f>
        <v>31</v>
      </c>
      <c r="C15" s="1">
        <f>IFERROR(__xludf.DUMMYFUNCTION("""COMPUTED_VALUE"""),31.0)</f>
        <v>31</v>
      </c>
      <c r="D15" s="1">
        <f>IFERROR(__xludf.DUMMYFUNCTION("""COMPUTED_VALUE"""),31.0)</f>
        <v>31</v>
      </c>
      <c r="E15" s="1">
        <f>IFERROR(__xludf.DUMMYFUNCTION("""COMPUTED_VALUE"""),0.0)</f>
        <v>0</v>
      </c>
    </row>
    <row r="16">
      <c r="A16" s="1" t="str">
        <f>IFERROR(__xludf.DUMMYFUNCTION("""COMPUTED_VALUE"""),"BCGY72T")</f>
        <v>BCGY72T</v>
      </c>
      <c r="B16" s="1">
        <f>IFERROR(__xludf.DUMMYFUNCTION("""COMPUTED_VALUE"""),176.0)</f>
        <v>176</v>
      </c>
      <c r="C16" s="1">
        <f>IFERROR(__xludf.DUMMYFUNCTION("""COMPUTED_VALUE"""),203.0)</f>
        <v>203</v>
      </c>
      <c r="D16" s="1">
        <f>IFERROR(__xludf.DUMMYFUNCTION("""COMPUTED_VALUE"""),176.0)</f>
        <v>176</v>
      </c>
      <c r="E16" s="1">
        <f>IFERROR(__xludf.DUMMYFUNCTION("""COMPUTED_VALUE"""),27.0)</f>
        <v>27</v>
      </c>
    </row>
    <row r="17">
      <c r="A17" s="1" t="str">
        <f>IFERROR(__xludf.DUMMYFUNCTION("""COMPUTED_VALUE"""),"BCGY72TCV")</f>
        <v>BCGY72TCV</v>
      </c>
      <c r="B17" s="1">
        <f>IFERROR(__xludf.DUMMYFUNCTION("""COMPUTED_VALUE"""),267.0)</f>
        <v>267</v>
      </c>
      <c r="C17" s="1">
        <f>IFERROR(__xludf.DUMMYFUNCTION("""COMPUTED_VALUE"""),301.0)</f>
        <v>301</v>
      </c>
      <c r="D17" s="1">
        <f>IFERROR(__xludf.DUMMYFUNCTION("""COMPUTED_VALUE"""),267.0)</f>
        <v>267</v>
      </c>
      <c r="E17" s="1">
        <f>IFERROR(__xludf.DUMMYFUNCTION("""COMPUTED_VALUE"""),34.0)</f>
        <v>34</v>
      </c>
    </row>
    <row r="18">
      <c r="A18" s="1" t="str">
        <f>IFERROR(__xludf.DUMMYFUNCTION("""COMPUTED_VALUE"""),"BCGY73T")</f>
        <v>BCGY73T</v>
      </c>
      <c r="B18" s="1">
        <f>IFERROR(__xludf.DUMMYFUNCTION("""COMPUTED_VALUE"""),254.0)</f>
        <v>254</v>
      </c>
      <c r="C18" s="1">
        <f>IFERROR(__xludf.DUMMYFUNCTION("""COMPUTED_VALUE"""),264.0)</f>
        <v>264</v>
      </c>
      <c r="D18" s="1">
        <f>IFERROR(__xludf.DUMMYFUNCTION("""COMPUTED_VALUE"""),254.0)</f>
        <v>254</v>
      </c>
      <c r="E18" s="1">
        <f>IFERROR(__xludf.DUMMYFUNCTION("""COMPUTED_VALUE"""),10.0)</f>
        <v>10</v>
      </c>
    </row>
    <row r="19">
      <c r="A19" s="1" t="str">
        <f>IFERROR(__xludf.DUMMYFUNCTION("""COMPUTED_VALUE"""),"BCGY73TCV")</f>
        <v>BCGY73TCV</v>
      </c>
      <c r="B19" s="1">
        <f>IFERROR(__xludf.DUMMYFUNCTION("""COMPUTED_VALUE"""),131.0)</f>
        <v>131</v>
      </c>
      <c r="C19" s="1">
        <f>IFERROR(__xludf.DUMMYFUNCTION("""COMPUTED_VALUE"""),169.0)</f>
        <v>169</v>
      </c>
      <c r="D19" s="1">
        <f>IFERROR(__xludf.DUMMYFUNCTION("""COMPUTED_VALUE"""),131.0)</f>
        <v>131</v>
      </c>
      <c r="E19" s="1">
        <f>IFERROR(__xludf.DUMMYFUNCTION("""COMPUTED_VALUE"""),38.0)</f>
        <v>38</v>
      </c>
    </row>
    <row r="20">
      <c r="A20" s="1" t="str">
        <f>IFERROR(__xludf.DUMMYFUNCTION("""COMPUTED_VALUE"""),"BCGY75T")</f>
        <v>BCGY75T</v>
      </c>
      <c r="B20" s="1">
        <f>IFERROR(__xludf.DUMMYFUNCTION("""COMPUTED_VALUE"""),63.0)</f>
        <v>63</v>
      </c>
      <c r="C20" s="1">
        <f>IFERROR(__xludf.DUMMYFUNCTION("""COMPUTED_VALUE"""),76.0)</f>
        <v>76</v>
      </c>
      <c r="D20" s="1">
        <f>IFERROR(__xludf.DUMMYFUNCTION("""COMPUTED_VALUE"""),63.0)</f>
        <v>63</v>
      </c>
      <c r="E20" s="1">
        <f>IFERROR(__xludf.DUMMYFUNCTION("""COMPUTED_VALUE"""),13.0)</f>
        <v>13</v>
      </c>
    </row>
    <row r="21">
      <c r="A21" s="1" t="str">
        <f>IFERROR(__xludf.DUMMYFUNCTION("""COMPUTED_VALUE"""),"BCGY75TCV")</f>
        <v>BCGY75TCV</v>
      </c>
      <c r="B21" s="1">
        <f>IFERROR(__xludf.DUMMYFUNCTION("""COMPUTED_VALUE"""),98.0)</f>
        <v>98</v>
      </c>
      <c r="C21" s="1">
        <f>IFERROR(__xludf.DUMMYFUNCTION("""COMPUTED_VALUE"""),103.0)</f>
        <v>103</v>
      </c>
      <c r="D21" s="1">
        <f>IFERROR(__xludf.DUMMYFUNCTION("""COMPUTED_VALUE"""),98.0)</f>
        <v>98</v>
      </c>
      <c r="E21" s="1">
        <f>IFERROR(__xludf.DUMMYFUNCTION("""COMPUTED_VALUE"""),5.0)</f>
        <v>5</v>
      </c>
    </row>
    <row r="22">
      <c r="A22" s="1" t="str">
        <f>IFERROR(__xludf.DUMMYFUNCTION("""COMPUTED_VALUE"""),"BCTRANG")</f>
        <v>BCTRANG</v>
      </c>
      <c r="B22" s="1">
        <f>IFERROR(__xludf.DUMMYFUNCTION("""COMPUTED_VALUE"""),4960.67)</f>
        <v>4960.67</v>
      </c>
      <c r="C22" s="1">
        <f>IFERROR(__xludf.DUMMYFUNCTION("""COMPUTED_VALUE"""),5236.47)</f>
        <v>5236.47</v>
      </c>
      <c r="D22" s="1">
        <f>IFERROR(__xludf.DUMMYFUNCTION("""COMPUTED_VALUE"""),4960.67)</f>
        <v>4960.67</v>
      </c>
      <c r="E22" s="1">
        <f>IFERROR(__xludf.DUMMYFUNCTION("""COMPUTED_VALUE"""),275.8)</f>
        <v>275.8</v>
      </c>
    </row>
    <row r="23">
      <c r="A23" s="1" t="str">
        <f>IFERROR(__xludf.DUMMYFUNCTION("""COMPUTED_VALUE"""),"BDNEKC102A")</f>
        <v>BDNEKC102A</v>
      </c>
      <c r="B23" s="1">
        <f>IFERROR(__xludf.DUMMYFUNCTION("""COMPUTED_VALUE"""),38.0)</f>
        <v>38</v>
      </c>
      <c r="C23" s="1">
        <f>IFERROR(__xludf.DUMMYFUNCTION("""COMPUTED_VALUE"""),38.0)</f>
        <v>38</v>
      </c>
      <c r="D23" s="1">
        <f>IFERROR(__xludf.DUMMYFUNCTION("""COMPUTED_VALUE"""),38.0)</f>
        <v>38</v>
      </c>
      <c r="E23" s="1">
        <f>IFERROR(__xludf.DUMMYFUNCTION("""COMPUTED_VALUE"""),0.0)</f>
        <v>0</v>
      </c>
    </row>
    <row r="24">
      <c r="A24" s="1" t="str">
        <f>IFERROR(__xludf.DUMMYFUNCTION("""COMPUTED_VALUE"""),"BDNEKC102C")</f>
        <v>BDNEKC102C</v>
      </c>
      <c r="B24" s="1">
        <f>IFERROR(__xludf.DUMMYFUNCTION("""COMPUTED_VALUE"""),30.0)</f>
        <v>30</v>
      </c>
      <c r="C24" s="1">
        <f>IFERROR(__xludf.DUMMYFUNCTION("""COMPUTED_VALUE"""),30.0)</f>
        <v>30</v>
      </c>
      <c r="D24" s="1">
        <f>IFERROR(__xludf.DUMMYFUNCTION("""COMPUTED_VALUE"""),30.0)</f>
        <v>30</v>
      </c>
      <c r="E24" s="1">
        <f>IFERROR(__xludf.DUMMYFUNCTION("""COMPUTED_VALUE"""),0.0)</f>
        <v>0</v>
      </c>
    </row>
    <row r="25">
      <c r="A25" s="1" t="str">
        <f>IFERROR(__xludf.DUMMYFUNCTION("""COMPUTED_VALUE"""),"BKDH89X30")</f>
        <v>BKDH89X30</v>
      </c>
      <c r="B25" s="1">
        <f>IFERROR(__xludf.DUMMYFUNCTION("""COMPUTED_VALUE"""),4.0)</f>
        <v>4</v>
      </c>
      <c r="C25" s="1">
        <f>IFERROR(__xludf.DUMMYFUNCTION("""COMPUTED_VALUE"""),4.0)</f>
        <v>4</v>
      </c>
      <c r="D25" s="1">
        <f>IFERROR(__xludf.DUMMYFUNCTION("""COMPUTED_VALUE"""),4.0)</f>
        <v>4</v>
      </c>
      <c r="E25" s="1">
        <f>IFERROR(__xludf.DUMMYFUNCTION("""COMPUTED_VALUE"""),0.0)</f>
        <v>0</v>
      </c>
    </row>
    <row r="26">
      <c r="A26" s="1" t="str">
        <f>IFERROR(__xludf.DUMMYFUNCTION("""COMPUTED_VALUE"""),"BM4060")</f>
        <v>BM4060</v>
      </c>
      <c r="B26" s="1">
        <f>IFERROR(__xludf.DUMMYFUNCTION("""COMPUTED_VALUE"""),266.0)</f>
        <v>266</v>
      </c>
      <c r="C26" s="1">
        <f>IFERROR(__xludf.DUMMYFUNCTION("""COMPUTED_VALUE"""),266.0)</f>
        <v>266</v>
      </c>
      <c r="D26" s="1">
        <f>IFERROR(__xludf.DUMMYFUNCTION("""COMPUTED_VALUE"""),266.0)</f>
        <v>266</v>
      </c>
      <c r="E26" s="1">
        <f>IFERROR(__xludf.DUMMYFUNCTION("""COMPUTED_VALUE"""),0.0)</f>
        <v>0</v>
      </c>
    </row>
    <row r="27">
      <c r="A27" s="1" t="str">
        <f>IFERROR(__xludf.DUMMYFUNCTION("""COMPUTED_VALUE"""),"BM6080")</f>
        <v>BM6080</v>
      </c>
      <c r="B27" s="1">
        <f>IFERROR(__xludf.DUMMYFUNCTION("""COMPUTED_VALUE"""),225.0)</f>
        <v>225</v>
      </c>
      <c r="C27" s="1">
        <f>IFERROR(__xludf.DUMMYFUNCTION("""COMPUTED_VALUE"""),234.0)</f>
        <v>234</v>
      </c>
      <c r="D27" s="1">
        <f>IFERROR(__xludf.DUMMYFUNCTION("""COMPUTED_VALUE"""),225.0)</f>
        <v>225</v>
      </c>
      <c r="E27" s="1">
        <f>IFERROR(__xludf.DUMMYFUNCTION("""COMPUTED_VALUE"""),9.0)</f>
        <v>9</v>
      </c>
    </row>
    <row r="28">
      <c r="A28" s="1" t="str">
        <f>IFERROR(__xludf.DUMMYFUNCTION("""COMPUTED_VALUE"""),"BOMCS")</f>
        <v>BOMCS</v>
      </c>
      <c r="B28" s="1">
        <f>IFERROR(__xludf.DUMMYFUNCTION("""COMPUTED_VALUE"""),10.0)</f>
        <v>10</v>
      </c>
      <c r="C28" s="1">
        <f>IFERROR(__xludf.DUMMYFUNCTION("""COMPUTED_VALUE"""),10.0)</f>
        <v>10</v>
      </c>
      <c r="D28" s="1">
        <f>IFERROR(__xludf.DUMMYFUNCTION("""COMPUTED_VALUE"""),10.0)</f>
        <v>10</v>
      </c>
      <c r="E28" s="1">
        <f>IFERROR(__xludf.DUMMYFUNCTION("""COMPUTED_VALUE"""),0.0)</f>
        <v>0</v>
      </c>
    </row>
    <row r="29">
      <c r="A29" s="1" t="str">
        <f>IFERROR(__xludf.DUMMYFUNCTION("""COMPUTED_VALUE"""),"BTTO43X50CB")</f>
        <v>BTTO43X50CB</v>
      </c>
      <c r="B29" s="1">
        <f>IFERROR(__xludf.DUMMYFUNCTION("""COMPUTED_VALUE"""),11.0)</f>
        <v>11</v>
      </c>
      <c r="C29" s="1">
        <f>IFERROR(__xludf.DUMMYFUNCTION("""COMPUTED_VALUE"""),11.0)</f>
        <v>11</v>
      </c>
      <c r="D29" s="1">
        <f>IFERROR(__xludf.DUMMYFUNCTION("""COMPUTED_VALUE"""),11.0)</f>
        <v>11</v>
      </c>
      <c r="E29" s="1">
        <f>IFERROR(__xludf.DUMMYFUNCTION("""COMPUTED_VALUE"""),0.0)</f>
        <v>0</v>
      </c>
    </row>
    <row r="30">
      <c r="A30" s="1" t="str">
        <f>IFERROR(__xludf.DUMMYFUNCTION("""COMPUTED_VALUE"""),"C02BCMĐ01")</f>
        <v>C02BCMĐ01</v>
      </c>
      <c r="B30" s="1">
        <f>IFERROR(__xludf.DUMMYFUNCTION("""COMPUTED_VALUE"""),1.0)</f>
        <v>1</v>
      </c>
      <c r="C30" s="1">
        <f>IFERROR(__xludf.DUMMYFUNCTION("""COMPUTED_VALUE"""),1.0)</f>
        <v>1</v>
      </c>
      <c r="D30" s="1">
        <f>IFERROR(__xludf.DUMMYFUNCTION("""COMPUTED_VALUE"""),1.0)</f>
        <v>1</v>
      </c>
      <c r="E30" s="1">
        <f>IFERROR(__xludf.DUMMYFUNCTION("""COMPUTED_VALUE"""),0.0)</f>
        <v>0</v>
      </c>
    </row>
    <row r="31">
      <c r="A31" s="1" t="str">
        <f>IFERROR(__xludf.DUMMYFUNCTION("""COMPUTED_VALUE"""),"C02BCMĐ02")</f>
        <v>C02BCMĐ02</v>
      </c>
      <c r="B31" s="1">
        <f>IFERROR(__xludf.DUMMYFUNCTION("""COMPUTED_VALUE"""),1.0)</f>
        <v>1</v>
      </c>
      <c r="C31" s="1">
        <f>IFERROR(__xludf.DUMMYFUNCTION("""COMPUTED_VALUE"""),1.0)</f>
        <v>1</v>
      </c>
      <c r="D31" s="1">
        <f>IFERROR(__xludf.DUMMYFUNCTION("""COMPUTED_VALUE"""),1.0)</f>
        <v>1</v>
      </c>
      <c r="E31" s="1">
        <f>IFERROR(__xludf.DUMMYFUNCTION("""COMPUTED_VALUE"""),0.0)</f>
        <v>0</v>
      </c>
    </row>
    <row r="32">
      <c r="A32" s="1" t="str">
        <f>IFERROR(__xludf.DUMMYFUNCTION("""COMPUTED_VALUE"""),"CAOSUGC")</f>
        <v>CAOSUGC</v>
      </c>
      <c r="B32" s="1">
        <f>IFERROR(__xludf.DUMMYFUNCTION("""COMPUTED_VALUE"""),10.0)</f>
        <v>10</v>
      </c>
      <c r="C32" s="1">
        <f>IFERROR(__xludf.DUMMYFUNCTION("""COMPUTED_VALUE"""),10.0)</f>
        <v>10</v>
      </c>
      <c r="D32" s="1">
        <f>IFERROR(__xludf.DUMMYFUNCTION("""COMPUTED_VALUE"""),10.0)</f>
        <v>10</v>
      </c>
      <c r="E32" s="1">
        <f>IFERROR(__xludf.DUMMYFUNCTION("""COMPUTED_VALUE"""),0.0)</f>
        <v>0</v>
      </c>
    </row>
    <row r="33">
      <c r="A33" s="1" t="str">
        <f>IFERROR(__xludf.DUMMYFUNCTION("""COMPUTED_VALUE"""),"CAPMAU")</f>
        <v>CAPMAU</v>
      </c>
      <c r="B33" s="1">
        <f>IFERROR(__xludf.DUMMYFUNCTION("""COMPUTED_VALUE"""),9.99651039E7)</f>
        <v>99965103.9</v>
      </c>
      <c r="C33" s="1">
        <f>IFERROR(__xludf.DUMMYFUNCTION("""COMPUTED_VALUE"""),9.99661099E7)</f>
        <v>99966109.9</v>
      </c>
      <c r="D33" s="1">
        <f>IFERROR(__xludf.DUMMYFUNCTION("""COMPUTED_VALUE"""),9.99660609E7)</f>
        <v>99966060.9</v>
      </c>
      <c r="E33" s="1">
        <f>IFERROR(__xludf.DUMMYFUNCTION("""COMPUTED_VALUE"""),49.0)</f>
        <v>49</v>
      </c>
    </row>
    <row r="34">
      <c r="A34" s="1" t="str">
        <f>IFERROR(__xludf.DUMMYFUNCTION("""COMPUTED_VALUE"""),"CATALOGAERO")</f>
        <v>CATALOGAERO</v>
      </c>
      <c r="B34" s="1">
        <f>IFERROR(__xludf.DUMMYFUNCTION("""COMPUTED_VALUE"""),100.0)</f>
        <v>100</v>
      </c>
      <c r="C34" s="1">
        <f>IFERROR(__xludf.DUMMYFUNCTION("""COMPUTED_VALUE"""),100.0)</f>
        <v>100</v>
      </c>
      <c r="D34" s="1">
        <f>IFERROR(__xludf.DUMMYFUNCTION("""COMPUTED_VALUE"""),100.0)</f>
        <v>100</v>
      </c>
      <c r="E34" s="1">
        <f>IFERROR(__xludf.DUMMYFUNCTION("""COMPUTED_VALUE"""),0.0)</f>
        <v>0</v>
      </c>
    </row>
    <row r="35">
      <c r="A35" s="1" t="str">
        <f>IFERROR(__xludf.DUMMYFUNCTION("""COMPUTED_VALUE"""),"CATALOGBOTHAN")</f>
        <v>CATALOGBOTHAN</v>
      </c>
      <c r="B35" s="1">
        <f>IFERROR(__xludf.DUMMYFUNCTION("""COMPUTED_VALUE"""),20.0)</f>
        <v>20</v>
      </c>
      <c r="C35" s="1">
        <f>IFERROR(__xludf.DUMMYFUNCTION("""COMPUTED_VALUE"""),20.0)</f>
        <v>20</v>
      </c>
      <c r="D35" s="1">
        <f>IFERROR(__xludf.DUMMYFUNCTION("""COMPUTED_VALUE"""),20.0)</f>
        <v>20</v>
      </c>
      <c r="E35" s="1">
        <f>IFERROR(__xludf.DUMMYFUNCTION("""COMPUTED_VALUE"""),0.0)</f>
        <v>0</v>
      </c>
    </row>
    <row r="36">
      <c r="A36" s="1" t="str">
        <f>IFERROR(__xludf.DUMMYFUNCTION("""COMPUTED_VALUE"""),"CATALOGODRB")</f>
        <v>CATALOGODRB</v>
      </c>
      <c r="B36" s="1">
        <f>IFERROR(__xludf.DUMMYFUNCTION("""COMPUTED_VALUE"""),139.0)</f>
        <v>139</v>
      </c>
      <c r="C36" s="1">
        <f>IFERROR(__xludf.DUMMYFUNCTION("""COMPUTED_VALUE"""),139.0)</f>
        <v>139</v>
      </c>
      <c r="D36" s="1">
        <f>IFERROR(__xludf.DUMMYFUNCTION("""COMPUTED_VALUE"""),139.0)</f>
        <v>139</v>
      </c>
      <c r="E36" s="1">
        <f>IFERROR(__xludf.DUMMYFUNCTION("""COMPUTED_VALUE"""),0.0)</f>
        <v>0</v>
      </c>
    </row>
    <row r="37">
      <c r="A37" s="1" t="str">
        <f>IFERROR(__xludf.DUMMYFUNCTION("""COMPUTED_VALUE"""),"CATALOGODTP")</f>
        <v>CATALOGODTP</v>
      </c>
      <c r="B37" s="1">
        <f>IFERROR(__xludf.DUMMYFUNCTION("""COMPUTED_VALUE"""),3013.0)</f>
        <v>3013</v>
      </c>
      <c r="C37" s="1">
        <f>IFERROR(__xludf.DUMMYFUNCTION("""COMPUTED_VALUE"""),3013.0)</f>
        <v>3013</v>
      </c>
      <c r="D37" s="1">
        <f>IFERROR(__xludf.DUMMYFUNCTION("""COMPUTED_VALUE"""),3013.0)</f>
        <v>3013</v>
      </c>
      <c r="E37" s="1">
        <f>IFERROR(__xludf.DUMMYFUNCTION("""COMPUTED_VALUE"""),0.0)</f>
        <v>0</v>
      </c>
    </row>
    <row r="38">
      <c r="A38" s="1" t="str">
        <f>IFERROR(__xludf.DUMMYFUNCTION("""COMPUTED_VALUE"""),"CATALOGTAISEIVN")</f>
        <v>CATALOGTAISEIVN</v>
      </c>
      <c r="B38" s="1">
        <f>IFERROR(__xludf.DUMMYFUNCTION("""COMPUTED_VALUE"""),190.0)</f>
        <v>190</v>
      </c>
      <c r="C38" s="1">
        <f>IFERROR(__xludf.DUMMYFUNCTION("""COMPUTED_VALUE"""),1190.0)</f>
        <v>1190</v>
      </c>
      <c r="D38" s="1">
        <f>IFERROR(__xludf.DUMMYFUNCTION("""COMPUTED_VALUE"""),1190.0)</f>
        <v>1190</v>
      </c>
      <c r="E38" s="1">
        <f>IFERROR(__xludf.DUMMYFUNCTION("""COMPUTED_VALUE"""),0.0)</f>
        <v>0</v>
      </c>
    </row>
    <row r="39">
      <c r="A39" s="1" t="str">
        <f>IFERROR(__xludf.DUMMYFUNCTION("""COMPUTED_VALUE"""),"CUQUATYYS15")</f>
        <v>CUQUATYYS15</v>
      </c>
      <c r="B39" s="1">
        <f>IFERROR(__xludf.DUMMYFUNCTION("""COMPUTED_VALUE"""),4.0)</f>
        <v>4</v>
      </c>
      <c r="C39" s="1">
        <f>IFERROR(__xludf.DUMMYFUNCTION("""COMPUTED_VALUE"""),4.0)</f>
        <v>4</v>
      </c>
      <c r="D39" s="1">
        <f>IFERROR(__xludf.DUMMYFUNCTION("""COMPUTED_VALUE"""),4.0)</f>
        <v>4</v>
      </c>
      <c r="E39" s="1">
        <f>IFERROR(__xludf.DUMMYFUNCTION("""COMPUTED_VALUE"""),0.0)</f>
        <v>0</v>
      </c>
    </row>
    <row r="40">
      <c r="A40" s="1" t="str">
        <f>IFERROR(__xludf.DUMMYFUNCTION("""COMPUTED_VALUE"""),"DAN09")</f>
        <v>DAN09</v>
      </c>
      <c r="B40" s="1">
        <f>IFERROR(__xludf.DUMMYFUNCTION("""COMPUTED_VALUE"""),240.0)</f>
        <v>240</v>
      </c>
      <c r="C40" s="1">
        <f>IFERROR(__xludf.DUMMYFUNCTION("""COMPUTED_VALUE"""),240.0)</f>
        <v>240</v>
      </c>
      <c r="D40" s="1">
        <f>IFERROR(__xludf.DUMMYFUNCTION("""COMPUTED_VALUE"""),240.0)</f>
        <v>240</v>
      </c>
      <c r="E40" s="1">
        <f>IFERROR(__xludf.DUMMYFUNCTION("""COMPUTED_VALUE"""),0.0)</f>
        <v>0</v>
      </c>
    </row>
    <row r="41">
      <c r="A41" s="1" t="str">
        <f>IFERROR(__xludf.DUMMYFUNCTION("""COMPUTED_VALUE"""),"DAN11C")</f>
        <v>DAN11C</v>
      </c>
      <c r="B41" s="1">
        <f>IFERROR(__xludf.DUMMYFUNCTION("""COMPUTED_VALUE"""),43.0)</f>
        <v>43</v>
      </c>
      <c r="C41" s="1">
        <f>IFERROR(__xludf.DUMMYFUNCTION("""COMPUTED_VALUE"""),43.0)</f>
        <v>43</v>
      </c>
      <c r="D41" s="1">
        <f>IFERROR(__xludf.DUMMYFUNCTION("""COMPUTED_VALUE"""),43.0)</f>
        <v>43</v>
      </c>
      <c r="E41" s="1">
        <f>IFERROR(__xludf.DUMMYFUNCTION("""COMPUTED_VALUE"""),0.0)</f>
        <v>0</v>
      </c>
    </row>
    <row r="42">
      <c r="A42" s="1" t="str">
        <f>IFERROR(__xludf.DUMMYFUNCTION("""COMPUTED_VALUE"""),"DAN2.5HPBLUE")</f>
        <v>DAN2.5HPBLUE</v>
      </c>
      <c r="B42" s="1">
        <f>IFERROR(__xludf.DUMMYFUNCTION("""COMPUTED_VALUE"""),1.0)</f>
        <v>1</v>
      </c>
      <c r="C42" s="1">
        <f>IFERROR(__xludf.DUMMYFUNCTION("""COMPUTED_VALUE"""),1.0)</f>
        <v>1</v>
      </c>
      <c r="D42" s="1">
        <f>IFERROR(__xludf.DUMMYFUNCTION("""COMPUTED_VALUE"""),1.0)</f>
        <v>1</v>
      </c>
      <c r="E42" s="1">
        <f>IFERROR(__xludf.DUMMYFUNCTION("""COMPUTED_VALUE"""),0.0)</f>
        <v>0</v>
      </c>
    </row>
    <row r="43">
      <c r="A43" s="1" t="str">
        <f>IFERROR(__xludf.DUMMYFUNCTION("""COMPUTED_VALUE"""),"DAN3HPSB")</f>
        <v>DAN3HPSB</v>
      </c>
      <c r="B43" s="1">
        <f>IFERROR(__xludf.DUMMYFUNCTION("""COMPUTED_VALUE"""),2.0)</f>
        <v>2</v>
      </c>
      <c r="C43" s="1">
        <f>IFERROR(__xludf.DUMMYFUNCTION("""COMPUTED_VALUE"""),2.0)</f>
        <v>2</v>
      </c>
      <c r="D43" s="1">
        <f>IFERROR(__xludf.DUMMYFUNCTION("""COMPUTED_VALUE"""),2.0)</f>
        <v>2</v>
      </c>
      <c r="E43" s="1">
        <f>IFERROR(__xludf.DUMMYFUNCTION("""COMPUTED_VALUE"""),0.0)</f>
        <v>0</v>
      </c>
    </row>
    <row r="44">
      <c r="A44" s="1" t="str">
        <f>IFERROR(__xludf.DUMMYFUNCTION("""COMPUTED_VALUE"""),"DAN3HPSB2q")</f>
        <v>DAN3HPSB2q</v>
      </c>
      <c r="B44" s="1">
        <f>IFERROR(__xludf.DUMMYFUNCTION("""COMPUTED_VALUE"""),1.0)</f>
        <v>1</v>
      </c>
      <c r="C44" s="1">
        <f>IFERROR(__xludf.DUMMYFUNCTION("""COMPUTED_VALUE"""),1.0)</f>
        <v>1</v>
      </c>
      <c r="D44" s="1">
        <f>IFERROR(__xludf.DUMMYFUNCTION("""COMPUTED_VALUE"""),1.0)</f>
        <v>1</v>
      </c>
      <c r="E44" s="1">
        <f>IFERROR(__xludf.DUMMYFUNCTION("""COMPUTED_VALUE"""),0.0)</f>
        <v>0</v>
      </c>
    </row>
    <row r="45">
      <c r="A45" s="1" t="str">
        <f>IFERROR(__xludf.DUMMYFUNCTION("""COMPUTED_VALUE"""),"DANDN34CQ")</f>
        <v>DANDN34CQ</v>
      </c>
      <c r="B45" s="1">
        <f>IFERROR(__xludf.DUMMYFUNCTION("""COMPUTED_VALUE"""),47.0)</f>
        <v>47</v>
      </c>
      <c r="C45" s="1">
        <f>IFERROR(__xludf.DUMMYFUNCTION("""COMPUTED_VALUE"""),47.0)</f>
        <v>47</v>
      </c>
      <c r="D45" s="1">
        <f>IFERROR(__xludf.DUMMYFUNCTION("""COMPUTED_VALUE"""),47.0)</f>
        <v>47</v>
      </c>
      <c r="E45" s="1">
        <f>IFERROR(__xludf.DUMMYFUNCTION("""COMPUTED_VALUE"""),0.0)</f>
        <v>0</v>
      </c>
    </row>
    <row r="46">
      <c r="A46" s="1" t="str">
        <f>IFERROR(__xludf.DUMMYFUNCTION("""COMPUTED_VALUE"""),"DANDN34KQ")</f>
        <v>DANDN34KQ</v>
      </c>
      <c r="B46" s="1">
        <f>IFERROR(__xludf.DUMMYFUNCTION("""COMPUTED_VALUE"""),43.0)</f>
        <v>43</v>
      </c>
      <c r="C46" s="1">
        <f>IFERROR(__xludf.DUMMYFUNCTION("""COMPUTED_VALUE"""),43.0)</f>
        <v>43</v>
      </c>
      <c r="D46" s="1">
        <f>IFERROR(__xludf.DUMMYFUNCTION("""COMPUTED_VALUE"""),43.0)</f>
        <v>43</v>
      </c>
      <c r="E46" s="1">
        <f>IFERROR(__xludf.DUMMYFUNCTION("""COMPUTED_VALUE"""),0.0)</f>
        <v>0</v>
      </c>
    </row>
    <row r="47">
      <c r="A47" s="1" t="str">
        <f>IFERROR(__xludf.DUMMYFUNCTION("""COMPUTED_VALUE"""),"DANDN44CQ")</f>
        <v>DANDN44CQ</v>
      </c>
      <c r="B47" s="1">
        <f>IFERROR(__xludf.DUMMYFUNCTION("""COMPUTED_VALUE"""),1.0)</f>
        <v>1</v>
      </c>
      <c r="C47" s="1">
        <f>IFERROR(__xludf.DUMMYFUNCTION("""COMPUTED_VALUE"""),1.0)</f>
        <v>1</v>
      </c>
      <c r="D47" s="1">
        <f>IFERROR(__xludf.DUMMYFUNCTION("""COMPUTED_VALUE"""),1.0)</f>
        <v>1</v>
      </c>
      <c r="E47" s="1">
        <f>IFERROR(__xludf.DUMMYFUNCTION("""COMPUTED_VALUE"""),0.0)</f>
        <v>0</v>
      </c>
    </row>
    <row r="48">
      <c r="A48" s="1" t="str">
        <f>IFERROR(__xludf.DUMMYFUNCTION("""COMPUTED_VALUE"""),"DANDN44KQ")</f>
        <v>DANDN44KQ</v>
      </c>
      <c r="B48" s="1">
        <f>IFERROR(__xludf.DUMMYFUNCTION("""COMPUTED_VALUE"""),10.0)</f>
        <v>10</v>
      </c>
      <c r="C48" s="1">
        <f>IFERROR(__xludf.DUMMYFUNCTION("""COMPUTED_VALUE"""),10.0)</f>
        <v>10</v>
      </c>
      <c r="D48" s="1">
        <f>IFERROR(__xludf.DUMMYFUNCTION("""COMPUTED_VALUE"""),10.0)</f>
        <v>10</v>
      </c>
      <c r="E48" s="1">
        <f>IFERROR(__xludf.DUMMYFUNCTION("""COMPUTED_VALUE"""),0.0)</f>
        <v>0</v>
      </c>
    </row>
    <row r="49">
      <c r="A49" s="1" t="str">
        <f>IFERROR(__xludf.DUMMYFUNCTION("""COMPUTED_VALUE"""),"DANN07C")</f>
        <v>DANN07C</v>
      </c>
      <c r="B49" s="1">
        <f>IFERROR(__xludf.DUMMYFUNCTION("""COMPUTED_VALUE"""),50.0)</f>
        <v>50</v>
      </c>
      <c r="C49" s="1">
        <f>IFERROR(__xludf.DUMMYFUNCTION("""COMPUTED_VALUE"""),50.0)</f>
        <v>50</v>
      </c>
      <c r="D49" s="1">
        <f>IFERROR(__xludf.DUMMYFUNCTION("""COMPUTED_VALUE"""),50.0)</f>
        <v>50</v>
      </c>
      <c r="E49" s="1">
        <f>IFERROR(__xludf.DUMMYFUNCTION("""COMPUTED_VALUE"""),0.0)</f>
        <v>0</v>
      </c>
    </row>
    <row r="50">
      <c r="A50" s="1" t="str">
        <f>IFERROR(__xludf.DUMMYFUNCTION("""COMPUTED_VALUE"""),"DANN08C")</f>
        <v>DANN08C</v>
      </c>
      <c r="B50" s="1">
        <f>IFERROR(__xludf.DUMMYFUNCTION("""COMPUTED_VALUE"""),14.0)</f>
        <v>14</v>
      </c>
      <c r="C50" s="1">
        <f>IFERROR(__xludf.DUMMYFUNCTION("""COMPUTED_VALUE"""),14.0)</f>
        <v>14</v>
      </c>
      <c r="D50" s="1">
        <f>IFERROR(__xludf.DUMMYFUNCTION("""COMPUTED_VALUE"""),14.0)</f>
        <v>14</v>
      </c>
      <c r="E50" s="1">
        <f>IFERROR(__xludf.DUMMYFUNCTION("""COMPUTED_VALUE"""),0.0)</f>
        <v>0</v>
      </c>
    </row>
    <row r="51">
      <c r="A51" s="1" t="str">
        <f>IFERROR(__xludf.DUMMYFUNCTION("""COMPUTED_VALUE"""),"DANNONG3HP")</f>
        <v>DANNONG3HP</v>
      </c>
      <c r="B51" s="1">
        <f>IFERROR(__xludf.DUMMYFUNCTION("""COMPUTED_VALUE"""),1.0)</f>
        <v>1</v>
      </c>
      <c r="C51" s="1">
        <f>IFERROR(__xludf.DUMMYFUNCTION("""COMPUTED_VALUE"""),1.0)</f>
        <v>1</v>
      </c>
      <c r="D51" s="1">
        <f>IFERROR(__xludf.DUMMYFUNCTION("""COMPUTED_VALUE"""),1.0)</f>
        <v>1</v>
      </c>
      <c r="E51" s="1">
        <f>IFERROR(__xludf.DUMMYFUNCTION("""COMPUTED_VALUE"""),0.0)</f>
        <v>0</v>
      </c>
    </row>
    <row r="52">
      <c r="A52" s="1" t="str">
        <f>IFERROR(__xludf.DUMMYFUNCTION("""COMPUTED_VALUE"""),"DAU3GSCN")</f>
        <v>DAU3GSCN</v>
      </c>
      <c r="B52" s="1">
        <f>IFERROR(__xludf.DUMMYFUNCTION("""COMPUTED_VALUE"""),6.0)</f>
        <v>6</v>
      </c>
      <c r="C52" s="1">
        <f>IFERROR(__xludf.DUMMYFUNCTION("""COMPUTED_VALUE"""),6.0)</f>
        <v>6</v>
      </c>
      <c r="D52" s="1">
        <f>IFERROR(__xludf.DUMMYFUNCTION("""COMPUTED_VALUE"""),6.0)</f>
        <v>6</v>
      </c>
      <c r="E52" s="1">
        <f>IFERROR(__xludf.DUMMYFUNCTION("""COMPUTED_VALUE"""),0.0)</f>
        <v>0</v>
      </c>
    </row>
    <row r="53">
      <c r="A53" s="1" t="str">
        <f>IFERROR(__xludf.DUMMYFUNCTION("""COMPUTED_VALUE"""),"DAU3GSXS")</f>
        <v>DAU3GSXS</v>
      </c>
      <c r="B53" s="1">
        <f>IFERROR(__xludf.DUMMYFUNCTION("""COMPUTED_VALUE"""),13.0)</f>
        <v>13</v>
      </c>
      <c r="C53" s="1">
        <f>IFERROR(__xludf.DUMMYFUNCTION("""COMPUTED_VALUE"""),13.0)</f>
        <v>13</v>
      </c>
      <c r="D53" s="1">
        <f>IFERROR(__xludf.DUMMYFUNCTION("""COMPUTED_VALUE"""),13.0)</f>
        <v>13</v>
      </c>
      <c r="E53" s="1">
        <f>IFERROR(__xludf.DUMMYFUNCTION("""COMPUTED_VALUE"""),0.0)</f>
        <v>0</v>
      </c>
    </row>
    <row r="54">
      <c r="A54" s="1" t="str">
        <f>IFERROR(__xludf.DUMMYFUNCTION("""COMPUTED_VALUE"""),"DAU4GSXS")</f>
        <v>DAU4GSXS</v>
      </c>
      <c r="B54" s="1">
        <f>IFERROR(__xludf.DUMMYFUNCTION("""COMPUTED_VALUE"""),17.0)</f>
        <v>17</v>
      </c>
      <c r="C54" s="1">
        <f>IFERROR(__xludf.DUMMYFUNCTION("""COMPUTED_VALUE"""),17.0)</f>
        <v>17</v>
      </c>
      <c r="D54" s="1">
        <f>IFERROR(__xludf.DUMMYFUNCTION("""COMPUTED_VALUE"""),17.0)</f>
        <v>17</v>
      </c>
      <c r="E54" s="1">
        <f>IFERROR(__xludf.DUMMYFUNCTION("""COMPUTED_VALUE"""),0.0)</f>
        <v>0</v>
      </c>
    </row>
    <row r="55">
      <c r="A55" s="1" t="str">
        <f>IFERROR(__xludf.DUMMYFUNCTION("""COMPUTED_VALUE"""),"DAU5GSCS")</f>
        <v>DAU5GSCS</v>
      </c>
      <c r="B55" s="1">
        <f>IFERROR(__xludf.DUMMYFUNCTION("""COMPUTED_VALUE"""),6.4)</f>
        <v>6.4</v>
      </c>
      <c r="C55" s="1">
        <f>IFERROR(__xludf.DUMMYFUNCTION("""COMPUTED_VALUE"""),6.4)</f>
        <v>6.4</v>
      </c>
      <c r="D55" s="1">
        <f>IFERROR(__xludf.DUMMYFUNCTION("""COMPUTED_VALUE"""),6.4)</f>
        <v>6.4</v>
      </c>
      <c r="E55" s="1">
        <f>IFERROR(__xludf.DUMMYFUNCTION("""COMPUTED_VALUE"""),0.0)</f>
        <v>0</v>
      </c>
    </row>
    <row r="56">
      <c r="A56" s="1" t="str">
        <f>IFERROR(__xludf.DUMMYFUNCTION("""COMPUTED_VALUE"""),"DAU5GSXN4L")</f>
        <v>DAU5GSXN4L</v>
      </c>
      <c r="B56" s="1">
        <f>IFERROR(__xludf.DUMMYFUNCTION("""COMPUTED_VALUE"""),5.0)</f>
        <v>5</v>
      </c>
      <c r="C56" s="1">
        <f>IFERROR(__xludf.DUMMYFUNCTION("""COMPUTED_VALUE"""),5.0)</f>
        <v>5</v>
      </c>
      <c r="D56" s="1">
        <f>IFERROR(__xludf.DUMMYFUNCTION("""COMPUTED_VALUE"""),5.0)</f>
        <v>5</v>
      </c>
      <c r="E56" s="1">
        <f>IFERROR(__xludf.DUMMYFUNCTION("""COMPUTED_VALUE"""),0.0)</f>
        <v>0</v>
      </c>
    </row>
    <row r="57">
      <c r="A57" s="1" t="str">
        <f>IFERROR(__xludf.DUMMYFUNCTION("""COMPUTED_VALUE"""),"DAUKA46XS")</f>
        <v>DAUKA46XS</v>
      </c>
      <c r="B57" s="1">
        <f>IFERROR(__xludf.DUMMYFUNCTION("""COMPUTED_VALUE"""),93.0)</f>
        <v>93</v>
      </c>
      <c r="C57" s="1">
        <f>IFERROR(__xludf.DUMMYFUNCTION("""COMPUTED_VALUE"""),93.0)</f>
        <v>93</v>
      </c>
      <c r="D57" s="1">
        <f>IFERROR(__xludf.DUMMYFUNCTION("""COMPUTED_VALUE"""),93.0)</f>
        <v>93</v>
      </c>
      <c r="E57" s="1">
        <f>IFERROR(__xludf.DUMMYFUNCTION("""COMPUTED_VALUE"""),0.0)</f>
        <v>0</v>
      </c>
    </row>
    <row r="58">
      <c r="A58" s="1" t="str">
        <f>IFERROR(__xludf.DUMMYFUNCTION("""COMPUTED_VALUE"""),"DAYCBN")</f>
        <v>DAYCBN</v>
      </c>
      <c r="B58" s="1">
        <f>IFERROR(__xludf.DUMMYFUNCTION("""COMPUTED_VALUE"""),17.0)</f>
        <v>17</v>
      </c>
      <c r="C58" s="1">
        <f>IFERROR(__xludf.DUMMYFUNCTION("""COMPUTED_VALUE"""),17.0)</f>
        <v>17</v>
      </c>
      <c r="D58" s="1">
        <f>IFERROR(__xludf.DUMMYFUNCTION("""COMPUTED_VALUE"""),17.0)</f>
        <v>17</v>
      </c>
      <c r="E58" s="1">
        <f>IFERROR(__xludf.DUMMYFUNCTION("""COMPUTED_VALUE"""),0.0)</f>
        <v>0</v>
      </c>
    </row>
    <row r="59">
      <c r="A59" s="1" t="str">
        <f>IFERROR(__xludf.DUMMYFUNCTION("""COMPUTED_VALUE"""),"DHD")</f>
        <v>DHD</v>
      </c>
      <c r="B59" s="1">
        <f>IFERROR(__xludf.DUMMYFUNCTION("""COMPUTED_VALUE"""),11.0)</f>
        <v>11</v>
      </c>
      <c r="C59" s="1">
        <f>IFERROR(__xludf.DUMMYFUNCTION("""COMPUTED_VALUE"""),11.0)</f>
        <v>11</v>
      </c>
      <c r="D59" s="1">
        <f>IFERROR(__xludf.DUMMYFUNCTION("""COMPUTED_VALUE"""),11.0)</f>
        <v>11</v>
      </c>
      <c r="E59" s="1">
        <f>IFERROR(__xludf.DUMMYFUNCTION("""COMPUTED_VALUE"""),0.0)</f>
        <v>0</v>
      </c>
    </row>
    <row r="60">
      <c r="A60" s="1" t="str">
        <f>IFERROR(__xludf.DUMMYFUNCTION("""COMPUTED_VALUE"""),"DHMEHC9000")</f>
        <v>DHMEHC9000</v>
      </c>
      <c r="B60" s="1">
        <f>IFERROR(__xludf.DUMMYFUNCTION("""COMPUTED_VALUE"""),1.0)</f>
        <v>1</v>
      </c>
      <c r="C60" s="1">
        <f>IFERROR(__xludf.DUMMYFUNCTION("""COMPUTED_VALUE"""),1.0)</f>
        <v>1</v>
      </c>
      <c r="D60" s="1">
        <f>IFERROR(__xludf.DUMMYFUNCTION("""COMPUTED_VALUE"""),1.0)</f>
        <v>1</v>
      </c>
      <c r="E60" s="1">
        <f>IFERROR(__xludf.DUMMYFUNCTION("""COMPUTED_VALUE"""),0.0)</f>
        <v>0</v>
      </c>
    </row>
    <row r="61">
      <c r="A61" s="1" t="str">
        <f>IFERROR(__xludf.DUMMYFUNCTION("""COMPUTED_VALUE"""),"DLTSDD-1.3/7-1p-1300W")</f>
        <v>DLTSDD-1.3/7-1p-1300W</v>
      </c>
      <c r="B61" s="1">
        <f>IFERROR(__xludf.DUMMYFUNCTION("""COMPUTED_VALUE"""),4.0)</f>
        <v>4</v>
      </c>
      <c r="C61" s="1">
        <f>IFERROR(__xludf.DUMMYFUNCTION("""COMPUTED_VALUE"""),4.0)</f>
        <v>4</v>
      </c>
      <c r="D61" s="1">
        <f>IFERROR(__xludf.DUMMYFUNCTION("""COMPUTED_VALUE"""),4.0)</f>
        <v>4</v>
      </c>
      <c r="E61" s="1">
        <f>IFERROR(__xludf.DUMMYFUNCTION("""COMPUTED_VALUE"""),0.0)</f>
        <v>0</v>
      </c>
    </row>
    <row r="62">
      <c r="A62" s="1" t="str">
        <f>IFERROR(__xludf.DUMMYFUNCTION("""COMPUTED_VALUE"""),"DLTSDE0.9/5-1p-900W")</f>
        <v>DLTSDE0.9/5-1p-900W</v>
      </c>
      <c r="B62" s="1">
        <f>IFERROR(__xludf.DUMMYFUNCTION("""COMPUTED_VALUE"""),1.0)</f>
        <v>1</v>
      </c>
      <c r="C62" s="1">
        <f>IFERROR(__xludf.DUMMYFUNCTION("""COMPUTED_VALUE"""),1.0)</f>
        <v>1</v>
      </c>
      <c r="D62" s="1">
        <f>IFERROR(__xludf.DUMMYFUNCTION("""COMPUTED_VALUE"""),1.0)</f>
        <v>1</v>
      </c>
      <c r="E62" s="1">
        <f>IFERROR(__xludf.DUMMYFUNCTION("""COMPUTED_VALUE"""),0.0)</f>
        <v>0</v>
      </c>
    </row>
    <row r="63">
      <c r="A63" s="1" t="str">
        <f>IFERROR(__xludf.DUMMYFUNCTION("""COMPUTED_VALUE"""),"DLTSDE1.35/7.5-1350W")</f>
        <v>DLTSDE1.35/7.5-1350W</v>
      </c>
      <c r="B63" s="1">
        <f>IFERROR(__xludf.DUMMYFUNCTION("""COMPUTED_VALUE"""),8.0)</f>
        <v>8</v>
      </c>
      <c r="C63" s="1">
        <f>IFERROR(__xludf.DUMMYFUNCTION("""COMPUTED_VALUE"""),8.0)</f>
        <v>8</v>
      </c>
      <c r="D63" s="1">
        <f>IFERROR(__xludf.DUMMYFUNCTION("""COMPUTED_VALUE"""),8.0)</f>
        <v>8</v>
      </c>
      <c r="E63" s="1">
        <f>IFERROR(__xludf.DUMMYFUNCTION("""COMPUTED_VALUE"""),0.0)</f>
        <v>0</v>
      </c>
    </row>
    <row r="64">
      <c r="A64" s="1" t="str">
        <f>IFERROR(__xludf.DUMMYFUNCTION("""COMPUTED_VALUE"""),"DNG-VALUE-1.5-R410A")</f>
        <v>DNG-VALUE-1.5-R410A</v>
      </c>
      <c r="B64" s="1">
        <f>IFERROR(__xludf.DUMMYFUNCTION("""COMPUTED_VALUE"""),0.5)</f>
        <v>0.5</v>
      </c>
      <c r="C64" s="1">
        <f>IFERROR(__xludf.DUMMYFUNCTION("""COMPUTED_VALUE"""),0.5)</f>
        <v>0.5</v>
      </c>
      <c r="D64" s="1">
        <f>IFERROR(__xludf.DUMMYFUNCTION("""COMPUTED_VALUE"""),0.5)</f>
        <v>0.5</v>
      </c>
      <c r="E64" s="1">
        <f>IFERROR(__xludf.DUMMYFUNCTION("""COMPUTED_VALUE"""),0.0)</f>
        <v>0</v>
      </c>
    </row>
    <row r="65">
      <c r="A65" s="1" t="str">
        <f>IFERROR(__xludf.DUMMYFUNCTION("""COMPUTED_VALUE"""),"DNTSFNA1.0/4.4-33W")</f>
        <v>DNTSFNA1.0/4.4-33W</v>
      </c>
      <c r="B65" s="1">
        <f>IFERROR(__xludf.DUMMYFUNCTION("""COMPUTED_VALUE"""),7.0)</f>
        <v>7</v>
      </c>
      <c r="C65" s="1">
        <f>IFERROR(__xludf.DUMMYFUNCTION("""COMPUTED_VALUE"""),7.0)</f>
        <v>7</v>
      </c>
      <c r="D65" s="1">
        <f>IFERROR(__xludf.DUMMYFUNCTION("""COMPUTED_VALUE"""),7.0)</f>
        <v>7</v>
      </c>
      <c r="E65" s="1">
        <f>IFERROR(__xludf.DUMMYFUNCTION("""COMPUTED_VALUE"""),0.0)</f>
        <v>0</v>
      </c>
    </row>
    <row r="66">
      <c r="A66" s="1" t="str">
        <f>IFERROR(__xludf.DUMMYFUNCTION("""COMPUTED_VALUE"""),"DNTSFNA1.6/8.4-56W")</f>
        <v>DNTSFNA1.6/8.4-56W</v>
      </c>
      <c r="B66" s="1">
        <f>IFERROR(__xludf.DUMMYFUNCTION("""COMPUTED_VALUE"""),21.0)</f>
        <v>21</v>
      </c>
      <c r="C66" s="1">
        <f>IFERROR(__xludf.DUMMYFUNCTION("""COMPUTED_VALUE"""),21.0)</f>
        <v>21</v>
      </c>
      <c r="D66" s="1">
        <f>IFERROR(__xludf.DUMMYFUNCTION("""COMPUTED_VALUE"""),21.0)</f>
        <v>21</v>
      </c>
      <c r="E66" s="1">
        <f>IFERROR(__xludf.DUMMYFUNCTION("""COMPUTED_VALUE"""),0.0)</f>
        <v>0</v>
      </c>
    </row>
    <row r="67">
      <c r="A67" s="1" t="str">
        <f>IFERROR(__xludf.DUMMYFUNCTION("""COMPUTED_VALUE"""),"DNTSFNF2.8/13-3p-2HP")</f>
        <v>DNTSFNF2.8/13-3p-2HP</v>
      </c>
      <c r="B67" s="1">
        <f>IFERROR(__xludf.DUMMYFUNCTION("""COMPUTED_VALUE"""),8.0)</f>
        <v>8</v>
      </c>
      <c r="C67" s="1">
        <f>IFERROR(__xludf.DUMMYFUNCTION("""COMPUTED_VALUE"""),8.0)</f>
        <v>8</v>
      </c>
      <c r="D67" s="1">
        <f>IFERROR(__xludf.DUMMYFUNCTION("""COMPUTED_VALUE"""),8.0)</f>
        <v>8</v>
      </c>
      <c r="E67" s="1">
        <f>IFERROR(__xludf.DUMMYFUNCTION("""COMPUTED_VALUE"""),0.0)</f>
        <v>0</v>
      </c>
    </row>
    <row r="68">
      <c r="A68" s="1" t="str">
        <f>IFERROR(__xludf.DUMMYFUNCTION("""COMPUTED_VALUE"""),"DNTSFNF4.4/16.5-2.5HP")</f>
        <v>DNTSFNF4.4/16.5-2.5HP</v>
      </c>
      <c r="B68" s="1">
        <f>IFERROR(__xludf.DUMMYFUNCTION("""COMPUTED_VALUE"""),3.0)</f>
        <v>3</v>
      </c>
      <c r="C68" s="1">
        <f>IFERROR(__xludf.DUMMYFUNCTION("""COMPUTED_VALUE"""),3.0)</f>
        <v>3</v>
      </c>
      <c r="D68" s="1">
        <f>IFERROR(__xludf.DUMMYFUNCTION("""COMPUTED_VALUE"""),3.0)</f>
        <v>3</v>
      </c>
      <c r="E68" s="1">
        <f>IFERROR(__xludf.DUMMYFUNCTION("""COMPUTED_VALUE"""),0.0)</f>
        <v>0</v>
      </c>
    </row>
    <row r="69">
      <c r="A69" s="1" t="str">
        <f>IFERROR(__xludf.DUMMYFUNCTION("""COMPUTED_VALUE"""),"DOBRBLWC1270081")</f>
        <v>DOBRBLWC1270081</v>
      </c>
      <c r="B69" s="1">
        <f>IFERROR(__xludf.DUMMYFUNCTION("""COMPUTED_VALUE"""),172.8)</f>
        <v>172.8</v>
      </c>
      <c r="C69" s="1">
        <f>IFERROR(__xludf.DUMMYFUNCTION("""COMPUTED_VALUE"""),172.8)</f>
        <v>172.8</v>
      </c>
      <c r="D69" s="1">
        <f>IFERROR(__xludf.DUMMYFUNCTION("""COMPUTED_VALUE"""),172.8)</f>
        <v>172.8</v>
      </c>
      <c r="E69" s="1">
        <f>IFERROR(__xludf.DUMMYFUNCTION("""COMPUTED_VALUE"""),0.0)</f>
        <v>0</v>
      </c>
    </row>
    <row r="70">
      <c r="A70" s="1" t="str">
        <f>IFERROR(__xludf.DUMMYFUNCTION("""COMPUTED_VALUE"""),"DOC0476051")</f>
        <v>DOC0476051</v>
      </c>
      <c r="B70" s="1">
        <f>IFERROR(__xludf.DUMMYFUNCTION("""COMPUTED_VALUE"""),157.0)</f>
        <v>157</v>
      </c>
      <c r="C70" s="1">
        <f>IFERROR(__xludf.DUMMYFUNCTION("""COMPUTED_VALUE"""),157.0)</f>
        <v>157</v>
      </c>
      <c r="D70" s="1">
        <f>IFERROR(__xludf.DUMMYFUNCTION("""COMPUTED_VALUE"""),157.0)</f>
        <v>157</v>
      </c>
      <c r="E70" s="1">
        <f>IFERROR(__xludf.DUMMYFUNCTION("""COMPUTED_VALUE"""),0.0)</f>
        <v>0</v>
      </c>
    </row>
    <row r="71">
      <c r="A71" s="1" t="str">
        <f>IFERROR(__xludf.DUMMYFUNCTION("""COMPUTED_VALUE"""),"DOC0635061")</f>
        <v>DOC0635061</v>
      </c>
      <c r="B71" s="1">
        <f>IFERROR(__xludf.DUMMYFUNCTION("""COMPUTED_VALUE"""),993.0)</f>
        <v>993</v>
      </c>
      <c r="C71" s="1">
        <f>IFERROR(__xludf.DUMMYFUNCTION("""COMPUTED_VALUE"""),1173.0)</f>
        <v>1173</v>
      </c>
      <c r="D71" s="1">
        <f>IFERROR(__xludf.DUMMYFUNCTION("""COMPUTED_VALUE"""),993.0)</f>
        <v>993</v>
      </c>
      <c r="E71" s="1">
        <f>IFERROR(__xludf.DUMMYFUNCTION("""COMPUTED_VALUE"""),180.0)</f>
        <v>180</v>
      </c>
    </row>
    <row r="72">
      <c r="A72" s="1" t="str">
        <f>IFERROR(__xludf.DUMMYFUNCTION("""COMPUTED_VALUE"""),"DOC0635071")</f>
        <v>DOC0635071</v>
      </c>
      <c r="B72" s="1">
        <f>IFERROR(__xludf.DUMMYFUNCTION("""COMPUTED_VALUE"""),815.0)</f>
        <v>815</v>
      </c>
      <c r="C72" s="1">
        <f>IFERROR(__xludf.DUMMYFUNCTION("""COMPUTED_VALUE"""),968.0)</f>
        <v>968</v>
      </c>
      <c r="D72" s="1">
        <f>IFERROR(__xludf.DUMMYFUNCTION("""COMPUTED_VALUE"""),816.0)</f>
        <v>816</v>
      </c>
      <c r="E72" s="1">
        <f>IFERROR(__xludf.DUMMYFUNCTION("""COMPUTED_VALUE"""),152.0)</f>
        <v>152</v>
      </c>
    </row>
    <row r="73">
      <c r="A73" s="1" t="str">
        <f>IFERROR(__xludf.DUMMYFUNCTION("""COMPUTED_VALUE"""),"DOC0635081")</f>
        <v>DOC0635081</v>
      </c>
      <c r="B73" s="1">
        <f>IFERROR(__xludf.DUMMYFUNCTION("""COMPUTED_VALUE"""),696.0)</f>
        <v>696</v>
      </c>
      <c r="C73" s="1">
        <f>IFERROR(__xludf.DUMMYFUNCTION("""COMPUTED_VALUE"""),1140.0)</f>
        <v>1140</v>
      </c>
      <c r="D73" s="1">
        <f>IFERROR(__xludf.DUMMYFUNCTION("""COMPUTED_VALUE"""),696.0)</f>
        <v>696</v>
      </c>
      <c r="E73" s="1">
        <f>IFERROR(__xludf.DUMMYFUNCTION("""COMPUTED_VALUE"""),444.0)</f>
        <v>444</v>
      </c>
    </row>
    <row r="74">
      <c r="A74" s="1" t="str">
        <f>IFERROR(__xludf.DUMMYFUNCTION("""COMPUTED_VALUE"""),"DOC0794051")</f>
        <v>DOC0794051</v>
      </c>
      <c r="B74" s="1">
        <f>IFERROR(__xludf.DUMMYFUNCTION("""COMPUTED_VALUE"""),0.0)</f>
        <v>0</v>
      </c>
      <c r="C74" s="1">
        <f>IFERROR(__xludf.DUMMYFUNCTION("""COMPUTED_VALUE"""),20.0)</f>
        <v>20</v>
      </c>
      <c r="D74" s="1">
        <f>IFERROR(__xludf.DUMMYFUNCTION("""COMPUTED_VALUE"""),0.0)</f>
        <v>0</v>
      </c>
      <c r="E74" s="1">
        <f>IFERROR(__xludf.DUMMYFUNCTION("""COMPUTED_VALUE"""),20.0)</f>
        <v>20</v>
      </c>
    </row>
    <row r="75">
      <c r="A75" s="1" t="str">
        <f>IFERROR(__xludf.DUMMYFUNCTION("""COMPUTED_VALUE"""),"DOC0952061")</f>
        <v>DOC0952061</v>
      </c>
      <c r="B75" s="1">
        <f>IFERROR(__xludf.DUMMYFUNCTION("""COMPUTED_VALUE"""),465.0)</f>
        <v>465</v>
      </c>
      <c r="C75" s="1">
        <f>IFERROR(__xludf.DUMMYFUNCTION("""COMPUTED_VALUE"""),567.0)</f>
        <v>567</v>
      </c>
      <c r="D75" s="1">
        <f>IFERROR(__xludf.DUMMYFUNCTION("""COMPUTED_VALUE"""),465.0)</f>
        <v>465</v>
      </c>
      <c r="E75" s="1">
        <f>IFERROR(__xludf.DUMMYFUNCTION("""COMPUTED_VALUE"""),102.0)</f>
        <v>102</v>
      </c>
    </row>
    <row r="76">
      <c r="A76" s="1" t="str">
        <f>IFERROR(__xludf.DUMMYFUNCTION("""COMPUTED_VALUE"""),"DOC0952071")</f>
        <v>DOC0952071</v>
      </c>
      <c r="B76" s="1">
        <f>IFERROR(__xludf.DUMMYFUNCTION("""COMPUTED_VALUE"""),1246.0)</f>
        <v>1246</v>
      </c>
      <c r="C76" s="1">
        <f>IFERROR(__xludf.DUMMYFUNCTION("""COMPUTED_VALUE"""),1459.0)</f>
        <v>1459</v>
      </c>
      <c r="D76" s="1">
        <f>IFERROR(__xludf.DUMMYFUNCTION("""COMPUTED_VALUE"""),1255.0)</f>
        <v>1255</v>
      </c>
      <c r="E76" s="1">
        <f>IFERROR(__xludf.DUMMYFUNCTION("""COMPUTED_VALUE"""),204.0)</f>
        <v>204</v>
      </c>
    </row>
    <row r="77">
      <c r="A77" s="1" t="str">
        <f>IFERROR(__xludf.DUMMYFUNCTION("""COMPUTED_VALUE"""),"DOC0952081")</f>
        <v>DOC0952081</v>
      </c>
      <c r="B77" s="1">
        <f>IFERROR(__xludf.DUMMYFUNCTION("""COMPUTED_VALUE"""),243.0)</f>
        <v>243</v>
      </c>
      <c r="C77" s="1">
        <f>IFERROR(__xludf.DUMMYFUNCTION("""COMPUTED_VALUE"""),415.0)</f>
        <v>415</v>
      </c>
      <c r="D77" s="1">
        <f>IFERROR(__xludf.DUMMYFUNCTION("""COMPUTED_VALUE"""),243.0)</f>
        <v>243</v>
      </c>
      <c r="E77" s="1">
        <f>IFERROR(__xludf.DUMMYFUNCTION("""COMPUTED_VALUE"""),172.0)</f>
        <v>172</v>
      </c>
    </row>
    <row r="78">
      <c r="A78" s="1" t="str">
        <f>IFERROR(__xludf.DUMMYFUNCTION("""COMPUTED_VALUE"""),"DOC1270061")</f>
        <v>DOC1270061</v>
      </c>
      <c r="B78" s="1">
        <f>IFERROR(__xludf.DUMMYFUNCTION("""COMPUTED_VALUE"""),185.0)</f>
        <v>185</v>
      </c>
      <c r="C78" s="1">
        <f>IFERROR(__xludf.DUMMYFUNCTION("""COMPUTED_VALUE"""),378.0)</f>
        <v>378</v>
      </c>
      <c r="D78" s="1">
        <f>IFERROR(__xludf.DUMMYFUNCTION("""COMPUTED_VALUE"""),193.0)</f>
        <v>193</v>
      </c>
      <c r="E78" s="1">
        <f>IFERROR(__xludf.DUMMYFUNCTION("""COMPUTED_VALUE"""),185.0)</f>
        <v>185</v>
      </c>
    </row>
    <row r="79">
      <c r="A79" s="1" t="str">
        <f>IFERROR(__xludf.DUMMYFUNCTION("""COMPUTED_VALUE"""),"DOC1270071")</f>
        <v>DOC1270071</v>
      </c>
      <c r="B79" s="1">
        <f>IFERROR(__xludf.DUMMYFUNCTION("""COMPUTED_VALUE"""),483.0)</f>
        <v>483</v>
      </c>
      <c r="C79" s="1">
        <f>IFERROR(__xludf.DUMMYFUNCTION("""COMPUTED_VALUE"""),599.0)</f>
        <v>599</v>
      </c>
      <c r="D79" s="1">
        <f>IFERROR(__xludf.DUMMYFUNCTION("""COMPUTED_VALUE"""),507.0)</f>
        <v>507</v>
      </c>
      <c r="E79" s="1">
        <f>IFERROR(__xludf.DUMMYFUNCTION("""COMPUTED_VALUE"""),92.0)</f>
        <v>92</v>
      </c>
    </row>
    <row r="80">
      <c r="A80" s="1" t="str">
        <f>IFERROR(__xludf.DUMMYFUNCTION("""COMPUTED_VALUE"""),"DOC1270081")</f>
        <v>DOC1270081</v>
      </c>
      <c r="B80" s="1">
        <f>IFERROR(__xludf.DUMMYFUNCTION("""COMPUTED_VALUE"""),106.0)</f>
        <v>106</v>
      </c>
      <c r="C80" s="1">
        <f>IFERROR(__xludf.DUMMYFUNCTION("""COMPUTED_VALUE"""),374.0)</f>
        <v>374</v>
      </c>
      <c r="D80" s="1">
        <f>IFERROR(__xludf.DUMMYFUNCTION("""COMPUTED_VALUE"""),106.0)</f>
        <v>106</v>
      </c>
      <c r="E80" s="1">
        <f>IFERROR(__xludf.DUMMYFUNCTION("""COMPUTED_VALUE"""),268.0)</f>
        <v>268</v>
      </c>
    </row>
    <row r="81">
      <c r="A81" s="1" t="str">
        <f>IFERROR(__xludf.DUMMYFUNCTION("""COMPUTED_VALUE"""),"DOC12708150")</f>
        <v>DOC12708150</v>
      </c>
      <c r="B81" s="1">
        <f>IFERROR(__xludf.DUMMYFUNCTION("""COMPUTED_VALUE"""),9.0)</f>
        <v>9</v>
      </c>
      <c r="C81" s="1">
        <f>IFERROR(__xludf.DUMMYFUNCTION("""COMPUTED_VALUE"""),9.0)</f>
        <v>9</v>
      </c>
      <c r="D81" s="1">
        <f>IFERROR(__xludf.DUMMYFUNCTION("""COMPUTED_VALUE"""),9.0)</f>
        <v>9</v>
      </c>
      <c r="E81" s="1">
        <f>IFERROR(__xludf.DUMMYFUNCTION("""COMPUTED_VALUE"""),0.0)</f>
        <v>0</v>
      </c>
    </row>
    <row r="82">
      <c r="A82" s="1" t="str">
        <f>IFERROR(__xludf.DUMMYFUNCTION("""COMPUTED_VALUE"""),"DOC1588061")</f>
        <v>DOC1588061</v>
      </c>
      <c r="B82" s="1">
        <f>IFERROR(__xludf.DUMMYFUNCTION("""COMPUTED_VALUE"""),85.0)</f>
        <v>85</v>
      </c>
      <c r="C82" s="1">
        <f>IFERROR(__xludf.DUMMYFUNCTION("""COMPUTED_VALUE"""),85.0)</f>
        <v>85</v>
      </c>
      <c r="D82" s="1">
        <f>IFERROR(__xludf.DUMMYFUNCTION("""COMPUTED_VALUE"""),85.0)</f>
        <v>85</v>
      </c>
      <c r="E82" s="1">
        <f>IFERROR(__xludf.DUMMYFUNCTION("""COMPUTED_VALUE"""),0.0)</f>
        <v>0</v>
      </c>
    </row>
    <row r="83">
      <c r="A83" s="1" t="str">
        <f>IFERROR(__xludf.DUMMYFUNCTION("""COMPUTED_VALUE"""),"DOC1588071")</f>
        <v>DOC1588071</v>
      </c>
      <c r="B83" s="1">
        <f>IFERROR(__xludf.DUMMYFUNCTION("""COMPUTED_VALUE"""),92.0)</f>
        <v>92</v>
      </c>
      <c r="C83" s="1">
        <f>IFERROR(__xludf.DUMMYFUNCTION("""COMPUTED_VALUE"""),190.0)</f>
        <v>190</v>
      </c>
      <c r="D83" s="1">
        <f>IFERROR(__xludf.DUMMYFUNCTION("""COMPUTED_VALUE"""),103.0)</f>
        <v>103</v>
      </c>
      <c r="E83" s="1">
        <f>IFERROR(__xludf.DUMMYFUNCTION("""COMPUTED_VALUE"""),87.0)</f>
        <v>87</v>
      </c>
    </row>
    <row r="84">
      <c r="A84" s="1" t="str">
        <f>IFERROR(__xludf.DUMMYFUNCTION("""COMPUTED_VALUE"""),"DOC1588081")</f>
        <v>DOC1588081</v>
      </c>
      <c r="B84" s="1">
        <f>IFERROR(__xludf.DUMMYFUNCTION("""COMPUTED_VALUE"""),148.0)</f>
        <v>148</v>
      </c>
      <c r="C84" s="1">
        <f>IFERROR(__xludf.DUMMYFUNCTION("""COMPUTED_VALUE"""),284.0)</f>
        <v>284</v>
      </c>
      <c r="D84" s="1">
        <f>IFERROR(__xludf.DUMMYFUNCTION("""COMPUTED_VALUE"""),149.0)</f>
        <v>149</v>
      </c>
      <c r="E84" s="1">
        <f>IFERROR(__xludf.DUMMYFUNCTION("""COMPUTED_VALUE"""),135.0)</f>
        <v>135</v>
      </c>
    </row>
    <row r="85">
      <c r="A85" s="1" t="str">
        <f>IFERROR(__xludf.DUMMYFUNCTION("""COMPUTED_VALUE"""),"DOC1588100")</f>
        <v>DOC1588100</v>
      </c>
      <c r="B85" s="1">
        <f>IFERROR(__xludf.DUMMYFUNCTION("""COMPUTED_VALUE"""),237.0)</f>
        <v>237</v>
      </c>
      <c r="C85" s="1">
        <f>IFERROR(__xludf.DUMMYFUNCTION("""COMPUTED_VALUE"""),289.0)</f>
        <v>289</v>
      </c>
      <c r="D85" s="1">
        <f>IFERROR(__xludf.DUMMYFUNCTION("""COMPUTED_VALUE"""),237.0)</f>
        <v>237</v>
      </c>
      <c r="E85" s="1">
        <f>IFERROR(__xludf.DUMMYFUNCTION("""COMPUTED_VALUE"""),52.0)</f>
        <v>52</v>
      </c>
    </row>
    <row r="86">
      <c r="A86" s="1" t="str">
        <f>IFERROR(__xludf.DUMMYFUNCTION("""COMPUTED_VALUE"""),"DOC1588102")</f>
        <v>DOC1588102</v>
      </c>
      <c r="B86" s="1">
        <f>IFERROR(__xludf.DUMMYFUNCTION("""COMPUTED_VALUE"""),4.0)</f>
        <v>4</v>
      </c>
      <c r="C86" s="1">
        <f>IFERROR(__xludf.DUMMYFUNCTION("""COMPUTED_VALUE"""),5.0)</f>
        <v>5</v>
      </c>
      <c r="D86" s="1">
        <f>IFERROR(__xludf.DUMMYFUNCTION("""COMPUTED_VALUE"""),4.0)</f>
        <v>4</v>
      </c>
      <c r="E86" s="1">
        <f>IFERROR(__xludf.DUMMYFUNCTION("""COMPUTED_VALUE"""),1.0)</f>
        <v>1</v>
      </c>
    </row>
    <row r="87">
      <c r="A87" s="1" t="str">
        <f>IFERROR(__xludf.DUMMYFUNCTION("""COMPUTED_VALUE"""),"DOC1905071")</f>
        <v>DOC1905071</v>
      </c>
      <c r="B87" s="1">
        <f>IFERROR(__xludf.DUMMYFUNCTION("""COMPUTED_VALUE"""),174.0)</f>
        <v>174</v>
      </c>
      <c r="C87" s="1">
        <f>IFERROR(__xludf.DUMMYFUNCTION("""COMPUTED_VALUE"""),220.0)</f>
        <v>220</v>
      </c>
      <c r="D87" s="1">
        <f>IFERROR(__xludf.DUMMYFUNCTION("""COMPUTED_VALUE"""),179.0)</f>
        <v>179</v>
      </c>
      <c r="E87" s="1">
        <f>IFERROR(__xludf.DUMMYFUNCTION("""COMPUTED_VALUE"""),41.0)</f>
        <v>41</v>
      </c>
    </row>
    <row r="88">
      <c r="A88" s="1" t="str">
        <f>IFERROR(__xludf.DUMMYFUNCTION("""COMPUTED_VALUE"""),"DOC1905081")</f>
        <v>DOC1905081</v>
      </c>
      <c r="B88" s="1">
        <f>IFERROR(__xludf.DUMMYFUNCTION("""COMPUTED_VALUE"""),70.0)</f>
        <v>70</v>
      </c>
      <c r="C88" s="1">
        <f>IFERROR(__xludf.DUMMYFUNCTION("""COMPUTED_VALUE"""),202.0)</f>
        <v>202</v>
      </c>
      <c r="D88" s="1">
        <f>IFERROR(__xludf.DUMMYFUNCTION("""COMPUTED_VALUE"""),71.0)</f>
        <v>71</v>
      </c>
      <c r="E88" s="1">
        <f>IFERROR(__xludf.DUMMYFUNCTION("""COMPUTED_VALUE"""),131.0)</f>
        <v>131</v>
      </c>
    </row>
    <row r="89">
      <c r="A89" s="1" t="str">
        <f>IFERROR(__xludf.DUMMYFUNCTION("""COMPUTED_VALUE"""),"DOC1905100")</f>
        <v>DOC1905100</v>
      </c>
      <c r="B89" s="1">
        <f>IFERROR(__xludf.DUMMYFUNCTION("""COMPUTED_VALUE"""),126.0)</f>
        <v>126</v>
      </c>
      <c r="C89" s="1">
        <f>IFERROR(__xludf.DUMMYFUNCTION("""COMPUTED_VALUE"""),187.0)</f>
        <v>187</v>
      </c>
      <c r="D89" s="1">
        <f>IFERROR(__xludf.DUMMYFUNCTION("""COMPUTED_VALUE"""),133.0)</f>
        <v>133</v>
      </c>
      <c r="E89" s="1">
        <f>IFERROR(__xludf.DUMMYFUNCTION("""COMPUTED_VALUE"""),54.0)</f>
        <v>54</v>
      </c>
    </row>
    <row r="90">
      <c r="A90" s="1" t="str">
        <f>IFERROR(__xludf.DUMMYFUNCTION("""COMPUTED_VALUE"""),"DOCHL063506150")</f>
        <v>DOCHL063506150</v>
      </c>
      <c r="B90" s="1">
        <f>IFERROR(__xludf.DUMMYFUNCTION("""COMPUTED_VALUE"""),98.0)</f>
        <v>98</v>
      </c>
      <c r="C90" s="1">
        <f>IFERROR(__xludf.DUMMYFUNCTION("""COMPUTED_VALUE"""),98.0)</f>
        <v>98</v>
      </c>
      <c r="D90" s="1">
        <f>IFERROR(__xludf.DUMMYFUNCTION("""COMPUTED_VALUE"""),98.0)</f>
        <v>98</v>
      </c>
      <c r="E90" s="1">
        <f>IFERROR(__xludf.DUMMYFUNCTION("""COMPUTED_VALUE"""),0.0)</f>
        <v>0</v>
      </c>
    </row>
    <row r="91">
      <c r="A91" s="1" t="str">
        <f>IFERROR(__xludf.DUMMYFUNCTION("""COMPUTED_VALUE"""),"DOCHL063508115")</f>
        <v>DOCHL063508115</v>
      </c>
      <c r="B91" s="1">
        <f>IFERROR(__xludf.DUMMYFUNCTION("""COMPUTED_VALUE"""),1313.0)</f>
        <v>1313</v>
      </c>
      <c r="C91" s="1">
        <f>IFERROR(__xludf.DUMMYFUNCTION("""COMPUTED_VALUE"""),1612.0)</f>
        <v>1612</v>
      </c>
      <c r="D91" s="1">
        <f>IFERROR(__xludf.DUMMYFUNCTION("""COMPUTED_VALUE"""),1313.0)</f>
        <v>1313</v>
      </c>
      <c r="E91" s="1">
        <f>IFERROR(__xludf.DUMMYFUNCTION("""COMPUTED_VALUE"""),299.0)</f>
        <v>299</v>
      </c>
    </row>
    <row r="92">
      <c r="A92" s="1" t="str">
        <f>IFERROR(__xludf.DUMMYFUNCTION("""COMPUTED_VALUE"""),"DOCHL095206115")</f>
        <v>DOCHL095206115</v>
      </c>
      <c r="B92" s="1">
        <f>IFERROR(__xludf.DUMMYFUNCTION("""COMPUTED_VALUE"""),4.0)</f>
        <v>4</v>
      </c>
      <c r="C92" s="1">
        <f>IFERROR(__xludf.DUMMYFUNCTION("""COMPUTED_VALUE"""),4.0)</f>
        <v>4</v>
      </c>
      <c r="D92" s="1">
        <f>IFERROR(__xludf.DUMMYFUNCTION("""COMPUTED_VALUE"""),4.0)</f>
        <v>4</v>
      </c>
      <c r="E92" s="1">
        <f>IFERROR(__xludf.DUMMYFUNCTION("""COMPUTED_VALUE"""),0.0)</f>
        <v>0</v>
      </c>
    </row>
    <row r="93">
      <c r="A93" s="1" t="str">
        <f>IFERROR(__xludf.DUMMYFUNCTION("""COMPUTED_VALUE"""),"DOCHL095208115")</f>
        <v>DOCHL095208115</v>
      </c>
      <c r="B93" s="1">
        <f>IFERROR(__xludf.DUMMYFUNCTION("""COMPUTED_VALUE"""),556.0)</f>
        <v>556</v>
      </c>
      <c r="C93" s="1">
        <f>IFERROR(__xludf.DUMMYFUNCTION("""COMPUTED_VALUE"""),712.0)</f>
        <v>712</v>
      </c>
      <c r="D93" s="1">
        <f>IFERROR(__xludf.DUMMYFUNCTION("""COMPUTED_VALUE"""),561.0)</f>
        <v>561</v>
      </c>
      <c r="E93" s="1">
        <f>IFERROR(__xludf.DUMMYFUNCTION("""COMPUTED_VALUE"""),151.0)</f>
        <v>151</v>
      </c>
    </row>
    <row r="94">
      <c r="A94" s="1" t="str">
        <f>IFERROR(__xludf.DUMMYFUNCTION("""COMPUTED_VALUE"""),"DOCHL127007115")</f>
        <v>DOCHL127007115</v>
      </c>
      <c r="B94" s="1">
        <f>IFERROR(__xludf.DUMMYFUNCTION("""COMPUTED_VALUE"""),15.0)</f>
        <v>15</v>
      </c>
      <c r="C94" s="1">
        <f>IFERROR(__xludf.DUMMYFUNCTION("""COMPUTED_VALUE"""),263.0)</f>
        <v>263</v>
      </c>
      <c r="D94" s="1">
        <f>IFERROR(__xludf.DUMMYFUNCTION("""COMPUTED_VALUE"""),15.0)</f>
        <v>15</v>
      </c>
      <c r="E94" s="1">
        <f>IFERROR(__xludf.DUMMYFUNCTION("""COMPUTED_VALUE"""),248.0)</f>
        <v>248</v>
      </c>
    </row>
    <row r="95">
      <c r="A95" s="1" t="str">
        <f>IFERROR(__xludf.DUMMYFUNCTION("""COMPUTED_VALUE"""),"DOCHL127008115")</f>
        <v>DOCHL127008115</v>
      </c>
      <c r="B95" s="1">
        <f>IFERROR(__xludf.DUMMYFUNCTION("""COMPUTED_VALUE"""),936.0)</f>
        <v>936</v>
      </c>
      <c r="C95" s="1">
        <f>IFERROR(__xludf.DUMMYFUNCTION("""COMPUTED_VALUE"""),1186.0)</f>
        <v>1186</v>
      </c>
      <c r="D95" s="1">
        <f>IFERROR(__xludf.DUMMYFUNCTION("""COMPUTED_VALUE"""),936.0)</f>
        <v>936</v>
      </c>
      <c r="E95" s="1">
        <f>IFERROR(__xludf.DUMMYFUNCTION("""COMPUTED_VALUE"""),250.0)</f>
        <v>250</v>
      </c>
    </row>
    <row r="96">
      <c r="A96" s="1" t="str">
        <f>IFERROR(__xludf.DUMMYFUNCTION("""COMPUTED_VALUE"""),"DOCHL12706115")</f>
        <v>DOCHL12706115</v>
      </c>
      <c r="B96" s="1">
        <f>IFERROR(__xludf.DUMMYFUNCTION("""COMPUTED_VALUE"""),87.0)</f>
        <v>87</v>
      </c>
      <c r="C96" s="1">
        <f>IFERROR(__xludf.DUMMYFUNCTION("""COMPUTED_VALUE"""),268.0)</f>
        <v>268</v>
      </c>
      <c r="D96" s="1">
        <f>IFERROR(__xludf.DUMMYFUNCTION("""COMPUTED_VALUE"""),112.0)</f>
        <v>112</v>
      </c>
      <c r="E96" s="1">
        <f>IFERROR(__xludf.DUMMYFUNCTION("""COMPUTED_VALUE"""),156.0)</f>
        <v>156</v>
      </c>
    </row>
    <row r="97">
      <c r="A97" s="1" t="str">
        <f>IFERROR(__xludf.DUMMYFUNCTION("""COMPUTED_VALUE"""),"DOCHL158807115")</f>
        <v>DOCHL158807115</v>
      </c>
      <c r="B97" s="1">
        <f>IFERROR(__xludf.DUMMYFUNCTION("""COMPUTED_VALUE"""),1.0)</f>
        <v>1</v>
      </c>
      <c r="C97" s="1">
        <f>IFERROR(__xludf.DUMMYFUNCTION("""COMPUTED_VALUE"""),189.0)</f>
        <v>189</v>
      </c>
      <c r="D97" s="1">
        <f>IFERROR(__xludf.DUMMYFUNCTION("""COMPUTED_VALUE"""),11.0)</f>
        <v>11</v>
      </c>
      <c r="E97" s="1">
        <f>IFERROR(__xludf.DUMMYFUNCTION("""COMPUTED_VALUE"""),178.0)</f>
        <v>178</v>
      </c>
    </row>
    <row r="98">
      <c r="A98" s="1" t="str">
        <f>IFERROR(__xludf.DUMMYFUNCTION("""COMPUTED_VALUE"""),"DOCHL158808115")</f>
        <v>DOCHL158808115</v>
      </c>
      <c r="B98" s="1">
        <f>IFERROR(__xludf.DUMMYFUNCTION("""COMPUTED_VALUE"""),378.0)</f>
        <v>378</v>
      </c>
      <c r="C98" s="1">
        <f>IFERROR(__xludf.DUMMYFUNCTION("""COMPUTED_VALUE"""),602.0)</f>
        <v>602</v>
      </c>
      <c r="D98" s="1">
        <f>IFERROR(__xludf.DUMMYFUNCTION("""COMPUTED_VALUE"""),378.0)</f>
        <v>378</v>
      </c>
      <c r="E98" s="1">
        <f>IFERROR(__xludf.DUMMYFUNCTION("""COMPUTED_VALUE"""),224.0)</f>
        <v>224</v>
      </c>
    </row>
    <row r="99">
      <c r="A99" s="1" t="str">
        <f>IFERROR(__xludf.DUMMYFUNCTION("""COMPUTED_VALUE"""),"DOCHL158810215")</f>
        <v>DOCHL158810215</v>
      </c>
      <c r="B99" s="1">
        <f>IFERROR(__xludf.DUMMYFUNCTION("""COMPUTED_VALUE"""),407.0)</f>
        <v>407</v>
      </c>
      <c r="C99" s="1">
        <f>IFERROR(__xludf.DUMMYFUNCTION("""COMPUTED_VALUE"""),680.0)</f>
        <v>680</v>
      </c>
      <c r="D99" s="1">
        <f>IFERROR(__xludf.DUMMYFUNCTION("""COMPUTED_VALUE"""),407.0)</f>
        <v>407</v>
      </c>
      <c r="E99" s="1">
        <f>IFERROR(__xludf.DUMMYFUNCTION("""COMPUTED_VALUE"""),273.0)</f>
        <v>273</v>
      </c>
    </row>
    <row r="100">
      <c r="A100" s="1" t="str">
        <f>IFERROR(__xludf.DUMMYFUNCTION("""COMPUTED_VALUE"""),"DOCHL190508115")</f>
        <v>DOCHL190508115</v>
      </c>
      <c r="B100" s="1">
        <f>IFERROR(__xludf.DUMMYFUNCTION("""COMPUTED_VALUE"""),652.0)</f>
        <v>652</v>
      </c>
      <c r="C100" s="1">
        <f>IFERROR(__xludf.DUMMYFUNCTION("""COMPUTED_VALUE"""),879.0)</f>
        <v>879</v>
      </c>
      <c r="D100" s="1">
        <f>IFERROR(__xludf.DUMMYFUNCTION("""COMPUTED_VALUE"""),652.0)</f>
        <v>652</v>
      </c>
      <c r="E100" s="1">
        <f>IFERROR(__xludf.DUMMYFUNCTION("""COMPUTED_VALUE"""),227.0)</f>
        <v>227</v>
      </c>
    </row>
    <row r="101">
      <c r="A101" s="1" t="str">
        <f>IFERROR(__xludf.DUMMYFUNCTION("""COMPUTED_VALUE"""),"DOCHL190510215")</f>
        <v>DOCHL190510215</v>
      </c>
      <c r="B101" s="1">
        <f>IFERROR(__xludf.DUMMYFUNCTION("""COMPUTED_VALUE"""),336.0)</f>
        <v>336</v>
      </c>
      <c r="C101" s="1">
        <f>IFERROR(__xludf.DUMMYFUNCTION("""COMPUTED_VALUE"""),431.0)</f>
        <v>431</v>
      </c>
      <c r="D101" s="1">
        <f>IFERROR(__xludf.DUMMYFUNCTION("""COMPUTED_VALUE"""),336.0)</f>
        <v>336</v>
      </c>
      <c r="E101" s="1">
        <f>IFERROR(__xludf.DUMMYFUNCTION("""COMPUTED_VALUE"""),95.0)</f>
        <v>95</v>
      </c>
    </row>
    <row r="102">
      <c r="A102" s="1" t="str">
        <f>IFERROR(__xludf.DUMMYFUNCTION("""COMPUTED_VALUE"""),"DOCHLTS0635081")</f>
        <v>DOCHLTS0635081</v>
      </c>
      <c r="B102" s="1">
        <f>IFERROR(__xludf.DUMMYFUNCTION("""COMPUTED_VALUE"""),148.0)</f>
        <v>148</v>
      </c>
      <c r="C102" s="1">
        <f>IFERROR(__xludf.DUMMYFUNCTION("""COMPUTED_VALUE"""),526.0)</f>
        <v>526</v>
      </c>
      <c r="D102" s="1">
        <f>IFERROR(__xludf.DUMMYFUNCTION("""COMPUTED_VALUE"""),148.0)</f>
        <v>148</v>
      </c>
      <c r="E102" s="1">
        <f>IFERROR(__xludf.DUMMYFUNCTION("""COMPUTED_VALUE"""),378.0)</f>
        <v>378</v>
      </c>
    </row>
    <row r="103">
      <c r="A103" s="1" t="str">
        <f>IFERROR(__xludf.DUMMYFUNCTION("""COMPUTED_VALUE"""),"DOCHLTS1270061")</f>
        <v>DOCHLTS1270061</v>
      </c>
      <c r="B103" s="1">
        <f>IFERROR(__xludf.DUMMYFUNCTION("""COMPUTED_VALUE"""),493.0)</f>
        <v>493</v>
      </c>
      <c r="C103" s="1">
        <f>IFERROR(__xludf.DUMMYFUNCTION("""COMPUTED_VALUE"""),651.0)</f>
        <v>651</v>
      </c>
      <c r="D103" s="1">
        <f>IFERROR(__xludf.DUMMYFUNCTION("""COMPUTED_VALUE"""),498.0)</f>
        <v>498</v>
      </c>
      <c r="E103" s="1">
        <f>IFERROR(__xludf.DUMMYFUNCTION("""COMPUTED_VALUE"""),153.0)</f>
        <v>153</v>
      </c>
    </row>
    <row r="104">
      <c r="A104" s="1" t="str">
        <f>IFERROR(__xludf.DUMMYFUNCTION("""COMPUTED_VALUE"""),"DOCHLTS1270081")</f>
        <v>DOCHLTS1270081</v>
      </c>
      <c r="B104" s="1">
        <f>IFERROR(__xludf.DUMMYFUNCTION("""COMPUTED_VALUE"""),47.0)</f>
        <v>47</v>
      </c>
      <c r="C104" s="1">
        <f>IFERROR(__xludf.DUMMYFUNCTION("""COMPUTED_VALUE"""),247.0)</f>
        <v>247</v>
      </c>
      <c r="D104" s="1">
        <f>IFERROR(__xludf.DUMMYFUNCTION("""COMPUTED_VALUE"""),47.0)</f>
        <v>47</v>
      </c>
      <c r="E104" s="1">
        <f>IFERROR(__xludf.DUMMYFUNCTION("""COMPUTED_VALUE"""),200.0)</f>
        <v>200</v>
      </c>
    </row>
    <row r="105">
      <c r="A105" s="1" t="str">
        <f>IFERROR(__xludf.DUMMYFUNCTION("""COMPUTED_VALUE"""),"DOCHLTS1588100")</f>
        <v>DOCHLTS1588100</v>
      </c>
      <c r="B105" s="1">
        <f>IFERROR(__xludf.DUMMYFUNCTION("""COMPUTED_VALUE"""),1.0)</f>
        <v>1</v>
      </c>
      <c r="C105" s="1">
        <f>IFERROR(__xludf.DUMMYFUNCTION("""COMPUTED_VALUE"""),4.0)</f>
        <v>4</v>
      </c>
      <c r="D105" s="1">
        <f>IFERROR(__xludf.DUMMYFUNCTION("""COMPUTED_VALUE"""),1.0)</f>
        <v>1</v>
      </c>
      <c r="E105" s="1">
        <f>IFERROR(__xludf.DUMMYFUNCTION("""COMPUTED_VALUE"""),3.0)</f>
        <v>3</v>
      </c>
    </row>
    <row r="106">
      <c r="A106" s="1" t="str">
        <f>IFERROR(__xludf.DUMMYFUNCTION("""COMPUTED_VALUE"""),"DOCHLTS1905071")</f>
        <v>DOCHLTS1905071</v>
      </c>
      <c r="B106" s="1">
        <f>IFERROR(__xludf.DUMMYFUNCTION("""COMPUTED_VALUE"""),91.0)</f>
        <v>91</v>
      </c>
      <c r="C106" s="1">
        <f>IFERROR(__xludf.DUMMYFUNCTION("""COMPUTED_VALUE"""),127.0)</f>
        <v>127</v>
      </c>
      <c r="D106" s="1">
        <f>IFERROR(__xludf.DUMMYFUNCTION("""COMPUTED_VALUE"""),91.0)</f>
        <v>91</v>
      </c>
      <c r="E106" s="1">
        <f>IFERROR(__xludf.DUMMYFUNCTION("""COMPUTED_VALUE"""),36.0)</f>
        <v>36</v>
      </c>
    </row>
    <row r="107">
      <c r="A107" s="1" t="str">
        <f>IFERROR(__xludf.DUMMYFUNCTION("""COMPUTED_VALUE"""),"DOCHLTS1905081")</f>
        <v>DOCHLTS1905081</v>
      </c>
      <c r="B107" s="1">
        <f>IFERROR(__xludf.DUMMYFUNCTION("""COMPUTED_VALUE"""),102.0)</f>
        <v>102</v>
      </c>
      <c r="C107" s="1">
        <f>IFERROR(__xludf.DUMMYFUNCTION("""COMPUTED_VALUE"""),102.0)</f>
        <v>102</v>
      </c>
      <c r="D107" s="1">
        <f>IFERROR(__xludf.DUMMYFUNCTION("""COMPUTED_VALUE"""),102.0)</f>
        <v>102</v>
      </c>
      <c r="E107" s="1">
        <f>IFERROR(__xludf.DUMMYFUNCTION("""COMPUTED_VALUE"""),0.0)</f>
        <v>0</v>
      </c>
    </row>
    <row r="108">
      <c r="A108" s="1" t="str">
        <f>IFERROR(__xludf.DUMMYFUNCTION("""COMPUTED_VALUE"""),"DOCRB0635081")</f>
        <v>DOCRB0635081</v>
      </c>
      <c r="B108" s="1">
        <f>IFERROR(__xludf.DUMMYFUNCTION("""COMPUTED_VALUE"""),78.0)</f>
        <v>78</v>
      </c>
      <c r="C108" s="1">
        <f>IFERROR(__xludf.DUMMYFUNCTION("""COMPUTED_VALUE"""),187.0)</f>
        <v>187</v>
      </c>
      <c r="D108" s="1">
        <f>IFERROR(__xludf.DUMMYFUNCTION("""COMPUTED_VALUE"""),78.0)</f>
        <v>78</v>
      </c>
      <c r="E108" s="1">
        <f>IFERROR(__xludf.DUMMYFUNCTION("""COMPUTED_VALUE"""),109.0)</f>
        <v>109</v>
      </c>
    </row>
    <row r="109">
      <c r="A109" s="1" t="str">
        <f>IFERROR(__xludf.DUMMYFUNCTION("""COMPUTED_VALUE"""),"DOCRB0952081")</f>
        <v>DOCRB0952081</v>
      </c>
      <c r="B109" s="1">
        <f>IFERROR(__xludf.DUMMYFUNCTION("""COMPUTED_VALUE"""),16.0)</f>
        <v>16</v>
      </c>
      <c r="C109" s="1">
        <f>IFERROR(__xludf.DUMMYFUNCTION("""COMPUTED_VALUE"""),191.0)</f>
        <v>191</v>
      </c>
      <c r="D109" s="1">
        <f>IFERROR(__xludf.DUMMYFUNCTION("""COMPUTED_VALUE"""),16.0)</f>
        <v>16</v>
      </c>
      <c r="E109" s="1">
        <f>IFERROR(__xludf.DUMMYFUNCTION("""COMPUTED_VALUE"""),175.0)</f>
        <v>175</v>
      </c>
    </row>
    <row r="110">
      <c r="A110" s="1" t="str">
        <f>IFERROR(__xludf.DUMMYFUNCTION("""COMPUTED_VALUE"""),"DOCRB1270061")</f>
        <v>DOCRB1270061</v>
      </c>
      <c r="B110" s="1">
        <f>IFERROR(__xludf.DUMMYFUNCTION("""COMPUTED_VALUE"""),133.0)</f>
        <v>133</v>
      </c>
      <c r="C110" s="1">
        <f>IFERROR(__xludf.DUMMYFUNCTION("""COMPUTED_VALUE"""),134.0)</f>
        <v>134</v>
      </c>
      <c r="D110" s="1">
        <f>IFERROR(__xludf.DUMMYFUNCTION("""COMPUTED_VALUE"""),133.0)</f>
        <v>133</v>
      </c>
      <c r="E110" s="1">
        <f>IFERROR(__xludf.DUMMYFUNCTION("""COMPUTED_VALUE"""),1.0)</f>
        <v>1</v>
      </c>
    </row>
    <row r="111">
      <c r="A111" s="1" t="str">
        <f>IFERROR(__xludf.DUMMYFUNCTION("""COMPUTED_VALUE"""),"DOCRB1588100")</f>
        <v>DOCRB1588100</v>
      </c>
      <c r="B111" s="1">
        <f>IFERROR(__xludf.DUMMYFUNCTION("""COMPUTED_VALUE"""),23.0)</f>
        <v>23</v>
      </c>
      <c r="C111" s="1">
        <f>IFERROR(__xludf.DUMMYFUNCTION("""COMPUTED_VALUE"""),60.0)</f>
        <v>60</v>
      </c>
      <c r="D111" s="1">
        <f>IFERROR(__xludf.DUMMYFUNCTION("""COMPUTED_VALUE"""),23.0)</f>
        <v>23</v>
      </c>
      <c r="E111" s="1">
        <f>IFERROR(__xludf.DUMMYFUNCTION("""COMPUTED_VALUE"""),37.0)</f>
        <v>37</v>
      </c>
    </row>
    <row r="112">
      <c r="A112" s="1" t="str">
        <f>IFERROR(__xludf.DUMMYFUNCTION("""COMPUTED_VALUE"""),"DOCRB1905071")</f>
        <v>DOCRB1905071</v>
      </c>
      <c r="B112" s="1">
        <f>IFERROR(__xludf.DUMMYFUNCTION("""COMPUTED_VALUE"""),70.0)</f>
        <v>70</v>
      </c>
      <c r="C112" s="1">
        <f>IFERROR(__xludf.DUMMYFUNCTION("""COMPUTED_VALUE"""),70.0)</f>
        <v>70</v>
      </c>
      <c r="D112" s="1">
        <f>IFERROR(__xludf.DUMMYFUNCTION("""COMPUTED_VALUE"""),70.0)</f>
        <v>70</v>
      </c>
      <c r="E112" s="1">
        <f>IFERROR(__xludf.DUMMYFUNCTION("""COMPUTED_VALUE"""),0.0)</f>
        <v>0</v>
      </c>
    </row>
    <row r="113">
      <c r="A113" s="1" t="str">
        <f>IFERROR(__xludf.DUMMYFUNCTION("""COMPUTED_VALUE"""),"DOCRB1905081")</f>
        <v>DOCRB1905081</v>
      </c>
      <c r="B113" s="1">
        <f>IFERROR(__xludf.DUMMYFUNCTION("""COMPUTED_VALUE"""),77.0)</f>
        <v>77</v>
      </c>
      <c r="C113" s="1">
        <f>IFERROR(__xludf.DUMMYFUNCTION("""COMPUTED_VALUE"""),97.0)</f>
        <v>97</v>
      </c>
      <c r="D113" s="1">
        <f>IFERROR(__xludf.DUMMYFUNCTION("""COMPUTED_VALUE"""),77.0)</f>
        <v>77</v>
      </c>
      <c r="E113" s="1">
        <f>IFERROR(__xludf.DUMMYFUNCTION("""COMPUTED_VALUE"""),20.0)</f>
        <v>20</v>
      </c>
    </row>
    <row r="114">
      <c r="A114" s="1" t="str">
        <f>IFERROR(__xludf.DUMMYFUNCTION("""COMPUTED_VALUE"""),"DOCTAISEI0635061")</f>
        <v>DOCTAISEI0635061</v>
      </c>
      <c r="B114" s="1">
        <f>IFERROR(__xludf.DUMMYFUNCTION("""COMPUTED_VALUE"""),323.0)</f>
        <v>323</v>
      </c>
      <c r="C114" s="1">
        <f>IFERROR(__xludf.DUMMYFUNCTION("""COMPUTED_VALUE"""),769.0)</f>
        <v>769</v>
      </c>
      <c r="D114" s="1">
        <f>IFERROR(__xludf.DUMMYFUNCTION("""COMPUTED_VALUE"""),323.0)</f>
        <v>323</v>
      </c>
      <c r="E114" s="1">
        <f>IFERROR(__xludf.DUMMYFUNCTION("""COMPUTED_VALUE"""),446.0)</f>
        <v>446</v>
      </c>
    </row>
    <row r="115">
      <c r="A115" s="1" t="str">
        <f>IFERROR(__xludf.DUMMYFUNCTION("""COMPUTED_VALUE"""),"DOCTAISEI0635071")</f>
        <v>DOCTAISEI0635071</v>
      </c>
      <c r="B115" s="1">
        <f>IFERROR(__xludf.DUMMYFUNCTION("""COMPUTED_VALUE"""),657.0)</f>
        <v>657</v>
      </c>
      <c r="C115" s="1">
        <f>IFERROR(__xludf.DUMMYFUNCTION("""COMPUTED_VALUE"""),685.0)</f>
        <v>685</v>
      </c>
      <c r="D115" s="1">
        <f>IFERROR(__xludf.DUMMYFUNCTION("""COMPUTED_VALUE"""),682.0)</f>
        <v>682</v>
      </c>
      <c r="E115" s="1">
        <f>IFERROR(__xludf.DUMMYFUNCTION("""COMPUTED_VALUE"""),3.0)</f>
        <v>3</v>
      </c>
    </row>
    <row r="116">
      <c r="A116" s="1" t="str">
        <f>IFERROR(__xludf.DUMMYFUNCTION("""COMPUTED_VALUE"""),"DOCTAISEI0635081")</f>
        <v>DOCTAISEI0635081</v>
      </c>
      <c r="B116" s="1">
        <f>IFERROR(__xludf.DUMMYFUNCTION("""COMPUTED_VALUE"""),706.0)</f>
        <v>706</v>
      </c>
      <c r="C116" s="1">
        <f>IFERROR(__xludf.DUMMYFUNCTION("""COMPUTED_VALUE"""),729.0)</f>
        <v>729</v>
      </c>
      <c r="D116" s="1">
        <f>IFERROR(__xludf.DUMMYFUNCTION("""COMPUTED_VALUE"""),706.0)</f>
        <v>706</v>
      </c>
      <c r="E116" s="1">
        <f>IFERROR(__xludf.DUMMYFUNCTION("""COMPUTED_VALUE"""),23.0)</f>
        <v>23</v>
      </c>
    </row>
    <row r="117">
      <c r="A117" s="1" t="str">
        <f>IFERROR(__xludf.DUMMYFUNCTION("""COMPUTED_VALUE"""),"DOCTAISEI095207115")</f>
        <v>DOCTAISEI095207115</v>
      </c>
      <c r="B117" s="1">
        <f>IFERROR(__xludf.DUMMYFUNCTION("""COMPUTED_VALUE"""),0.0)</f>
        <v>0</v>
      </c>
      <c r="C117" s="1">
        <f>IFERROR(__xludf.DUMMYFUNCTION("""COMPUTED_VALUE"""),123.0)</f>
        <v>123</v>
      </c>
      <c r="D117" s="1">
        <f>IFERROR(__xludf.DUMMYFUNCTION("""COMPUTED_VALUE"""),28.0)</f>
        <v>28</v>
      </c>
      <c r="E117" s="1">
        <f>IFERROR(__xludf.DUMMYFUNCTION("""COMPUTED_VALUE"""),95.0)</f>
        <v>95</v>
      </c>
    </row>
    <row r="118">
      <c r="A118" s="1" t="str">
        <f>IFERROR(__xludf.DUMMYFUNCTION("""COMPUTED_VALUE"""),"DOCTAISEI0952081")</f>
        <v>DOCTAISEI0952081</v>
      </c>
      <c r="B118" s="1">
        <f>IFERROR(__xludf.DUMMYFUNCTION("""COMPUTED_VALUE"""),446.0)</f>
        <v>446</v>
      </c>
      <c r="C118" s="1">
        <f>IFERROR(__xludf.DUMMYFUNCTION("""COMPUTED_VALUE"""),446.0)</f>
        <v>446</v>
      </c>
      <c r="D118" s="1">
        <f>IFERROR(__xludf.DUMMYFUNCTION("""COMPUTED_VALUE"""),446.0)</f>
        <v>446</v>
      </c>
      <c r="E118" s="1">
        <f>IFERROR(__xludf.DUMMYFUNCTION("""COMPUTED_VALUE"""),0.0)</f>
        <v>0</v>
      </c>
    </row>
    <row r="119">
      <c r="A119" s="1" t="str">
        <f>IFERROR(__xludf.DUMMYFUNCTION("""COMPUTED_VALUE"""),"DOCTAISEI1270071")</f>
        <v>DOCTAISEI1270071</v>
      </c>
      <c r="B119" s="1">
        <f>IFERROR(__xludf.DUMMYFUNCTION("""COMPUTED_VALUE"""),0.0)</f>
        <v>0</v>
      </c>
      <c r="C119" s="1">
        <f>IFERROR(__xludf.DUMMYFUNCTION("""COMPUTED_VALUE"""),15.0)</f>
        <v>15</v>
      </c>
      <c r="D119" s="1">
        <f>IFERROR(__xludf.DUMMYFUNCTION("""COMPUTED_VALUE"""),7.0)</f>
        <v>7</v>
      </c>
      <c r="E119" s="1">
        <f>IFERROR(__xludf.DUMMYFUNCTION("""COMPUTED_VALUE"""),8.0)</f>
        <v>8</v>
      </c>
    </row>
    <row r="120">
      <c r="A120" s="1" t="str">
        <f>IFERROR(__xludf.DUMMYFUNCTION("""COMPUTED_VALUE"""),"DOCTAISEI1270081")</f>
        <v>DOCTAISEI1270081</v>
      </c>
      <c r="B120" s="1">
        <f>IFERROR(__xludf.DUMMYFUNCTION("""COMPUTED_VALUE"""),259.0)</f>
        <v>259</v>
      </c>
      <c r="C120" s="1">
        <f>IFERROR(__xludf.DUMMYFUNCTION("""COMPUTED_VALUE"""),342.0)</f>
        <v>342</v>
      </c>
      <c r="D120" s="1">
        <f>IFERROR(__xludf.DUMMYFUNCTION("""COMPUTED_VALUE"""),259.0)</f>
        <v>259</v>
      </c>
      <c r="E120" s="1">
        <f>IFERROR(__xludf.DUMMYFUNCTION("""COMPUTED_VALUE"""),83.0)</f>
        <v>83</v>
      </c>
    </row>
    <row r="121">
      <c r="A121" s="1" t="str">
        <f>IFERROR(__xludf.DUMMYFUNCTION("""COMPUTED_VALUE"""),"DOCTAISEI1588071")</f>
        <v>DOCTAISEI1588071</v>
      </c>
      <c r="B121" s="1">
        <f>IFERROR(__xludf.DUMMYFUNCTION("""COMPUTED_VALUE"""),90.0)</f>
        <v>90</v>
      </c>
      <c r="C121" s="1">
        <f>IFERROR(__xludf.DUMMYFUNCTION("""COMPUTED_VALUE"""),137.0)</f>
        <v>137</v>
      </c>
      <c r="D121" s="1">
        <f>IFERROR(__xludf.DUMMYFUNCTION("""COMPUTED_VALUE"""),90.0)</f>
        <v>90</v>
      </c>
      <c r="E121" s="1">
        <f>IFERROR(__xludf.DUMMYFUNCTION("""COMPUTED_VALUE"""),47.0)</f>
        <v>47</v>
      </c>
    </row>
    <row r="122">
      <c r="A122" s="1" t="str">
        <f>IFERROR(__xludf.DUMMYFUNCTION("""COMPUTED_VALUE"""),"DOCTAISEI1588081")</f>
        <v>DOCTAISEI1588081</v>
      </c>
      <c r="B122" s="1">
        <f>IFERROR(__xludf.DUMMYFUNCTION("""COMPUTED_VALUE"""),142.0)</f>
        <v>142</v>
      </c>
      <c r="C122" s="1">
        <f>IFERROR(__xludf.DUMMYFUNCTION("""COMPUTED_VALUE"""),204.0)</f>
        <v>204</v>
      </c>
      <c r="D122" s="1">
        <f>IFERROR(__xludf.DUMMYFUNCTION("""COMPUTED_VALUE"""),152.0)</f>
        <v>152</v>
      </c>
      <c r="E122" s="1">
        <f>IFERROR(__xludf.DUMMYFUNCTION("""COMPUTED_VALUE"""),52.0)</f>
        <v>52</v>
      </c>
    </row>
    <row r="123">
      <c r="A123" s="1" t="str">
        <f>IFERROR(__xludf.DUMMYFUNCTION("""COMPUTED_VALUE"""),"DOCTAISEI1588100")</f>
        <v>DOCTAISEI1588100</v>
      </c>
      <c r="B123" s="1">
        <f>IFERROR(__xludf.DUMMYFUNCTION("""COMPUTED_VALUE"""),8.0)</f>
        <v>8</v>
      </c>
      <c r="C123" s="1">
        <f>IFERROR(__xludf.DUMMYFUNCTION("""COMPUTED_VALUE"""),8.0)</f>
        <v>8</v>
      </c>
      <c r="D123" s="1">
        <f>IFERROR(__xludf.DUMMYFUNCTION("""COMPUTED_VALUE"""),8.0)</f>
        <v>8</v>
      </c>
      <c r="E123" s="1">
        <f>IFERROR(__xludf.DUMMYFUNCTION("""COMPUTED_VALUE"""),0.0)</f>
        <v>0</v>
      </c>
    </row>
    <row r="124">
      <c r="A124" s="1" t="str">
        <f>IFERROR(__xludf.DUMMYFUNCTION("""COMPUTED_VALUE"""),"DOCTAISEI1905081")</f>
        <v>DOCTAISEI1905081</v>
      </c>
      <c r="B124" s="1">
        <f>IFERROR(__xludf.DUMMYFUNCTION("""COMPUTED_VALUE"""),12.0)</f>
        <v>12</v>
      </c>
      <c r="C124" s="1">
        <f>IFERROR(__xludf.DUMMYFUNCTION("""COMPUTED_VALUE"""),43.0)</f>
        <v>43</v>
      </c>
      <c r="D124" s="1">
        <f>IFERROR(__xludf.DUMMYFUNCTION("""COMPUTED_VALUE"""),17.0)</f>
        <v>17</v>
      </c>
      <c r="E124" s="1">
        <f>IFERROR(__xludf.DUMMYFUNCTION("""COMPUTED_VALUE"""),26.0)</f>
        <v>26</v>
      </c>
    </row>
    <row r="125">
      <c r="A125" s="1" t="str">
        <f>IFERROR(__xludf.DUMMYFUNCTION("""COMPUTED_VALUE"""),"DOCTAISEI1905100")</f>
        <v>DOCTAISEI1905100</v>
      </c>
      <c r="B125" s="1">
        <f>IFERROR(__xludf.DUMMYFUNCTION("""COMPUTED_VALUE"""),94.0)</f>
        <v>94</v>
      </c>
      <c r="C125" s="1">
        <f>IFERROR(__xludf.DUMMYFUNCTION("""COMPUTED_VALUE"""),167.0)</f>
        <v>167</v>
      </c>
      <c r="D125" s="1">
        <f>IFERROR(__xludf.DUMMYFUNCTION("""COMPUTED_VALUE"""),102.0)</f>
        <v>102</v>
      </c>
      <c r="E125" s="1">
        <f>IFERROR(__xludf.DUMMYFUNCTION("""COMPUTED_VALUE"""),65.0)</f>
        <v>65</v>
      </c>
    </row>
    <row r="126">
      <c r="A126" s="1" t="str">
        <f>IFERROR(__xludf.DUMMYFUNCTION("""COMPUTED_VALUE"""),"DOCTS1905071")</f>
        <v>DOCTS1905071</v>
      </c>
      <c r="B126" s="1">
        <f>IFERROR(__xludf.DUMMYFUNCTION("""COMPUTED_VALUE"""),3.0)</f>
        <v>3</v>
      </c>
      <c r="C126" s="1">
        <f>IFERROR(__xludf.DUMMYFUNCTION("""COMPUTED_VALUE"""),3.0)</f>
        <v>3</v>
      </c>
      <c r="D126" s="1">
        <f>IFERROR(__xludf.DUMMYFUNCTION("""COMPUTED_VALUE"""),3.0)</f>
        <v>3</v>
      </c>
      <c r="E126" s="1">
        <f>IFERROR(__xludf.DUMMYFUNCTION("""COMPUTED_VALUE"""),0.0)</f>
        <v>0</v>
      </c>
    </row>
    <row r="127">
      <c r="A127" s="1" t="str">
        <f>IFERROR(__xludf.DUMMYFUNCTION("""COMPUTED_VALUE"""),"DOLWC127071")</f>
        <v>DOLWC127071</v>
      </c>
      <c r="B127" s="1">
        <f>IFERROR(__xludf.DUMMYFUNCTION("""COMPUTED_VALUE"""),461.6)</f>
        <v>461.6</v>
      </c>
      <c r="C127" s="1">
        <f>IFERROR(__xludf.DUMMYFUNCTION("""COMPUTED_VALUE"""),461.6)</f>
        <v>461.6</v>
      </c>
      <c r="D127" s="1">
        <f>IFERROR(__xludf.DUMMYFUNCTION("""COMPUTED_VALUE"""),461.6)</f>
        <v>461.6</v>
      </c>
      <c r="E127" s="1">
        <f>IFERROR(__xludf.DUMMYFUNCTION("""COMPUTED_VALUE"""),0.0)</f>
        <v>0</v>
      </c>
    </row>
    <row r="128">
      <c r="A128" s="1" t="str">
        <f>IFERROR(__xludf.DUMMYFUNCTION("""COMPUTED_VALUE"""),"DOLWC127081")</f>
        <v>DOLWC127081</v>
      </c>
      <c r="B128" s="1">
        <f>IFERROR(__xludf.DUMMYFUNCTION("""COMPUTED_VALUE"""),606.9)</f>
        <v>606.9</v>
      </c>
      <c r="C128" s="1">
        <f>IFERROR(__xludf.DUMMYFUNCTION("""COMPUTED_VALUE"""),1290.3)</f>
        <v>1290.3</v>
      </c>
      <c r="D128" s="1">
        <f>IFERROR(__xludf.DUMMYFUNCTION("""COMPUTED_VALUE"""),606.9)</f>
        <v>606.9</v>
      </c>
      <c r="E128" s="1">
        <f>IFERROR(__xludf.DUMMYFUNCTION("""COMPUTED_VALUE"""),683.4)</f>
        <v>683.4</v>
      </c>
    </row>
    <row r="129">
      <c r="A129" s="1" t="str">
        <f>IFERROR(__xludf.DUMMYFUNCTION("""COMPUTED_VALUE"""),"DOLWC1905100")</f>
        <v>DOLWC1905100</v>
      </c>
      <c r="B129" s="1">
        <f>IFERROR(__xludf.DUMMYFUNCTION("""COMPUTED_VALUE"""),157.8)</f>
        <v>157.8</v>
      </c>
      <c r="C129" s="1">
        <f>IFERROR(__xludf.DUMMYFUNCTION("""COMPUTED_VALUE"""),157.8)</f>
        <v>157.8</v>
      </c>
      <c r="D129" s="1">
        <f>IFERROR(__xludf.DUMMYFUNCTION("""COMPUTED_VALUE"""),157.8)</f>
        <v>157.8</v>
      </c>
      <c r="E129" s="1">
        <f>IFERROR(__xludf.DUMMYFUNCTION("""COMPUTED_VALUE"""),0.0)</f>
        <v>0</v>
      </c>
    </row>
    <row r="130">
      <c r="A130" s="1" t="str">
        <f>IFERROR(__xludf.DUMMYFUNCTION("""COMPUTED_VALUE"""),"DOLWC635081")</f>
        <v>DOLWC635081</v>
      </c>
      <c r="B130" s="1">
        <f>IFERROR(__xludf.DUMMYFUNCTION("""COMPUTED_VALUE"""),154.1)</f>
        <v>154.1</v>
      </c>
      <c r="C130" s="1">
        <f>IFERROR(__xludf.DUMMYFUNCTION("""COMPUTED_VALUE"""),466.20000000000005)</f>
        <v>466.2</v>
      </c>
      <c r="D130" s="1">
        <f>IFERROR(__xludf.DUMMYFUNCTION("""COMPUTED_VALUE"""),154.1)</f>
        <v>154.1</v>
      </c>
      <c r="E130" s="1">
        <f>IFERROR(__xludf.DUMMYFUNCTION("""COMPUTED_VALUE"""),312.1)</f>
        <v>312.1</v>
      </c>
    </row>
    <row r="131">
      <c r="A131" s="1" t="str">
        <f>IFERROR(__xludf.DUMMYFUNCTION("""COMPUTED_VALUE"""),"DOLWC952081")</f>
        <v>DOLWC952081</v>
      </c>
      <c r="B131" s="1">
        <f>IFERROR(__xludf.DUMMYFUNCTION("""COMPUTED_VALUE"""),308.9)</f>
        <v>308.9</v>
      </c>
      <c r="C131" s="1">
        <f>IFERROR(__xludf.DUMMYFUNCTION("""COMPUTED_VALUE"""),824.5)</f>
        <v>824.5</v>
      </c>
      <c r="D131" s="1">
        <f>IFERROR(__xludf.DUMMYFUNCTION("""COMPUTED_VALUE"""),308.9)</f>
        <v>308.9</v>
      </c>
      <c r="E131" s="1">
        <f>IFERROR(__xludf.DUMMYFUNCTION("""COMPUTED_VALUE"""),515.6)</f>
        <v>515.6</v>
      </c>
    </row>
    <row r="132">
      <c r="A132" s="1" t="str">
        <f>IFERROR(__xludf.DUMMYFUNCTION("""COMPUTED_VALUE"""),"DOLWCTS1588081")</f>
        <v>DOLWCTS1588081</v>
      </c>
      <c r="B132" s="1">
        <f>IFERROR(__xludf.DUMMYFUNCTION("""COMPUTED_VALUE"""),159.8)</f>
        <v>159.8</v>
      </c>
      <c r="C132" s="1">
        <f>IFERROR(__xludf.DUMMYFUNCTION("""COMPUTED_VALUE"""),159.8)</f>
        <v>159.8</v>
      </c>
      <c r="D132" s="1">
        <f>IFERROR(__xludf.DUMMYFUNCTION("""COMPUTED_VALUE"""),159.8)</f>
        <v>159.8</v>
      </c>
      <c r="E132" s="1">
        <f>IFERROR(__xludf.DUMMYFUNCTION("""COMPUTED_VALUE"""),0.0)</f>
        <v>0</v>
      </c>
    </row>
    <row r="133">
      <c r="A133" s="1" t="str">
        <f>IFERROR(__xludf.DUMMYFUNCTION("""COMPUTED_VALUE"""),"DOT1270071")</f>
        <v>DOT1270071</v>
      </c>
      <c r="B133" s="1">
        <f>IFERROR(__xludf.DUMMYFUNCTION("""COMPUTED_VALUE"""),439.0)</f>
        <v>439</v>
      </c>
      <c r="C133" s="1">
        <f>IFERROR(__xludf.DUMMYFUNCTION("""COMPUTED_VALUE"""),439.0)</f>
        <v>439</v>
      </c>
      <c r="D133" s="1">
        <f>IFERROR(__xludf.DUMMYFUNCTION("""COMPUTED_VALUE"""),439.0)</f>
        <v>439</v>
      </c>
      <c r="E133" s="1">
        <f>IFERROR(__xludf.DUMMYFUNCTION("""COMPUTED_VALUE"""),0.0)</f>
        <v>0</v>
      </c>
    </row>
    <row r="134">
      <c r="A134" s="1" t="str">
        <f>IFERROR(__xludf.DUMMYFUNCTION("""COMPUTED_VALUE"""),"DOT1270081")</f>
        <v>DOT1270081</v>
      </c>
      <c r="B134" s="1">
        <f>IFERROR(__xludf.DUMMYFUNCTION("""COMPUTED_VALUE"""),226.0)</f>
        <v>226</v>
      </c>
      <c r="C134" s="1">
        <f>IFERROR(__xludf.DUMMYFUNCTION("""COMPUTED_VALUE"""),226.0)</f>
        <v>226</v>
      </c>
      <c r="D134" s="1">
        <f>IFERROR(__xludf.DUMMYFUNCTION("""COMPUTED_VALUE"""),226.0)</f>
        <v>226</v>
      </c>
      <c r="E134" s="1">
        <f>IFERROR(__xludf.DUMMYFUNCTION("""COMPUTED_VALUE"""),0.0)</f>
        <v>0</v>
      </c>
    </row>
    <row r="135">
      <c r="A135" s="1" t="str">
        <f>IFERROR(__xludf.DUMMYFUNCTION("""COMPUTED_VALUE"""),"DOT1588061")</f>
        <v>DOT1588061</v>
      </c>
      <c r="B135" s="1">
        <f>IFERROR(__xludf.DUMMYFUNCTION("""COMPUTED_VALUE"""),502.0)</f>
        <v>502</v>
      </c>
      <c r="C135" s="1">
        <f>IFERROR(__xludf.DUMMYFUNCTION("""COMPUTED_VALUE"""),502.0)</f>
        <v>502</v>
      </c>
      <c r="D135" s="1">
        <f>IFERROR(__xludf.DUMMYFUNCTION("""COMPUTED_VALUE"""),502.0)</f>
        <v>502</v>
      </c>
      <c r="E135" s="1">
        <f>IFERROR(__xludf.DUMMYFUNCTION("""COMPUTED_VALUE"""),0.0)</f>
        <v>0</v>
      </c>
    </row>
    <row r="136">
      <c r="A136" s="1" t="str">
        <f>IFERROR(__xludf.DUMMYFUNCTION("""COMPUTED_VALUE"""),"DOT1588071")</f>
        <v>DOT1588071</v>
      </c>
      <c r="B136" s="1">
        <f>IFERROR(__xludf.DUMMYFUNCTION("""COMPUTED_VALUE"""),369.0)</f>
        <v>369</v>
      </c>
      <c r="C136" s="1">
        <f>IFERROR(__xludf.DUMMYFUNCTION("""COMPUTED_VALUE"""),650.0)</f>
        <v>650</v>
      </c>
      <c r="D136" s="1">
        <f>IFERROR(__xludf.DUMMYFUNCTION("""COMPUTED_VALUE"""),369.0)</f>
        <v>369</v>
      </c>
      <c r="E136" s="1">
        <f>IFERROR(__xludf.DUMMYFUNCTION("""COMPUTED_VALUE"""),281.0)</f>
        <v>281</v>
      </c>
    </row>
    <row r="137">
      <c r="A137" s="1" t="str">
        <f>IFERROR(__xludf.DUMMYFUNCTION("""COMPUTED_VALUE"""),"DOT1588081")</f>
        <v>DOT1588081</v>
      </c>
      <c r="B137" s="1">
        <f>IFERROR(__xludf.DUMMYFUNCTION("""COMPUTED_VALUE"""),252.0)</f>
        <v>252</v>
      </c>
      <c r="C137" s="1">
        <f>IFERROR(__xludf.DUMMYFUNCTION("""COMPUTED_VALUE"""),695.0)</f>
        <v>695</v>
      </c>
      <c r="D137" s="1">
        <f>IFERROR(__xludf.DUMMYFUNCTION("""COMPUTED_VALUE"""),252.0)</f>
        <v>252</v>
      </c>
      <c r="E137" s="1">
        <f>IFERROR(__xludf.DUMMYFUNCTION("""COMPUTED_VALUE"""),443.0)</f>
        <v>443</v>
      </c>
    </row>
    <row r="138">
      <c r="A138" s="1" t="str">
        <f>IFERROR(__xludf.DUMMYFUNCTION("""COMPUTED_VALUE"""),"DOT1588100")</f>
        <v>DOT1588100</v>
      </c>
      <c r="B138" s="1">
        <f>IFERROR(__xludf.DUMMYFUNCTION("""COMPUTED_VALUE"""),388.0)</f>
        <v>388</v>
      </c>
      <c r="C138" s="1">
        <f>IFERROR(__xludf.DUMMYFUNCTION("""COMPUTED_VALUE"""),388.0)</f>
        <v>388</v>
      </c>
      <c r="D138" s="1">
        <f>IFERROR(__xludf.DUMMYFUNCTION("""COMPUTED_VALUE"""),388.0)</f>
        <v>388</v>
      </c>
      <c r="E138" s="1">
        <f>IFERROR(__xludf.DUMMYFUNCTION("""COMPUTED_VALUE"""),0.0)</f>
        <v>0</v>
      </c>
    </row>
    <row r="139">
      <c r="A139" s="1" t="str">
        <f>IFERROR(__xludf.DUMMYFUNCTION("""COMPUTED_VALUE"""),"DOT1905081")</f>
        <v>DOT1905081</v>
      </c>
      <c r="B139" s="1">
        <f>IFERROR(__xludf.DUMMYFUNCTION("""COMPUTED_VALUE"""),420.0)</f>
        <v>420</v>
      </c>
      <c r="C139" s="1">
        <f>IFERROR(__xludf.DUMMYFUNCTION("""COMPUTED_VALUE"""),420.0)</f>
        <v>420</v>
      </c>
      <c r="D139" s="1">
        <f>IFERROR(__xludf.DUMMYFUNCTION("""COMPUTED_VALUE"""),420.0)</f>
        <v>420</v>
      </c>
      <c r="E139" s="1">
        <f>IFERROR(__xludf.DUMMYFUNCTION("""COMPUTED_VALUE"""),0.0)</f>
        <v>0</v>
      </c>
    </row>
    <row r="140">
      <c r="A140" s="1" t="str">
        <f>IFERROR(__xludf.DUMMYFUNCTION("""COMPUTED_VALUE"""),"DOT1905100")</f>
        <v>DOT1905100</v>
      </c>
      <c r="B140" s="1">
        <f>IFERROR(__xludf.DUMMYFUNCTION("""COMPUTED_VALUE"""),153.0)</f>
        <v>153</v>
      </c>
      <c r="C140" s="1">
        <f>IFERROR(__xludf.DUMMYFUNCTION("""COMPUTED_VALUE"""),153.0)</f>
        <v>153</v>
      </c>
      <c r="D140" s="1">
        <f>IFERROR(__xludf.DUMMYFUNCTION("""COMPUTED_VALUE"""),153.0)</f>
        <v>153</v>
      </c>
      <c r="E140" s="1">
        <f>IFERROR(__xludf.DUMMYFUNCTION("""COMPUTED_VALUE"""),0.0)</f>
        <v>0</v>
      </c>
    </row>
    <row r="141">
      <c r="A141" s="1" t="str">
        <f>IFERROR(__xludf.DUMMYFUNCTION("""COMPUTED_VALUE"""),"DOT2222081")</f>
        <v>DOT2222081</v>
      </c>
      <c r="B141" s="1">
        <f>IFERROR(__xludf.DUMMYFUNCTION("""COMPUTED_VALUE"""),439.0)</f>
        <v>439</v>
      </c>
      <c r="C141" s="1">
        <f>IFERROR(__xludf.DUMMYFUNCTION("""COMPUTED_VALUE"""),678.0)</f>
        <v>678</v>
      </c>
      <c r="D141" s="1">
        <f>IFERROR(__xludf.DUMMYFUNCTION("""COMPUTED_VALUE"""),441.0)</f>
        <v>441</v>
      </c>
      <c r="E141" s="1">
        <f>IFERROR(__xludf.DUMMYFUNCTION("""COMPUTED_VALUE"""),237.0)</f>
        <v>237</v>
      </c>
    </row>
    <row r="142">
      <c r="A142" s="1" t="str">
        <f>IFERROR(__xludf.DUMMYFUNCTION("""COMPUTED_VALUE"""),"DOT2222100")</f>
        <v>DOT2222100</v>
      </c>
      <c r="B142" s="1">
        <f>IFERROR(__xludf.DUMMYFUNCTION("""COMPUTED_VALUE"""),379.0)</f>
        <v>379</v>
      </c>
      <c r="C142" s="1">
        <f>IFERROR(__xludf.DUMMYFUNCTION("""COMPUTED_VALUE"""),790.0)</f>
        <v>790</v>
      </c>
      <c r="D142" s="1">
        <f>IFERROR(__xludf.DUMMYFUNCTION("""COMPUTED_VALUE"""),392.0)</f>
        <v>392</v>
      </c>
      <c r="E142" s="1">
        <f>IFERROR(__xludf.DUMMYFUNCTION("""COMPUTED_VALUE"""),398.0)</f>
        <v>398</v>
      </c>
    </row>
    <row r="143">
      <c r="A143" s="1" t="str">
        <f>IFERROR(__xludf.DUMMYFUNCTION("""COMPUTED_VALUE"""),"DOT2222114")</f>
        <v>DOT2222114</v>
      </c>
      <c r="B143" s="1">
        <f>IFERROR(__xludf.DUMMYFUNCTION("""COMPUTED_VALUE"""),99.0)</f>
        <v>99</v>
      </c>
      <c r="C143" s="1">
        <f>IFERROR(__xludf.DUMMYFUNCTION("""COMPUTED_VALUE"""),109.0)</f>
        <v>109</v>
      </c>
      <c r="D143" s="1">
        <f>IFERROR(__xludf.DUMMYFUNCTION("""COMPUTED_VALUE"""),99.0)</f>
        <v>99</v>
      </c>
      <c r="E143" s="1">
        <f>IFERROR(__xludf.DUMMYFUNCTION("""COMPUTED_VALUE"""),10.0)</f>
        <v>10</v>
      </c>
    </row>
    <row r="144">
      <c r="A144" s="1" t="str">
        <f>IFERROR(__xludf.DUMMYFUNCTION("""COMPUTED_VALUE"""),"DOT2222120")</f>
        <v>DOT2222120</v>
      </c>
      <c r="B144" s="1">
        <f>IFERROR(__xludf.DUMMYFUNCTION("""COMPUTED_VALUE"""),279.0)</f>
        <v>279</v>
      </c>
      <c r="C144" s="1">
        <f>IFERROR(__xludf.DUMMYFUNCTION("""COMPUTED_VALUE"""),334.0)</f>
        <v>334</v>
      </c>
      <c r="D144" s="1">
        <f>IFERROR(__xludf.DUMMYFUNCTION("""COMPUTED_VALUE"""),279.0)</f>
        <v>279</v>
      </c>
      <c r="E144" s="1">
        <f>IFERROR(__xludf.DUMMYFUNCTION("""COMPUTED_VALUE"""),55.0)</f>
        <v>55</v>
      </c>
    </row>
    <row r="145">
      <c r="A145" s="1" t="str">
        <f>IFERROR(__xludf.DUMMYFUNCTION("""COMPUTED_VALUE"""),"DOT2540081")</f>
        <v>DOT2540081</v>
      </c>
      <c r="B145" s="1">
        <f>IFERROR(__xludf.DUMMYFUNCTION("""COMPUTED_VALUE"""),39.0)</f>
        <v>39</v>
      </c>
      <c r="C145" s="1">
        <f>IFERROR(__xludf.DUMMYFUNCTION("""COMPUTED_VALUE"""),40.0)</f>
        <v>40</v>
      </c>
      <c r="D145" s="1">
        <f>IFERROR(__xludf.DUMMYFUNCTION("""COMPUTED_VALUE"""),39.0)</f>
        <v>39</v>
      </c>
      <c r="E145" s="1">
        <f>IFERROR(__xludf.DUMMYFUNCTION("""COMPUTED_VALUE"""),1.0)</f>
        <v>1</v>
      </c>
    </row>
    <row r="146">
      <c r="A146" s="1" t="str">
        <f>IFERROR(__xludf.DUMMYFUNCTION("""COMPUTED_VALUE"""),"DOT2540100")</f>
        <v>DOT2540100</v>
      </c>
      <c r="B146" s="1">
        <f>IFERROR(__xludf.DUMMYFUNCTION("""COMPUTED_VALUE"""),16.0)</f>
        <v>16</v>
      </c>
      <c r="C146" s="1">
        <f>IFERROR(__xludf.DUMMYFUNCTION("""COMPUTED_VALUE"""),117.0)</f>
        <v>117</v>
      </c>
      <c r="D146" s="1">
        <f>IFERROR(__xludf.DUMMYFUNCTION("""COMPUTED_VALUE"""),16.0)</f>
        <v>16</v>
      </c>
      <c r="E146" s="1">
        <f>IFERROR(__xludf.DUMMYFUNCTION("""COMPUTED_VALUE"""),101.0)</f>
        <v>101</v>
      </c>
    </row>
    <row r="147">
      <c r="A147" s="1" t="str">
        <f>IFERROR(__xludf.DUMMYFUNCTION("""COMPUTED_VALUE"""),"DOT2540120")</f>
        <v>DOT2540120</v>
      </c>
      <c r="B147" s="1">
        <f>IFERROR(__xludf.DUMMYFUNCTION("""COMPUTED_VALUE"""),70.0)</f>
        <v>70</v>
      </c>
      <c r="C147" s="1">
        <f>IFERROR(__xludf.DUMMYFUNCTION("""COMPUTED_VALUE"""),258.0)</f>
        <v>258</v>
      </c>
      <c r="D147" s="1">
        <f>IFERROR(__xludf.DUMMYFUNCTION("""COMPUTED_VALUE"""),71.0)</f>
        <v>71</v>
      </c>
      <c r="E147" s="1">
        <f>IFERROR(__xludf.DUMMYFUNCTION("""COMPUTED_VALUE"""),187.0)</f>
        <v>187</v>
      </c>
    </row>
    <row r="148">
      <c r="A148" s="1" t="str">
        <f>IFERROR(__xludf.DUMMYFUNCTION("""COMPUTED_VALUE"""),"DOT2858081")</f>
        <v>DOT2858081</v>
      </c>
      <c r="B148" s="1">
        <f>IFERROR(__xludf.DUMMYFUNCTION("""COMPUTED_VALUE"""),209.0)</f>
        <v>209</v>
      </c>
      <c r="C148" s="1">
        <f>IFERROR(__xludf.DUMMYFUNCTION("""COMPUTED_VALUE"""),392.0)</f>
        <v>392</v>
      </c>
      <c r="D148" s="1">
        <f>IFERROR(__xludf.DUMMYFUNCTION("""COMPUTED_VALUE"""),209.0)</f>
        <v>209</v>
      </c>
      <c r="E148" s="1">
        <f>IFERROR(__xludf.DUMMYFUNCTION("""COMPUTED_VALUE"""),183.0)</f>
        <v>183</v>
      </c>
    </row>
    <row r="149">
      <c r="A149" s="1" t="str">
        <f>IFERROR(__xludf.DUMMYFUNCTION("""COMPUTED_VALUE"""),"DOT2858100")</f>
        <v>DOT2858100</v>
      </c>
      <c r="B149" s="1">
        <f>IFERROR(__xludf.DUMMYFUNCTION("""COMPUTED_VALUE"""),258.0)</f>
        <v>258</v>
      </c>
      <c r="C149" s="1">
        <f>IFERROR(__xludf.DUMMYFUNCTION("""COMPUTED_VALUE"""),512.0)</f>
        <v>512</v>
      </c>
      <c r="D149" s="1">
        <f>IFERROR(__xludf.DUMMYFUNCTION("""COMPUTED_VALUE"""),266.0)</f>
        <v>266</v>
      </c>
      <c r="E149" s="1">
        <f>IFERROR(__xludf.DUMMYFUNCTION("""COMPUTED_VALUE"""),246.0)</f>
        <v>246</v>
      </c>
    </row>
    <row r="150">
      <c r="A150" s="1" t="str">
        <f>IFERROR(__xludf.DUMMYFUNCTION("""COMPUTED_VALUE"""),"DOT2858120")</f>
        <v>DOT2858120</v>
      </c>
      <c r="B150" s="1">
        <f>IFERROR(__xludf.DUMMYFUNCTION("""COMPUTED_VALUE"""),211.0)</f>
        <v>211</v>
      </c>
      <c r="C150" s="1">
        <f>IFERROR(__xludf.DUMMYFUNCTION("""COMPUTED_VALUE"""),480.0)</f>
        <v>480</v>
      </c>
      <c r="D150" s="1">
        <f>IFERROR(__xludf.DUMMYFUNCTION("""COMPUTED_VALUE"""),220.0)</f>
        <v>220</v>
      </c>
      <c r="E150" s="1">
        <f>IFERROR(__xludf.DUMMYFUNCTION("""COMPUTED_VALUE"""),260.0)</f>
        <v>260</v>
      </c>
    </row>
    <row r="151">
      <c r="A151" s="1" t="str">
        <f>IFERROR(__xludf.DUMMYFUNCTION("""COMPUTED_VALUE"""),"DOT285812729")</f>
        <v>DOT285812729</v>
      </c>
      <c r="B151" s="1">
        <f>IFERROR(__xludf.DUMMYFUNCTION("""COMPUTED_VALUE"""),151.0)</f>
        <v>151</v>
      </c>
      <c r="C151" s="1">
        <f>IFERROR(__xludf.DUMMYFUNCTION("""COMPUTED_VALUE"""),168.0)</f>
        <v>168</v>
      </c>
      <c r="D151" s="1">
        <f>IFERROR(__xludf.DUMMYFUNCTION("""COMPUTED_VALUE"""),151.0)</f>
        <v>151</v>
      </c>
      <c r="E151" s="1">
        <f>IFERROR(__xludf.DUMMYFUNCTION("""COMPUTED_VALUE"""),17.0)</f>
        <v>17</v>
      </c>
    </row>
    <row r="152">
      <c r="A152" s="1" t="str">
        <f>IFERROR(__xludf.DUMMYFUNCTION("""COMPUTED_VALUE"""),"DOT2858140")</f>
        <v>DOT2858140</v>
      </c>
      <c r="B152" s="1">
        <f>IFERROR(__xludf.DUMMYFUNCTION("""COMPUTED_VALUE"""),21.0)</f>
        <v>21</v>
      </c>
      <c r="C152" s="1">
        <f>IFERROR(__xludf.DUMMYFUNCTION("""COMPUTED_VALUE"""),21.0)</f>
        <v>21</v>
      </c>
      <c r="D152" s="1">
        <f>IFERROR(__xludf.DUMMYFUNCTION("""COMPUTED_VALUE"""),21.0)</f>
        <v>21</v>
      </c>
      <c r="E152" s="1">
        <f>IFERROR(__xludf.DUMMYFUNCTION("""COMPUTED_VALUE"""),0.0)</f>
        <v>0</v>
      </c>
    </row>
    <row r="153">
      <c r="A153" s="1" t="str">
        <f>IFERROR(__xludf.DUMMYFUNCTION("""COMPUTED_VALUE"""),"DOT3175100")</f>
        <v>DOT3175100</v>
      </c>
      <c r="B153" s="1">
        <f>IFERROR(__xludf.DUMMYFUNCTION("""COMPUTED_VALUE"""),63.0)</f>
        <v>63</v>
      </c>
      <c r="C153" s="1">
        <f>IFERROR(__xludf.DUMMYFUNCTION("""COMPUTED_VALUE"""),114.0)</f>
        <v>114</v>
      </c>
      <c r="D153" s="1">
        <f>IFERROR(__xludf.DUMMYFUNCTION("""COMPUTED_VALUE"""),63.0)</f>
        <v>63</v>
      </c>
      <c r="E153" s="1">
        <f>IFERROR(__xludf.DUMMYFUNCTION("""COMPUTED_VALUE"""),51.0)</f>
        <v>51</v>
      </c>
    </row>
    <row r="154">
      <c r="A154" s="1" t="str">
        <f>IFERROR(__xludf.DUMMYFUNCTION("""COMPUTED_VALUE"""),"DOT3175120")</f>
        <v>DOT3175120</v>
      </c>
      <c r="B154" s="1">
        <f>IFERROR(__xludf.DUMMYFUNCTION("""COMPUTED_VALUE"""),97.0)</f>
        <v>97</v>
      </c>
      <c r="C154" s="1">
        <f>IFERROR(__xludf.DUMMYFUNCTION("""COMPUTED_VALUE"""),140.0)</f>
        <v>140</v>
      </c>
      <c r="D154" s="1">
        <f>IFERROR(__xludf.DUMMYFUNCTION("""COMPUTED_VALUE"""),97.0)</f>
        <v>97</v>
      </c>
      <c r="E154" s="1">
        <f>IFERROR(__xludf.DUMMYFUNCTION("""COMPUTED_VALUE"""),43.0)</f>
        <v>43</v>
      </c>
    </row>
    <row r="155">
      <c r="A155" s="1" t="str">
        <f>IFERROR(__xludf.DUMMYFUNCTION("""COMPUTED_VALUE"""),"DOT3175127")</f>
        <v>DOT3175127</v>
      </c>
      <c r="B155" s="1">
        <f>IFERROR(__xludf.DUMMYFUNCTION("""COMPUTED_VALUE"""),1.0)</f>
        <v>1</v>
      </c>
      <c r="C155" s="1">
        <f>IFERROR(__xludf.DUMMYFUNCTION("""COMPUTED_VALUE"""),2.0)</f>
        <v>2</v>
      </c>
      <c r="D155" s="1">
        <f>IFERROR(__xludf.DUMMYFUNCTION("""COMPUTED_VALUE"""),2.0)</f>
        <v>2</v>
      </c>
      <c r="E155" s="1">
        <f>IFERROR(__xludf.DUMMYFUNCTION("""COMPUTED_VALUE"""),0.0)</f>
        <v>0</v>
      </c>
    </row>
    <row r="156">
      <c r="A156" s="1" t="str">
        <f>IFERROR(__xludf.DUMMYFUNCTION("""COMPUTED_VALUE"""),"DOT3175140")</f>
        <v>DOT3175140</v>
      </c>
      <c r="B156" s="1">
        <f>IFERROR(__xludf.DUMMYFUNCTION("""COMPUTED_VALUE"""),444.0)</f>
        <v>444</v>
      </c>
      <c r="C156" s="1">
        <f>IFERROR(__xludf.DUMMYFUNCTION("""COMPUTED_VALUE"""),444.0)</f>
        <v>444</v>
      </c>
      <c r="D156" s="1">
        <f>IFERROR(__xludf.DUMMYFUNCTION("""COMPUTED_VALUE"""),444.0)</f>
        <v>444</v>
      </c>
      <c r="E156" s="1">
        <f>IFERROR(__xludf.DUMMYFUNCTION("""COMPUTED_VALUE"""),0.0)</f>
        <v>0</v>
      </c>
    </row>
    <row r="157">
      <c r="A157" s="1" t="str">
        <f>IFERROR(__xludf.DUMMYFUNCTION("""COMPUTED_VALUE"""),"DOT3493100")</f>
        <v>DOT3493100</v>
      </c>
      <c r="B157" s="1">
        <f>IFERROR(__xludf.DUMMYFUNCTION("""COMPUTED_VALUE"""),86.0)</f>
        <v>86</v>
      </c>
      <c r="C157" s="1">
        <f>IFERROR(__xludf.DUMMYFUNCTION("""COMPUTED_VALUE"""),246.0)</f>
        <v>246</v>
      </c>
      <c r="D157" s="1">
        <f>IFERROR(__xludf.DUMMYFUNCTION("""COMPUTED_VALUE"""),86.0)</f>
        <v>86</v>
      </c>
      <c r="E157" s="1">
        <f>IFERROR(__xludf.DUMMYFUNCTION("""COMPUTED_VALUE"""),160.0)</f>
        <v>160</v>
      </c>
    </row>
    <row r="158">
      <c r="A158" s="1" t="str">
        <f>IFERROR(__xludf.DUMMYFUNCTION("""COMPUTED_VALUE"""),"DOT3493120")</f>
        <v>DOT3493120</v>
      </c>
      <c r="B158" s="1">
        <f>IFERROR(__xludf.DUMMYFUNCTION("""COMPUTED_VALUE"""),217.0)</f>
        <v>217</v>
      </c>
      <c r="C158" s="1">
        <f>IFERROR(__xludf.DUMMYFUNCTION("""COMPUTED_VALUE"""),394.0)</f>
        <v>394</v>
      </c>
      <c r="D158" s="1">
        <f>IFERROR(__xludf.DUMMYFUNCTION("""COMPUTED_VALUE"""),217.0)</f>
        <v>217</v>
      </c>
      <c r="E158" s="1">
        <f>IFERROR(__xludf.DUMMYFUNCTION("""COMPUTED_VALUE"""),177.0)</f>
        <v>177</v>
      </c>
    </row>
    <row r="159">
      <c r="A159" s="1" t="str">
        <f>IFERROR(__xludf.DUMMYFUNCTION("""COMPUTED_VALUE"""),"DOT3493140")</f>
        <v>DOT3493140</v>
      </c>
      <c r="B159" s="1">
        <f>IFERROR(__xludf.DUMMYFUNCTION("""COMPUTED_VALUE"""),118.0)</f>
        <v>118</v>
      </c>
      <c r="C159" s="1">
        <f>IFERROR(__xludf.DUMMYFUNCTION("""COMPUTED_VALUE"""),160.0)</f>
        <v>160</v>
      </c>
      <c r="D159" s="1">
        <f>IFERROR(__xludf.DUMMYFUNCTION("""COMPUTED_VALUE"""),118.0)</f>
        <v>118</v>
      </c>
      <c r="E159" s="1">
        <f>IFERROR(__xludf.DUMMYFUNCTION("""COMPUTED_VALUE"""),42.0)</f>
        <v>42</v>
      </c>
    </row>
    <row r="160">
      <c r="A160" s="1" t="str">
        <f>IFERROR(__xludf.DUMMYFUNCTION("""COMPUTED_VALUE"""),"DOT3810100")</f>
        <v>DOT3810100</v>
      </c>
      <c r="B160" s="1">
        <f>IFERROR(__xludf.DUMMYFUNCTION("""COMPUTED_VALUE"""),85.0)</f>
        <v>85</v>
      </c>
      <c r="C160" s="1">
        <f>IFERROR(__xludf.DUMMYFUNCTION("""COMPUTED_VALUE"""),91.0)</f>
        <v>91</v>
      </c>
      <c r="D160" s="1">
        <f>IFERROR(__xludf.DUMMYFUNCTION("""COMPUTED_VALUE"""),85.0)</f>
        <v>85</v>
      </c>
      <c r="E160" s="1">
        <f>IFERROR(__xludf.DUMMYFUNCTION("""COMPUTED_VALUE"""),6.0)</f>
        <v>6</v>
      </c>
    </row>
    <row r="161">
      <c r="A161" s="1" t="str">
        <f>IFERROR(__xludf.DUMMYFUNCTION("""COMPUTED_VALUE"""),"DOT3810120(NM)")</f>
        <v>DOT3810120(NM)</v>
      </c>
      <c r="B161" s="1">
        <f>IFERROR(__xludf.DUMMYFUNCTION("""COMPUTED_VALUE"""),113.0)</f>
        <v>113</v>
      </c>
      <c r="C161" s="1">
        <f>IFERROR(__xludf.DUMMYFUNCTION("""COMPUTED_VALUE"""),123.0)</f>
        <v>123</v>
      </c>
      <c r="D161" s="1">
        <f>IFERROR(__xludf.DUMMYFUNCTION("""COMPUTED_VALUE"""),113.0)</f>
        <v>113</v>
      </c>
      <c r="E161" s="1">
        <f>IFERROR(__xludf.DUMMYFUNCTION("""COMPUTED_VALUE"""),10.0)</f>
        <v>10</v>
      </c>
    </row>
    <row r="162">
      <c r="A162" s="1" t="str">
        <f>IFERROR(__xludf.DUMMYFUNCTION("""COMPUTED_VALUE"""),"DOT3810140")</f>
        <v>DOT3810140</v>
      </c>
      <c r="B162" s="1">
        <f>IFERROR(__xludf.DUMMYFUNCTION("""COMPUTED_VALUE"""),69.0)</f>
        <v>69</v>
      </c>
      <c r="C162" s="1">
        <f>IFERROR(__xludf.DUMMYFUNCTION("""COMPUTED_VALUE"""),158.0)</f>
        <v>158</v>
      </c>
      <c r="D162" s="1">
        <f>IFERROR(__xludf.DUMMYFUNCTION("""COMPUTED_VALUE"""),69.0)</f>
        <v>69</v>
      </c>
      <c r="E162" s="1">
        <f>IFERROR(__xludf.DUMMYFUNCTION("""COMPUTED_VALUE"""),89.0)</f>
        <v>89</v>
      </c>
    </row>
    <row r="163">
      <c r="A163" s="1" t="str">
        <f>IFERROR(__xludf.DUMMYFUNCTION("""COMPUTED_VALUE"""),"DOT4128100")</f>
        <v>DOT4128100</v>
      </c>
      <c r="B163" s="1">
        <f>IFERROR(__xludf.DUMMYFUNCTION("""COMPUTED_VALUE"""),59.0)</f>
        <v>59</v>
      </c>
      <c r="C163" s="1">
        <f>IFERROR(__xludf.DUMMYFUNCTION("""COMPUTED_VALUE"""),155.0)</f>
        <v>155</v>
      </c>
      <c r="D163" s="1">
        <f>IFERROR(__xludf.DUMMYFUNCTION("""COMPUTED_VALUE"""),59.0)</f>
        <v>59</v>
      </c>
      <c r="E163" s="1">
        <f>IFERROR(__xludf.DUMMYFUNCTION("""COMPUTED_VALUE"""),96.0)</f>
        <v>96</v>
      </c>
    </row>
    <row r="164">
      <c r="A164" s="1" t="str">
        <f>IFERROR(__xludf.DUMMYFUNCTION("""COMPUTED_VALUE"""),"DOT4128120(NM)")</f>
        <v>DOT4128120(NM)</v>
      </c>
      <c r="B164" s="1">
        <f>IFERROR(__xludf.DUMMYFUNCTION("""COMPUTED_VALUE"""),152.0)</f>
        <v>152</v>
      </c>
      <c r="C164" s="1">
        <f>IFERROR(__xludf.DUMMYFUNCTION("""COMPUTED_VALUE"""),249.0)</f>
        <v>249</v>
      </c>
      <c r="D164" s="1">
        <f>IFERROR(__xludf.DUMMYFUNCTION("""COMPUTED_VALUE"""),152.0)</f>
        <v>152</v>
      </c>
      <c r="E164" s="1">
        <f>IFERROR(__xludf.DUMMYFUNCTION("""COMPUTED_VALUE"""),97.0)</f>
        <v>97</v>
      </c>
    </row>
    <row r="165">
      <c r="A165" s="1" t="str">
        <f>IFERROR(__xludf.DUMMYFUNCTION("""COMPUTED_VALUE"""),"DOT4128140")</f>
        <v>DOT4128140</v>
      </c>
      <c r="B165" s="1">
        <f>IFERROR(__xludf.DUMMYFUNCTION("""COMPUTED_VALUE"""),83.0)</f>
        <v>83</v>
      </c>
      <c r="C165" s="1">
        <f>IFERROR(__xludf.DUMMYFUNCTION("""COMPUTED_VALUE"""),110.0)</f>
        <v>110</v>
      </c>
      <c r="D165" s="1">
        <f>IFERROR(__xludf.DUMMYFUNCTION("""COMPUTED_VALUE"""),83.0)</f>
        <v>83</v>
      </c>
      <c r="E165" s="1">
        <f>IFERROR(__xludf.DUMMYFUNCTION("""COMPUTED_VALUE"""),27.0)</f>
        <v>27</v>
      </c>
    </row>
    <row r="166">
      <c r="A166" s="1" t="str">
        <f>IFERROR(__xludf.DUMMYFUNCTION("""COMPUTED_VALUE"""),"DOT4128143")</f>
        <v>DOT4128143</v>
      </c>
      <c r="B166" s="1">
        <f>IFERROR(__xludf.DUMMYFUNCTION("""COMPUTED_VALUE"""),0.0)</f>
        <v>0</v>
      </c>
      <c r="C166" s="1">
        <f>IFERROR(__xludf.DUMMYFUNCTION("""COMPUTED_VALUE"""),1.0)</f>
        <v>1</v>
      </c>
      <c r="D166" s="1">
        <f>IFERROR(__xludf.DUMMYFUNCTION("""COMPUTED_VALUE"""),1.0)</f>
        <v>1</v>
      </c>
      <c r="E166" s="1">
        <f>IFERROR(__xludf.DUMMYFUNCTION("""COMPUTED_VALUE"""),0.0)</f>
        <v>0</v>
      </c>
    </row>
    <row r="167">
      <c r="A167" s="1" t="str">
        <f>IFERROR(__xludf.DUMMYFUNCTION("""COMPUTED_VALUE"""),"DOT4128150")</f>
        <v>DOT4128150</v>
      </c>
      <c r="B167" s="1">
        <f>IFERROR(__xludf.DUMMYFUNCTION("""COMPUTED_VALUE"""),45.0)</f>
        <v>45</v>
      </c>
      <c r="C167" s="1">
        <f>IFERROR(__xludf.DUMMYFUNCTION("""COMPUTED_VALUE"""),45.0)</f>
        <v>45</v>
      </c>
      <c r="D167" s="1">
        <f>IFERROR(__xludf.DUMMYFUNCTION("""COMPUTED_VALUE"""),45.0)</f>
        <v>45</v>
      </c>
      <c r="E167" s="1">
        <f>IFERROR(__xludf.DUMMYFUNCTION("""COMPUTED_VALUE"""),0.0)</f>
        <v>0</v>
      </c>
    </row>
    <row r="168">
      <c r="A168" s="1" t="str">
        <f>IFERROR(__xludf.DUMMYFUNCTION("""COMPUTED_VALUE"""),"DOT4128152")</f>
        <v>DOT4128152</v>
      </c>
      <c r="B168" s="1">
        <f>IFERROR(__xludf.DUMMYFUNCTION("""COMPUTED_VALUE"""),23.0)</f>
        <v>23</v>
      </c>
      <c r="C168" s="1">
        <f>IFERROR(__xludf.DUMMYFUNCTION("""COMPUTED_VALUE"""),64.0)</f>
        <v>64</v>
      </c>
      <c r="D168" s="1">
        <f>IFERROR(__xludf.DUMMYFUNCTION("""COMPUTED_VALUE"""),23.0)</f>
        <v>23</v>
      </c>
      <c r="E168" s="1">
        <f>IFERROR(__xludf.DUMMYFUNCTION("""COMPUTED_VALUE"""),41.0)</f>
        <v>41</v>
      </c>
    </row>
    <row r="169">
      <c r="A169" s="1" t="str">
        <f>IFERROR(__xludf.DUMMYFUNCTION("""COMPUTED_VALUE"""),"DOT4128155")</f>
        <v>DOT4128155</v>
      </c>
      <c r="B169" s="1">
        <f>IFERROR(__xludf.DUMMYFUNCTION("""COMPUTED_VALUE"""),4.0)</f>
        <v>4</v>
      </c>
      <c r="C169" s="1">
        <f>IFERROR(__xludf.DUMMYFUNCTION("""COMPUTED_VALUE"""),4.0)</f>
        <v>4</v>
      </c>
      <c r="D169" s="1">
        <f>IFERROR(__xludf.DUMMYFUNCTION("""COMPUTED_VALUE"""),4.0)</f>
        <v>4</v>
      </c>
      <c r="E169" s="1">
        <f>IFERROR(__xludf.DUMMYFUNCTION("""COMPUTED_VALUE"""),0.0)</f>
        <v>0</v>
      </c>
    </row>
    <row r="170">
      <c r="A170" s="1" t="str">
        <f>IFERROR(__xludf.DUMMYFUNCTION("""COMPUTED_VALUE"""),"DOTHL222208129")</f>
        <v>DOTHL222208129</v>
      </c>
      <c r="B170" s="1">
        <f>IFERROR(__xludf.DUMMYFUNCTION("""COMPUTED_VALUE"""),342.0)</f>
        <v>342</v>
      </c>
      <c r="C170" s="1">
        <f>IFERROR(__xludf.DUMMYFUNCTION("""COMPUTED_VALUE"""),693.0)</f>
        <v>693</v>
      </c>
      <c r="D170" s="1">
        <f>IFERROR(__xludf.DUMMYFUNCTION("""COMPUTED_VALUE"""),342.0)</f>
        <v>342</v>
      </c>
      <c r="E170" s="1">
        <f>IFERROR(__xludf.DUMMYFUNCTION("""COMPUTED_VALUE"""),351.0)</f>
        <v>351</v>
      </c>
    </row>
    <row r="171">
      <c r="A171" s="1" t="str">
        <f>IFERROR(__xludf.DUMMYFUNCTION("""COMPUTED_VALUE"""),"DOTHL222210229")</f>
        <v>DOTHL222210229</v>
      </c>
      <c r="B171" s="1">
        <f>IFERROR(__xludf.DUMMYFUNCTION("""COMPUTED_VALUE"""),1220.0)</f>
        <v>1220</v>
      </c>
      <c r="C171" s="1">
        <f>IFERROR(__xludf.DUMMYFUNCTION("""COMPUTED_VALUE"""),1423.0)</f>
        <v>1423</v>
      </c>
      <c r="D171" s="1">
        <f>IFERROR(__xludf.DUMMYFUNCTION("""COMPUTED_VALUE"""),1220.0)</f>
        <v>1220</v>
      </c>
      <c r="E171" s="1">
        <f>IFERROR(__xludf.DUMMYFUNCTION("""COMPUTED_VALUE"""),203.0)</f>
        <v>203</v>
      </c>
    </row>
    <row r="172">
      <c r="A172" s="1" t="str">
        <f>IFERROR(__xludf.DUMMYFUNCTION("""COMPUTED_VALUE"""),"DOTHL22221229")</f>
        <v>DOTHL22221229</v>
      </c>
      <c r="B172" s="1">
        <f>IFERROR(__xludf.DUMMYFUNCTION("""COMPUTED_VALUE"""),255.0)</f>
        <v>255</v>
      </c>
      <c r="C172" s="1">
        <f>IFERROR(__xludf.DUMMYFUNCTION("""COMPUTED_VALUE"""),311.0)</f>
        <v>311</v>
      </c>
      <c r="D172" s="1">
        <f>IFERROR(__xludf.DUMMYFUNCTION("""COMPUTED_VALUE"""),255.0)</f>
        <v>255</v>
      </c>
      <c r="E172" s="1">
        <f>IFERROR(__xludf.DUMMYFUNCTION("""COMPUTED_VALUE"""),56.0)</f>
        <v>56</v>
      </c>
    </row>
    <row r="173">
      <c r="A173" s="1" t="str">
        <f>IFERROR(__xludf.DUMMYFUNCTION("""COMPUTED_VALUE"""),"DOTHL254010229")</f>
        <v>DOTHL254010229</v>
      </c>
      <c r="B173" s="1">
        <f>IFERROR(__xludf.DUMMYFUNCTION("""COMPUTED_VALUE"""),478.0)</f>
        <v>478</v>
      </c>
      <c r="C173" s="1">
        <f>IFERROR(__xludf.DUMMYFUNCTION("""COMPUTED_VALUE"""),642.0)</f>
        <v>642</v>
      </c>
      <c r="D173" s="1">
        <f>IFERROR(__xludf.DUMMYFUNCTION("""COMPUTED_VALUE"""),478.0)</f>
        <v>478</v>
      </c>
      <c r="E173" s="1">
        <f>IFERROR(__xludf.DUMMYFUNCTION("""COMPUTED_VALUE"""),164.0)</f>
        <v>164</v>
      </c>
    </row>
    <row r="174">
      <c r="A174" s="1" t="str">
        <f>IFERROR(__xludf.DUMMYFUNCTION("""COMPUTED_VALUE"""),"DOTHL254012029")</f>
        <v>DOTHL254012029</v>
      </c>
      <c r="B174" s="1">
        <f>IFERROR(__xludf.DUMMYFUNCTION("""COMPUTED_VALUE"""),36.0)</f>
        <v>36</v>
      </c>
      <c r="C174" s="1">
        <f>IFERROR(__xludf.DUMMYFUNCTION("""COMPUTED_VALUE"""),37.0)</f>
        <v>37</v>
      </c>
      <c r="D174" s="1">
        <f>IFERROR(__xludf.DUMMYFUNCTION("""COMPUTED_VALUE"""),36.0)</f>
        <v>36</v>
      </c>
      <c r="E174" s="1">
        <f>IFERROR(__xludf.DUMMYFUNCTION("""COMPUTED_VALUE"""),1.0)</f>
        <v>1</v>
      </c>
    </row>
    <row r="175">
      <c r="A175" s="1" t="str">
        <f>IFERROR(__xludf.DUMMYFUNCTION("""COMPUTED_VALUE"""),"DOTHL285810229")</f>
        <v>DOTHL285810229</v>
      </c>
      <c r="B175" s="1">
        <f>IFERROR(__xludf.DUMMYFUNCTION("""COMPUTED_VALUE"""),1455.0)</f>
        <v>1455</v>
      </c>
      <c r="C175" s="1">
        <f>IFERROR(__xludf.DUMMYFUNCTION("""COMPUTED_VALUE"""),1644.0)</f>
        <v>1644</v>
      </c>
      <c r="D175" s="1">
        <f>IFERROR(__xludf.DUMMYFUNCTION("""COMPUTED_VALUE"""),1455.0)</f>
        <v>1455</v>
      </c>
      <c r="E175" s="1">
        <f>IFERROR(__xludf.DUMMYFUNCTION("""COMPUTED_VALUE"""),189.0)</f>
        <v>189</v>
      </c>
    </row>
    <row r="176">
      <c r="A176" s="1" t="str">
        <f>IFERROR(__xludf.DUMMYFUNCTION("""COMPUTED_VALUE"""),"DOTHL285812229")</f>
        <v>DOTHL285812229</v>
      </c>
      <c r="B176" s="1">
        <f>IFERROR(__xludf.DUMMYFUNCTION("""COMPUTED_VALUE"""),371.0)</f>
        <v>371</v>
      </c>
      <c r="C176" s="1">
        <f>IFERROR(__xludf.DUMMYFUNCTION("""COMPUTED_VALUE"""),537.0)</f>
        <v>537</v>
      </c>
      <c r="D176" s="1">
        <f>IFERROR(__xludf.DUMMYFUNCTION("""COMPUTED_VALUE"""),371.0)</f>
        <v>371</v>
      </c>
      <c r="E176" s="1">
        <f>IFERROR(__xludf.DUMMYFUNCTION("""COMPUTED_VALUE"""),166.0)</f>
        <v>166</v>
      </c>
    </row>
    <row r="177">
      <c r="A177" s="1" t="str">
        <f>IFERROR(__xludf.DUMMYFUNCTION("""COMPUTED_VALUE"""),"DOTHL317510229")</f>
        <v>DOTHL317510229</v>
      </c>
      <c r="B177" s="1">
        <f>IFERROR(__xludf.DUMMYFUNCTION("""COMPUTED_VALUE"""),333.0)</f>
        <v>333</v>
      </c>
      <c r="C177" s="1">
        <f>IFERROR(__xludf.DUMMYFUNCTION("""COMPUTED_VALUE"""),371.0)</f>
        <v>371</v>
      </c>
      <c r="D177" s="1">
        <f>IFERROR(__xludf.DUMMYFUNCTION("""COMPUTED_VALUE"""),333.0)</f>
        <v>333</v>
      </c>
      <c r="E177" s="1">
        <f>IFERROR(__xludf.DUMMYFUNCTION("""COMPUTED_VALUE"""),38.0)</f>
        <v>38</v>
      </c>
    </row>
    <row r="178">
      <c r="A178" s="1" t="str">
        <f>IFERROR(__xludf.DUMMYFUNCTION("""COMPUTED_VALUE"""),"DOTHL317512229")</f>
        <v>DOTHL317512229</v>
      </c>
      <c r="B178" s="1">
        <f>IFERROR(__xludf.DUMMYFUNCTION("""COMPUTED_VALUE"""),205.0)</f>
        <v>205</v>
      </c>
      <c r="C178" s="1">
        <f>IFERROR(__xludf.DUMMYFUNCTION("""COMPUTED_VALUE"""),346.0)</f>
        <v>346</v>
      </c>
      <c r="D178" s="1">
        <f>IFERROR(__xludf.DUMMYFUNCTION("""COMPUTED_VALUE"""),205.0)</f>
        <v>205</v>
      </c>
      <c r="E178" s="1">
        <f>IFERROR(__xludf.DUMMYFUNCTION("""COMPUTED_VALUE"""),141.0)</f>
        <v>141</v>
      </c>
    </row>
    <row r="179">
      <c r="A179" s="1" t="str">
        <f>IFERROR(__xludf.DUMMYFUNCTION("""COMPUTED_VALUE"""),"DOTHL349310229")</f>
        <v>DOTHL349310229</v>
      </c>
      <c r="B179" s="1">
        <f>IFERROR(__xludf.DUMMYFUNCTION("""COMPUTED_VALUE"""),525.0)</f>
        <v>525</v>
      </c>
      <c r="C179" s="1">
        <f>IFERROR(__xludf.DUMMYFUNCTION("""COMPUTED_VALUE"""),582.0)</f>
        <v>582</v>
      </c>
      <c r="D179" s="1">
        <f>IFERROR(__xludf.DUMMYFUNCTION("""COMPUTED_VALUE"""),525.0)</f>
        <v>525</v>
      </c>
      <c r="E179" s="1">
        <f>IFERROR(__xludf.DUMMYFUNCTION("""COMPUTED_VALUE"""),57.0)</f>
        <v>57</v>
      </c>
    </row>
    <row r="180">
      <c r="A180" s="1" t="str">
        <f>IFERROR(__xludf.DUMMYFUNCTION("""COMPUTED_VALUE"""),"DOTHL349312229")</f>
        <v>DOTHL349312229</v>
      </c>
      <c r="B180" s="1">
        <f>IFERROR(__xludf.DUMMYFUNCTION("""COMPUTED_VALUE"""),704.0)</f>
        <v>704</v>
      </c>
      <c r="C180" s="1">
        <f>IFERROR(__xludf.DUMMYFUNCTION("""COMPUTED_VALUE"""),886.0)</f>
        <v>886</v>
      </c>
      <c r="D180" s="1">
        <f>IFERROR(__xludf.DUMMYFUNCTION("""COMPUTED_VALUE"""),755.0)</f>
        <v>755</v>
      </c>
      <c r="E180" s="1">
        <f>IFERROR(__xludf.DUMMYFUNCTION("""COMPUTED_VALUE"""),131.0)</f>
        <v>131</v>
      </c>
    </row>
    <row r="181">
      <c r="A181" s="1" t="str">
        <f>IFERROR(__xludf.DUMMYFUNCTION("""COMPUTED_VALUE"""),"DOTHL349314329")</f>
        <v>DOTHL349314329</v>
      </c>
      <c r="B181" s="1">
        <f>IFERROR(__xludf.DUMMYFUNCTION("""COMPUTED_VALUE"""),2.0)</f>
        <v>2</v>
      </c>
      <c r="C181" s="1">
        <f>IFERROR(__xludf.DUMMYFUNCTION("""COMPUTED_VALUE"""),149.0)</f>
        <v>149</v>
      </c>
      <c r="D181" s="1">
        <f>IFERROR(__xludf.DUMMYFUNCTION("""COMPUTED_VALUE"""),2.0)</f>
        <v>2</v>
      </c>
      <c r="E181" s="1">
        <f>IFERROR(__xludf.DUMMYFUNCTION("""COMPUTED_VALUE"""),147.0)</f>
        <v>147</v>
      </c>
    </row>
    <row r="182">
      <c r="A182" s="1" t="str">
        <f>IFERROR(__xludf.DUMMYFUNCTION("""COMPUTED_VALUE"""),"DOTHL381012229")</f>
        <v>DOTHL381012229</v>
      </c>
      <c r="B182" s="1">
        <f>IFERROR(__xludf.DUMMYFUNCTION("""COMPUTED_VALUE"""),186.0)</f>
        <v>186</v>
      </c>
      <c r="C182" s="1">
        <f>IFERROR(__xludf.DUMMYFUNCTION("""COMPUTED_VALUE"""),186.0)</f>
        <v>186</v>
      </c>
      <c r="D182" s="1">
        <f>IFERROR(__xludf.DUMMYFUNCTION("""COMPUTED_VALUE"""),186.0)</f>
        <v>186</v>
      </c>
      <c r="E182" s="1">
        <f>IFERROR(__xludf.DUMMYFUNCTION("""COMPUTED_VALUE"""),0.0)</f>
        <v>0</v>
      </c>
    </row>
    <row r="183">
      <c r="A183" s="1" t="str">
        <f>IFERROR(__xludf.DUMMYFUNCTION("""COMPUTED_VALUE"""),"DOTHL412810229")</f>
        <v>DOTHL412810229</v>
      </c>
      <c r="B183" s="1">
        <f>IFERROR(__xludf.DUMMYFUNCTION("""COMPUTED_VALUE"""),104.0)</f>
        <v>104</v>
      </c>
      <c r="C183" s="1">
        <f>IFERROR(__xludf.DUMMYFUNCTION("""COMPUTED_VALUE"""),104.0)</f>
        <v>104</v>
      </c>
      <c r="D183" s="1">
        <f>IFERROR(__xludf.DUMMYFUNCTION("""COMPUTED_VALUE"""),104.0)</f>
        <v>104</v>
      </c>
      <c r="E183" s="1">
        <f>IFERROR(__xludf.DUMMYFUNCTION("""COMPUTED_VALUE"""),0.0)</f>
        <v>0</v>
      </c>
    </row>
    <row r="184">
      <c r="A184" s="1" t="str">
        <f>IFERROR(__xludf.DUMMYFUNCTION("""COMPUTED_VALUE"""),"DOTHL412812229")</f>
        <v>DOTHL412812229</v>
      </c>
      <c r="B184" s="1">
        <f>IFERROR(__xludf.DUMMYFUNCTION("""COMPUTED_VALUE"""),625.0)</f>
        <v>625</v>
      </c>
      <c r="C184" s="1">
        <f>IFERROR(__xludf.DUMMYFUNCTION("""COMPUTED_VALUE"""),788.0)</f>
        <v>788</v>
      </c>
      <c r="D184" s="1">
        <f>IFERROR(__xludf.DUMMYFUNCTION("""COMPUTED_VALUE"""),625.0)</f>
        <v>625</v>
      </c>
      <c r="E184" s="1">
        <f>IFERROR(__xludf.DUMMYFUNCTION("""COMPUTED_VALUE"""),163.0)</f>
        <v>163</v>
      </c>
    </row>
    <row r="185">
      <c r="A185" s="1" t="str">
        <f>IFERROR(__xludf.DUMMYFUNCTION("""COMPUTED_VALUE"""),"DOTHL412814329")</f>
        <v>DOTHL412814329</v>
      </c>
      <c r="B185" s="1">
        <f>IFERROR(__xludf.DUMMYFUNCTION("""COMPUTED_VALUE"""),760.0)</f>
        <v>760</v>
      </c>
      <c r="C185" s="1">
        <f>IFERROR(__xludf.DUMMYFUNCTION("""COMPUTED_VALUE"""),1009.0)</f>
        <v>1009</v>
      </c>
      <c r="D185" s="1">
        <f>IFERROR(__xludf.DUMMYFUNCTION("""COMPUTED_VALUE"""),760.0)</f>
        <v>760</v>
      </c>
      <c r="E185" s="1">
        <f>IFERROR(__xludf.DUMMYFUNCTION("""COMPUTED_VALUE"""),249.0)</f>
        <v>249</v>
      </c>
    </row>
    <row r="186">
      <c r="A186" s="1" t="str">
        <f>IFERROR(__xludf.DUMMYFUNCTION("""COMPUTED_VALUE"""),"DOTHL412815229")</f>
        <v>DOTHL412815229</v>
      </c>
      <c r="B186" s="1">
        <f>IFERROR(__xludf.DUMMYFUNCTION("""COMPUTED_VALUE"""),237.0)</f>
        <v>237</v>
      </c>
      <c r="C186" s="1">
        <f>IFERROR(__xludf.DUMMYFUNCTION("""COMPUTED_VALUE"""),356.0)</f>
        <v>356</v>
      </c>
      <c r="D186" s="1">
        <f>IFERROR(__xludf.DUMMYFUNCTION("""COMPUTED_VALUE"""),237.0)</f>
        <v>237</v>
      </c>
      <c r="E186" s="1">
        <f>IFERROR(__xludf.DUMMYFUNCTION("""COMPUTED_VALUE"""),119.0)</f>
        <v>119</v>
      </c>
    </row>
    <row r="187">
      <c r="A187" s="1" t="str">
        <f>IFERROR(__xludf.DUMMYFUNCTION("""COMPUTED_VALUE"""),"DOTHL539412229")</f>
        <v>DOTHL539412229</v>
      </c>
      <c r="B187" s="1">
        <f>IFERROR(__xludf.DUMMYFUNCTION("""COMPUTED_VALUE"""),144.0)</f>
        <v>144</v>
      </c>
      <c r="C187" s="1">
        <f>IFERROR(__xludf.DUMMYFUNCTION("""COMPUTED_VALUE"""),144.0)</f>
        <v>144</v>
      </c>
      <c r="D187" s="1">
        <f>IFERROR(__xludf.DUMMYFUNCTION("""COMPUTED_VALUE"""),144.0)</f>
        <v>144</v>
      </c>
      <c r="E187" s="1">
        <f>IFERROR(__xludf.DUMMYFUNCTION("""COMPUTED_VALUE"""),0.0)</f>
        <v>0</v>
      </c>
    </row>
    <row r="188">
      <c r="A188" s="1" t="str">
        <f>IFERROR(__xludf.DUMMYFUNCTION("""COMPUTED_VALUE"""),"DOTHL539812229")</f>
        <v>DOTHL539812229</v>
      </c>
      <c r="B188" s="1">
        <f>IFERROR(__xludf.DUMMYFUNCTION("""COMPUTED_VALUE"""),0.0)</f>
        <v>0</v>
      </c>
      <c r="C188" s="1">
        <f>IFERROR(__xludf.DUMMYFUNCTION("""COMPUTED_VALUE"""),0.0)</f>
        <v>0</v>
      </c>
      <c r="D188" s="1">
        <f>IFERROR(__xludf.DUMMYFUNCTION("""COMPUTED_VALUE"""),0.0)</f>
        <v>0</v>
      </c>
      <c r="E188" s="1">
        <f>IFERROR(__xludf.DUMMYFUNCTION("""COMPUTED_VALUE"""),0.0)</f>
        <v>0</v>
      </c>
    </row>
    <row r="189">
      <c r="A189" s="1" t="str">
        <f>IFERROR(__xludf.DUMMYFUNCTION("""COMPUTED_VALUE"""),"DOTHL539814329")</f>
        <v>DOTHL539814329</v>
      </c>
      <c r="B189" s="1">
        <f>IFERROR(__xludf.DUMMYFUNCTION("""COMPUTED_VALUE"""),228.0)</f>
        <v>228</v>
      </c>
      <c r="C189" s="1">
        <f>IFERROR(__xludf.DUMMYFUNCTION("""COMPUTED_VALUE"""),241.0)</f>
        <v>241</v>
      </c>
      <c r="D189" s="1">
        <f>IFERROR(__xludf.DUMMYFUNCTION("""COMPUTED_VALUE"""),228.0)</f>
        <v>228</v>
      </c>
      <c r="E189" s="1">
        <f>IFERROR(__xludf.DUMMYFUNCTION("""COMPUTED_VALUE"""),13.0)</f>
        <v>13</v>
      </c>
    </row>
    <row r="190">
      <c r="A190" s="1" t="str">
        <f>IFERROR(__xludf.DUMMYFUNCTION("""COMPUTED_VALUE"""),"DOTHL539816029")</f>
        <v>DOTHL539816029</v>
      </c>
      <c r="B190" s="1">
        <f>IFERROR(__xludf.DUMMYFUNCTION("""COMPUTED_VALUE"""),136.0)</f>
        <v>136</v>
      </c>
      <c r="C190" s="1">
        <f>IFERROR(__xludf.DUMMYFUNCTION("""COMPUTED_VALUE"""),136.0)</f>
        <v>136</v>
      </c>
      <c r="D190" s="1">
        <f>IFERROR(__xludf.DUMMYFUNCTION("""COMPUTED_VALUE"""),136.0)</f>
        <v>136</v>
      </c>
      <c r="E190" s="1">
        <f>IFERROR(__xludf.DUMMYFUNCTION("""COMPUTED_VALUE"""),0.0)</f>
        <v>0</v>
      </c>
    </row>
    <row r="191">
      <c r="A191" s="1" t="str">
        <f>IFERROR(__xludf.DUMMYFUNCTION("""COMPUTED_VALUE"""),"DOTHL762014029")</f>
        <v>DOTHL762014029</v>
      </c>
      <c r="B191" s="1">
        <f>IFERROR(__xludf.DUMMYFUNCTION("""COMPUTED_VALUE"""),1.0)</f>
        <v>1</v>
      </c>
      <c r="C191" s="1">
        <f>IFERROR(__xludf.DUMMYFUNCTION("""COMPUTED_VALUE"""),1.0)</f>
        <v>1</v>
      </c>
      <c r="D191" s="1">
        <f>IFERROR(__xludf.DUMMYFUNCTION("""COMPUTED_VALUE"""),1.0)</f>
        <v>1</v>
      </c>
      <c r="E191" s="1">
        <f>IFERROR(__xludf.DUMMYFUNCTION("""COMPUTED_VALUE"""),0.0)</f>
        <v>0</v>
      </c>
    </row>
    <row r="192">
      <c r="A192" s="1" t="str">
        <f>IFERROR(__xludf.DUMMYFUNCTION("""COMPUTED_VALUE"""),"DOTHL762023029")</f>
        <v>DOTHL762023029</v>
      </c>
      <c r="B192" s="1">
        <f>IFERROR(__xludf.DUMMYFUNCTION("""COMPUTED_VALUE"""),2.0)</f>
        <v>2</v>
      </c>
      <c r="C192" s="1">
        <f>IFERROR(__xludf.DUMMYFUNCTION("""COMPUTED_VALUE"""),2.0)</f>
        <v>2</v>
      </c>
      <c r="D192" s="1">
        <f>IFERROR(__xludf.DUMMYFUNCTION("""COMPUTED_VALUE"""),2.0)</f>
        <v>2</v>
      </c>
      <c r="E192" s="1">
        <f>IFERROR(__xludf.DUMMYFUNCTION("""COMPUTED_VALUE"""),0.0)</f>
        <v>0</v>
      </c>
    </row>
    <row r="193">
      <c r="A193" s="1" t="str">
        <f>IFERROR(__xludf.DUMMYFUNCTION("""COMPUTED_VALUE"""),"DOTHL7937518029")</f>
        <v>DOTHL7937518029</v>
      </c>
      <c r="B193" s="1">
        <f>IFERROR(__xludf.DUMMYFUNCTION("""COMPUTED_VALUE"""),1.0)</f>
        <v>1</v>
      </c>
      <c r="C193" s="1">
        <f>IFERROR(__xludf.DUMMYFUNCTION("""COMPUTED_VALUE"""),1.0)</f>
        <v>1</v>
      </c>
      <c r="D193" s="1">
        <f>IFERROR(__xludf.DUMMYFUNCTION("""COMPUTED_VALUE"""),1.0)</f>
        <v>1</v>
      </c>
      <c r="E193" s="1">
        <f>IFERROR(__xludf.DUMMYFUNCTION("""COMPUTED_VALUE"""),0.0)</f>
        <v>0</v>
      </c>
    </row>
    <row r="194">
      <c r="A194" s="1" t="str">
        <f>IFERROR(__xludf.DUMMYFUNCTION("""COMPUTED_VALUE"""),"DOTVNTS127008129")</f>
        <v>DOTVNTS127008129</v>
      </c>
      <c r="B194" s="1">
        <f>IFERROR(__xludf.DUMMYFUNCTION("""COMPUTED_VALUE"""),187.0)</f>
        <v>187</v>
      </c>
      <c r="C194" s="1">
        <f>IFERROR(__xludf.DUMMYFUNCTION("""COMPUTED_VALUE"""),187.0)</f>
        <v>187</v>
      </c>
      <c r="D194" s="1">
        <f>IFERROR(__xludf.DUMMYFUNCTION("""COMPUTED_VALUE"""),187.0)</f>
        <v>187</v>
      </c>
      <c r="E194" s="1">
        <f>IFERROR(__xludf.DUMMYFUNCTION("""COMPUTED_VALUE"""),0.0)</f>
        <v>0</v>
      </c>
    </row>
    <row r="195">
      <c r="A195" s="1" t="str">
        <f>IFERROR(__xludf.DUMMYFUNCTION("""COMPUTED_VALUE"""),"DOTVNTS158807129")</f>
        <v>DOTVNTS158807129</v>
      </c>
      <c r="B195" s="1">
        <f>IFERROR(__xludf.DUMMYFUNCTION("""COMPUTED_VALUE"""),2.0)</f>
        <v>2</v>
      </c>
      <c r="C195" s="1">
        <f>IFERROR(__xludf.DUMMYFUNCTION("""COMPUTED_VALUE"""),2.0)</f>
        <v>2</v>
      </c>
      <c r="D195" s="1">
        <f>IFERROR(__xludf.DUMMYFUNCTION("""COMPUTED_VALUE"""),2.0)</f>
        <v>2</v>
      </c>
      <c r="E195" s="1">
        <f>IFERROR(__xludf.DUMMYFUNCTION("""COMPUTED_VALUE"""),0.0)</f>
        <v>0</v>
      </c>
    </row>
    <row r="196">
      <c r="A196" s="1" t="str">
        <f>IFERROR(__xludf.DUMMYFUNCTION("""COMPUTED_VALUE"""),"DOTVNTS158810029")</f>
        <v>DOTVNTS158810029</v>
      </c>
      <c r="B196" s="1">
        <f>IFERROR(__xludf.DUMMYFUNCTION("""COMPUTED_VALUE"""),179.0)</f>
        <v>179</v>
      </c>
      <c r="C196" s="1">
        <f>IFERROR(__xludf.DUMMYFUNCTION("""COMPUTED_VALUE"""),179.0)</f>
        <v>179</v>
      </c>
      <c r="D196" s="1">
        <f>IFERROR(__xludf.DUMMYFUNCTION("""COMPUTED_VALUE"""),179.0)</f>
        <v>179</v>
      </c>
      <c r="E196" s="1">
        <f>IFERROR(__xludf.DUMMYFUNCTION("""COMPUTED_VALUE"""),0.0)</f>
        <v>0</v>
      </c>
    </row>
    <row r="197">
      <c r="A197" s="1" t="str">
        <f>IFERROR(__xludf.DUMMYFUNCTION("""COMPUTED_VALUE"""),"DOTVNTS22221029")</f>
        <v>DOTVNTS22221029</v>
      </c>
      <c r="B197" s="1">
        <f>IFERROR(__xludf.DUMMYFUNCTION("""COMPUTED_VALUE"""),88.0)</f>
        <v>88</v>
      </c>
      <c r="C197" s="1">
        <f>IFERROR(__xludf.DUMMYFUNCTION("""COMPUTED_VALUE"""),88.0)</f>
        <v>88</v>
      </c>
      <c r="D197" s="1">
        <f>IFERROR(__xludf.DUMMYFUNCTION("""COMPUTED_VALUE"""),88.0)</f>
        <v>88</v>
      </c>
      <c r="E197" s="1">
        <f>IFERROR(__xludf.DUMMYFUNCTION("""COMPUTED_VALUE"""),0.0)</f>
        <v>0</v>
      </c>
    </row>
    <row r="198">
      <c r="A198" s="1" t="str">
        <f>IFERROR(__xludf.DUMMYFUNCTION("""COMPUTED_VALUE"""),"DOTVNTS28581029")</f>
        <v>DOTVNTS28581029</v>
      </c>
      <c r="B198" s="1">
        <f>IFERROR(__xludf.DUMMYFUNCTION("""COMPUTED_VALUE"""),70.0)</f>
        <v>70</v>
      </c>
      <c r="C198" s="1">
        <f>IFERROR(__xludf.DUMMYFUNCTION("""COMPUTED_VALUE"""),70.0)</f>
        <v>70</v>
      </c>
      <c r="D198" s="1">
        <f>IFERROR(__xludf.DUMMYFUNCTION("""COMPUTED_VALUE"""),70.0)</f>
        <v>70</v>
      </c>
      <c r="E198" s="1">
        <f>IFERROR(__xludf.DUMMYFUNCTION("""COMPUTED_VALUE"""),0.0)</f>
        <v>0</v>
      </c>
    </row>
    <row r="199">
      <c r="A199" s="1" t="str">
        <f>IFERROR(__xludf.DUMMYFUNCTION("""COMPUTED_VALUE"""),"DOTVNTS285812029")</f>
        <v>DOTVNTS285812029</v>
      </c>
      <c r="B199" s="1">
        <f>IFERROR(__xludf.DUMMYFUNCTION("""COMPUTED_VALUE"""),204.0)</f>
        <v>204</v>
      </c>
      <c r="C199" s="1">
        <f>IFERROR(__xludf.DUMMYFUNCTION("""COMPUTED_VALUE"""),204.0)</f>
        <v>204</v>
      </c>
      <c r="D199" s="1">
        <f>IFERROR(__xludf.DUMMYFUNCTION("""COMPUTED_VALUE"""),204.0)</f>
        <v>204</v>
      </c>
      <c r="E199" s="1">
        <f>IFERROR(__xludf.DUMMYFUNCTION("""COMPUTED_VALUE"""),0.0)</f>
        <v>0</v>
      </c>
    </row>
    <row r="200">
      <c r="A200" s="1" t="str">
        <f>IFERROR(__xludf.DUMMYFUNCTION("""COMPUTED_VALUE"""),"DOTVNTS349312029")</f>
        <v>DOTVNTS349312029</v>
      </c>
      <c r="B200" s="1">
        <f>IFERROR(__xludf.DUMMYFUNCTION("""COMPUTED_VALUE"""),91.0)</f>
        <v>91</v>
      </c>
      <c r="C200" s="1">
        <f>IFERROR(__xludf.DUMMYFUNCTION("""COMPUTED_VALUE"""),91.0)</f>
        <v>91</v>
      </c>
      <c r="D200" s="1">
        <f>IFERROR(__xludf.DUMMYFUNCTION("""COMPUTED_VALUE"""),91.0)</f>
        <v>91</v>
      </c>
      <c r="E200" s="1">
        <f>IFERROR(__xludf.DUMMYFUNCTION("""COMPUTED_VALUE"""),0.0)</f>
        <v>0</v>
      </c>
    </row>
    <row r="201">
      <c r="A201" s="1" t="str">
        <f>IFERROR(__xludf.DUMMYFUNCTION("""COMPUTED_VALUE"""),"DOTVNTS412812029")</f>
        <v>DOTVNTS412812029</v>
      </c>
      <c r="B201" s="1">
        <f>IFERROR(__xludf.DUMMYFUNCTION("""COMPUTED_VALUE"""),81.0)</f>
        <v>81</v>
      </c>
      <c r="C201" s="1">
        <f>IFERROR(__xludf.DUMMYFUNCTION("""COMPUTED_VALUE"""),98.0)</f>
        <v>98</v>
      </c>
      <c r="D201" s="1">
        <f>IFERROR(__xludf.DUMMYFUNCTION("""COMPUTED_VALUE"""),81.0)</f>
        <v>81</v>
      </c>
      <c r="E201" s="1">
        <f>IFERROR(__xludf.DUMMYFUNCTION("""COMPUTED_VALUE"""),17.0)</f>
        <v>17</v>
      </c>
    </row>
    <row r="202">
      <c r="A202" s="1" t="str">
        <f>IFERROR(__xludf.DUMMYFUNCTION("""COMPUTED_VALUE"""),"DOTVNTS412814029")</f>
        <v>DOTVNTS412814029</v>
      </c>
      <c r="B202" s="1">
        <f>IFERROR(__xludf.DUMMYFUNCTION("""COMPUTED_VALUE"""),52.0)</f>
        <v>52</v>
      </c>
      <c r="C202" s="1">
        <f>IFERROR(__xludf.DUMMYFUNCTION("""COMPUTED_VALUE"""),52.0)</f>
        <v>52</v>
      </c>
      <c r="D202" s="1">
        <f>IFERROR(__xludf.DUMMYFUNCTION("""COMPUTED_VALUE"""),52.0)</f>
        <v>52</v>
      </c>
      <c r="E202" s="1">
        <f>IFERROR(__xludf.DUMMYFUNCTION("""COMPUTED_VALUE"""),0.0)</f>
        <v>0</v>
      </c>
    </row>
    <row r="203">
      <c r="A203" s="1" t="str">
        <f>IFERROR(__xludf.DUMMYFUNCTION("""COMPUTED_VALUE"""),"GA134DUCHEM-USA")</f>
        <v>GA134DUCHEM-USA</v>
      </c>
      <c r="B203" s="1">
        <f>IFERROR(__xludf.DUMMYFUNCTION("""COMPUTED_VALUE"""),1068.0)</f>
        <v>1068</v>
      </c>
      <c r="C203" s="1">
        <f>IFERROR(__xludf.DUMMYFUNCTION("""COMPUTED_VALUE"""),1369.0)</f>
        <v>1369</v>
      </c>
      <c r="D203" s="1">
        <f>IFERROR(__xludf.DUMMYFUNCTION("""COMPUTED_VALUE"""),1068.0)</f>
        <v>1068</v>
      </c>
      <c r="E203" s="1">
        <f>IFERROR(__xludf.DUMMYFUNCTION("""COMPUTED_VALUE"""),301.0)</f>
        <v>301</v>
      </c>
    </row>
    <row r="204">
      <c r="A204" s="1" t="str">
        <f>IFERROR(__xludf.DUMMYFUNCTION("""COMPUTED_VALUE"""),"GA134LON")</f>
        <v>GA134LON</v>
      </c>
      <c r="B204" s="1">
        <f>IFERROR(__xludf.DUMMYFUNCTION("""COMPUTED_VALUE"""),1.0)</f>
        <v>1</v>
      </c>
      <c r="C204" s="1">
        <f>IFERROR(__xludf.DUMMYFUNCTION("""COMPUTED_VALUE"""),1.0)</f>
        <v>1</v>
      </c>
      <c r="D204" s="1">
        <f>IFERROR(__xludf.DUMMYFUNCTION("""COMPUTED_VALUE"""),1.0)</f>
        <v>1</v>
      </c>
      <c r="E204" s="1">
        <f>IFERROR(__xludf.DUMMYFUNCTION("""COMPUTED_VALUE"""),0.0)</f>
        <v>0</v>
      </c>
    </row>
    <row r="205">
      <c r="A205" s="1" t="str">
        <f>IFERROR(__xludf.DUMMYFUNCTION("""COMPUTED_VALUE"""),"GA134TASEITQ")</f>
        <v>GA134TASEITQ</v>
      </c>
      <c r="B205" s="1">
        <f>IFERROR(__xludf.DUMMYFUNCTION("""COMPUTED_VALUE"""),144.0)</f>
        <v>144</v>
      </c>
      <c r="C205" s="1">
        <f>IFERROR(__xludf.DUMMYFUNCTION("""COMPUTED_VALUE"""),150.0)</f>
        <v>150</v>
      </c>
      <c r="D205" s="1">
        <f>IFERROR(__xludf.DUMMYFUNCTION("""COMPUTED_VALUE"""),145.0)</f>
        <v>145</v>
      </c>
      <c r="E205" s="1">
        <f>IFERROR(__xludf.DUMMYFUNCTION("""COMPUTED_VALUE"""),5.0)</f>
        <v>5</v>
      </c>
    </row>
    <row r="206">
      <c r="A206" s="1" t="str">
        <f>IFERROR(__xludf.DUMMYFUNCTION("""COMPUTED_VALUE"""),"GA134TASEITQ3")</f>
        <v>GA134TASEITQ3</v>
      </c>
      <c r="B206" s="1">
        <f>IFERROR(__xludf.DUMMYFUNCTION("""COMPUTED_VALUE"""),2712.0)</f>
        <v>2712</v>
      </c>
      <c r="C206" s="1">
        <f>IFERROR(__xludf.DUMMYFUNCTION("""COMPUTED_VALUE"""),2800.0)</f>
        <v>2800</v>
      </c>
      <c r="D206" s="1">
        <f>IFERROR(__xludf.DUMMYFUNCTION("""COMPUTED_VALUE"""),2713.0)</f>
        <v>2713</v>
      </c>
      <c r="E206" s="1">
        <f>IFERROR(__xludf.DUMMYFUNCTION("""COMPUTED_VALUE"""),87.0)</f>
        <v>87</v>
      </c>
    </row>
    <row r="207">
      <c r="A207" s="1" t="str">
        <f>IFERROR(__xludf.DUMMYFUNCTION("""COMPUTED_VALUE"""),"GA22L1")</f>
        <v>GA22L1</v>
      </c>
      <c r="B207" s="1">
        <f>IFERROR(__xludf.DUMMYFUNCTION("""COMPUTED_VALUE"""),181.0)</f>
        <v>181</v>
      </c>
      <c r="C207" s="1">
        <f>IFERROR(__xludf.DUMMYFUNCTION("""COMPUTED_VALUE"""),181.0)</f>
        <v>181</v>
      </c>
      <c r="D207" s="1">
        <f>IFERROR(__xludf.DUMMYFUNCTION("""COMPUTED_VALUE"""),181.0)</f>
        <v>181</v>
      </c>
      <c r="E207" s="1">
        <f>IFERROR(__xludf.DUMMYFUNCTION("""COMPUTED_VALUE"""),0.0)</f>
        <v>0</v>
      </c>
    </row>
    <row r="208">
      <c r="A208" s="1" t="str">
        <f>IFERROR(__xludf.DUMMYFUNCTION("""COMPUTED_VALUE"""),"GA22TAISEI")</f>
        <v>GA22TAISEI</v>
      </c>
      <c r="B208" s="1">
        <f>IFERROR(__xludf.DUMMYFUNCTION("""COMPUTED_VALUE"""),314.0)</f>
        <v>314</v>
      </c>
      <c r="C208" s="1">
        <f>IFERROR(__xludf.DUMMYFUNCTION("""COMPUTED_VALUE"""),360.0)</f>
        <v>360</v>
      </c>
      <c r="D208" s="1">
        <f>IFERROR(__xludf.DUMMYFUNCTION("""COMPUTED_VALUE"""),316.0)</f>
        <v>316</v>
      </c>
      <c r="E208" s="1">
        <f>IFERROR(__xludf.DUMMYFUNCTION("""COMPUTED_VALUE"""),44.0)</f>
        <v>44</v>
      </c>
    </row>
    <row r="209">
      <c r="A209" s="1" t="str">
        <f>IFERROR(__xludf.DUMMYFUNCTION("""COMPUTED_VALUE"""),"GA22TAISEITQ")</f>
        <v>GA22TAISEITQ</v>
      </c>
      <c r="B209" s="1">
        <f>IFERROR(__xludf.DUMMYFUNCTION("""COMPUTED_VALUE"""),0.0)</f>
        <v>0</v>
      </c>
      <c r="C209" s="1">
        <f>IFERROR(__xludf.DUMMYFUNCTION("""COMPUTED_VALUE"""),0.0)</f>
        <v>0</v>
      </c>
      <c r="D209" s="1">
        <f>IFERROR(__xludf.DUMMYFUNCTION("""COMPUTED_VALUE"""),0.0)</f>
        <v>0</v>
      </c>
      <c r="E209" s="1">
        <f>IFERROR(__xludf.DUMMYFUNCTION("""COMPUTED_VALUE"""),0.0)</f>
        <v>0</v>
      </c>
    </row>
    <row r="210">
      <c r="A210" s="1" t="str">
        <f>IFERROR(__xludf.DUMMYFUNCTION("""COMPUTED_VALUE"""),"GA22TQ03")</f>
        <v>GA22TQ03</v>
      </c>
      <c r="B210" s="1">
        <f>IFERROR(__xludf.DUMMYFUNCTION("""COMPUTED_VALUE"""),1754.0)</f>
        <v>1754</v>
      </c>
      <c r="C210" s="1">
        <f>IFERROR(__xludf.DUMMYFUNCTION("""COMPUTED_VALUE"""),2016.0)</f>
        <v>2016</v>
      </c>
      <c r="D210" s="1">
        <f>IFERROR(__xludf.DUMMYFUNCTION("""COMPUTED_VALUE"""),1757.0)</f>
        <v>1757</v>
      </c>
      <c r="E210" s="1">
        <f>IFERROR(__xludf.DUMMYFUNCTION("""COMPUTED_VALUE"""),259.0)</f>
        <v>259</v>
      </c>
    </row>
    <row r="211">
      <c r="A211" s="1" t="str">
        <f>IFERROR(__xludf.DUMMYFUNCTION("""COMPUTED_VALUE"""),"GA32TQ03")</f>
        <v>GA32TQ03</v>
      </c>
      <c r="B211" s="1">
        <f>IFERROR(__xludf.DUMMYFUNCTION("""COMPUTED_VALUE"""),588.0)</f>
        <v>588</v>
      </c>
      <c r="C211" s="1">
        <f>IFERROR(__xludf.DUMMYFUNCTION("""COMPUTED_VALUE"""),1028.0)</f>
        <v>1028</v>
      </c>
      <c r="D211" s="1">
        <f>IFERROR(__xludf.DUMMYFUNCTION("""COMPUTED_VALUE"""),596.0)</f>
        <v>596</v>
      </c>
      <c r="E211" s="1">
        <f>IFERROR(__xludf.DUMMYFUNCTION("""COMPUTED_VALUE"""),432.0)</f>
        <v>432</v>
      </c>
    </row>
    <row r="212">
      <c r="A212" s="1" t="str">
        <f>IFERROR(__xludf.DUMMYFUNCTION("""COMPUTED_VALUE"""),"GA32TQ07")</f>
        <v>GA32TQ07</v>
      </c>
      <c r="B212" s="1">
        <f>IFERROR(__xludf.DUMMYFUNCTION("""COMPUTED_VALUE"""),0.0)</f>
        <v>0</v>
      </c>
      <c r="C212" s="1">
        <f>IFERROR(__xludf.DUMMYFUNCTION("""COMPUTED_VALUE"""),20.0)</f>
        <v>20</v>
      </c>
      <c r="D212" s="1">
        <f>IFERROR(__xludf.DUMMYFUNCTION("""COMPUTED_VALUE"""),0.0)</f>
        <v>0</v>
      </c>
      <c r="E212" s="1">
        <f>IFERROR(__xludf.DUMMYFUNCTION("""COMPUTED_VALUE"""),20.0)</f>
        <v>20</v>
      </c>
    </row>
    <row r="213">
      <c r="A213" s="1" t="str">
        <f>IFERROR(__xludf.DUMMYFUNCTION("""COMPUTED_VALUE"""),"GA404ABESTGA")</f>
        <v>GA404ABESTGA</v>
      </c>
      <c r="B213" s="1">
        <f>IFERROR(__xludf.DUMMYFUNCTION("""COMPUTED_VALUE"""),10.0)</f>
        <v>10</v>
      </c>
      <c r="C213" s="1">
        <f>IFERROR(__xludf.DUMMYFUNCTION("""COMPUTED_VALUE"""),10.0)</f>
        <v>10</v>
      </c>
      <c r="D213" s="1">
        <f>IFERROR(__xludf.DUMMYFUNCTION("""COMPUTED_VALUE"""),10.0)</f>
        <v>10</v>
      </c>
      <c r="E213" s="1">
        <f>IFERROR(__xludf.DUMMYFUNCTION("""COMPUTED_VALUE"""),0.0)</f>
        <v>0</v>
      </c>
    </row>
    <row r="214">
      <c r="A214" s="1" t="str">
        <f>IFERROR(__xludf.DUMMYFUNCTION("""COMPUTED_VALUE"""),"GA404CHEM-EU")</f>
        <v>GA404CHEM-EU</v>
      </c>
      <c r="B214" s="1">
        <f>IFERROR(__xludf.DUMMYFUNCTION("""COMPUTED_VALUE"""),69.0)</f>
        <v>69</v>
      </c>
      <c r="C214" s="1">
        <f>IFERROR(__xludf.DUMMYFUNCTION("""COMPUTED_VALUE"""),87.0)</f>
        <v>87</v>
      </c>
      <c r="D214" s="1">
        <f>IFERROR(__xludf.DUMMYFUNCTION("""COMPUTED_VALUE"""),69.0)</f>
        <v>69</v>
      </c>
      <c r="E214" s="1">
        <f>IFERROR(__xludf.DUMMYFUNCTION("""COMPUTED_VALUE"""),18.0)</f>
        <v>18</v>
      </c>
    </row>
    <row r="215">
      <c r="A215" s="1" t="str">
        <f>IFERROR(__xludf.DUMMYFUNCTION("""COMPUTED_VALUE"""),"GA404TQ10.9")</f>
        <v>GA404TQ10.9</v>
      </c>
      <c r="B215" s="1">
        <f>IFERROR(__xludf.DUMMYFUNCTION("""COMPUTED_VALUE"""),4.0)</f>
        <v>4</v>
      </c>
      <c r="C215" s="1">
        <f>IFERROR(__xludf.DUMMYFUNCTION("""COMPUTED_VALUE"""),11.0)</f>
        <v>11</v>
      </c>
      <c r="D215" s="1">
        <f>IFERROR(__xludf.DUMMYFUNCTION("""COMPUTED_VALUE"""),4.0)</f>
        <v>4</v>
      </c>
      <c r="E215" s="1">
        <f>IFERROR(__xludf.DUMMYFUNCTION("""COMPUTED_VALUE"""),7.0)</f>
        <v>7</v>
      </c>
    </row>
    <row r="216">
      <c r="A216" s="1" t="str">
        <f>IFERROR(__xludf.DUMMYFUNCTION("""COMPUTED_VALUE"""),"GA404TQ27")</f>
        <v>GA404TQ27</v>
      </c>
      <c r="B216" s="1">
        <f>IFERROR(__xludf.DUMMYFUNCTION("""COMPUTED_VALUE"""),851.0)</f>
        <v>851</v>
      </c>
      <c r="C216" s="1">
        <f>IFERROR(__xludf.DUMMYFUNCTION("""COMPUTED_VALUE"""),1073.0)</f>
        <v>1073</v>
      </c>
      <c r="D216" s="1">
        <f>IFERROR(__xludf.DUMMYFUNCTION("""COMPUTED_VALUE"""),852.0)</f>
        <v>852</v>
      </c>
      <c r="E216" s="1">
        <f>IFERROR(__xludf.DUMMYFUNCTION("""COMPUTED_VALUE"""),221.0)</f>
        <v>221</v>
      </c>
    </row>
    <row r="217">
      <c r="A217" s="1" t="str">
        <f>IFERROR(__xludf.DUMMYFUNCTION("""COMPUTED_VALUE"""),"GA407CHEM-EU")</f>
        <v>GA407CHEM-EU</v>
      </c>
      <c r="B217" s="1">
        <f>IFERROR(__xludf.DUMMYFUNCTION("""COMPUTED_VALUE"""),43.0)</f>
        <v>43</v>
      </c>
      <c r="C217" s="1">
        <f>IFERROR(__xludf.DUMMYFUNCTION("""COMPUTED_VALUE"""),62.0)</f>
        <v>62</v>
      </c>
      <c r="D217" s="1">
        <f>IFERROR(__xludf.DUMMYFUNCTION("""COMPUTED_VALUE"""),43.0)</f>
        <v>43</v>
      </c>
      <c r="E217" s="1">
        <f>IFERROR(__xludf.DUMMYFUNCTION("""COMPUTED_VALUE"""),19.0)</f>
        <v>19</v>
      </c>
    </row>
    <row r="218">
      <c r="A218" s="1" t="str">
        <f>IFERROR(__xludf.DUMMYFUNCTION("""COMPUTED_VALUE"""),"GA407RE-India")</f>
        <v>GA407RE-India</v>
      </c>
      <c r="B218" s="1">
        <f>IFERROR(__xludf.DUMMYFUNCTION("""COMPUTED_VALUE"""),111.0)</f>
        <v>111</v>
      </c>
      <c r="C218" s="1">
        <f>IFERROR(__xludf.DUMMYFUNCTION("""COMPUTED_VALUE"""),121.0)</f>
        <v>121</v>
      </c>
      <c r="D218" s="1">
        <f>IFERROR(__xludf.DUMMYFUNCTION("""COMPUTED_VALUE"""),111.0)</f>
        <v>111</v>
      </c>
      <c r="E218" s="1">
        <f>IFERROR(__xludf.DUMMYFUNCTION("""COMPUTED_VALUE"""),10.0)</f>
        <v>10</v>
      </c>
    </row>
    <row r="219">
      <c r="A219" s="1" t="str">
        <f>IFERROR(__xludf.DUMMYFUNCTION("""COMPUTED_VALUE"""),"GA407TQ28")</f>
        <v>GA407TQ28</v>
      </c>
      <c r="B219" s="1">
        <f>IFERROR(__xludf.DUMMYFUNCTION("""COMPUTED_VALUE"""),1828.0)</f>
        <v>1828</v>
      </c>
      <c r="C219" s="1">
        <f>IFERROR(__xludf.DUMMYFUNCTION("""COMPUTED_VALUE"""),2236.0)</f>
        <v>2236</v>
      </c>
      <c r="D219" s="1">
        <f>IFERROR(__xludf.DUMMYFUNCTION("""COMPUTED_VALUE"""),1831.0)</f>
        <v>1831</v>
      </c>
      <c r="E219" s="1">
        <f>IFERROR(__xludf.DUMMYFUNCTION("""COMPUTED_VALUE"""),405.0)</f>
        <v>405</v>
      </c>
    </row>
    <row r="220">
      <c r="A220" s="1" t="str">
        <f>IFERROR(__xludf.DUMMYFUNCTION("""COMPUTED_VALUE"""),"GA410DUCHEM-EU")</f>
        <v>GA410DUCHEM-EU</v>
      </c>
      <c r="B220" s="1">
        <f>IFERROR(__xludf.DUMMYFUNCTION("""COMPUTED_VALUE"""),513.0)</f>
        <v>513</v>
      </c>
      <c r="C220" s="1">
        <f>IFERROR(__xludf.DUMMYFUNCTION("""COMPUTED_VALUE"""),519.0)</f>
        <v>519</v>
      </c>
      <c r="D220" s="1">
        <f>IFERROR(__xludf.DUMMYFUNCTION("""COMPUTED_VALUE"""),513.0)</f>
        <v>513</v>
      </c>
      <c r="E220" s="1">
        <f>IFERROR(__xludf.DUMMYFUNCTION("""COMPUTED_VALUE"""),6.0)</f>
        <v>6</v>
      </c>
    </row>
    <row r="221">
      <c r="A221" s="1" t="str">
        <f>IFERROR(__xludf.DUMMYFUNCTION("""COMPUTED_VALUE"""),"GA410DUCHEM-USA")</f>
        <v>GA410DUCHEM-USA</v>
      </c>
      <c r="B221" s="1">
        <f>IFERROR(__xludf.DUMMYFUNCTION("""COMPUTED_VALUE"""),1.0)</f>
        <v>1</v>
      </c>
      <c r="C221" s="1">
        <f>IFERROR(__xludf.DUMMYFUNCTION("""COMPUTED_VALUE"""),2.0)</f>
        <v>2</v>
      </c>
      <c r="D221" s="1">
        <f>IFERROR(__xludf.DUMMYFUNCTION("""COMPUTED_VALUE"""),2.0)</f>
        <v>2</v>
      </c>
      <c r="E221" s="1">
        <f>IFERROR(__xludf.DUMMYFUNCTION("""COMPUTED_VALUE"""),0.0)</f>
        <v>0</v>
      </c>
    </row>
    <row r="222">
      <c r="A222" s="1" t="str">
        <f>IFERROR(__xludf.DUMMYFUNCTION("""COMPUTED_VALUE"""),"GA410DUEU")</f>
        <v>GA410DUEU</v>
      </c>
      <c r="B222" s="1">
        <f>IFERROR(__xludf.DUMMYFUNCTION("""COMPUTED_VALUE"""),1.0)</f>
        <v>1</v>
      </c>
      <c r="C222" s="1">
        <f>IFERROR(__xludf.DUMMYFUNCTION("""COMPUTED_VALUE"""),1.0)</f>
        <v>1</v>
      </c>
      <c r="D222" s="1">
        <f>IFERROR(__xludf.DUMMYFUNCTION("""COMPUTED_VALUE"""),1.0)</f>
        <v>1</v>
      </c>
      <c r="E222" s="1">
        <f>IFERROR(__xludf.DUMMYFUNCTION("""COMPUTED_VALUE"""),0.0)</f>
        <v>0</v>
      </c>
    </row>
    <row r="223">
      <c r="A223" s="1" t="str">
        <f>IFERROR(__xludf.DUMMYFUNCTION("""COMPUTED_VALUE"""),"GA410LON")</f>
        <v>GA410LON</v>
      </c>
      <c r="B223" s="1">
        <f>IFERROR(__xludf.DUMMYFUNCTION("""COMPUTED_VALUE"""),5.0)</f>
        <v>5</v>
      </c>
      <c r="C223" s="1">
        <f>IFERROR(__xludf.DUMMYFUNCTION("""COMPUTED_VALUE"""),5.0)</f>
        <v>5</v>
      </c>
      <c r="D223" s="1">
        <f>IFERROR(__xludf.DUMMYFUNCTION("""COMPUTED_VALUE"""),5.0)</f>
        <v>5</v>
      </c>
      <c r="E223" s="1">
        <f>IFERROR(__xludf.DUMMYFUNCTION("""COMPUTED_VALUE"""),0.0)</f>
        <v>0</v>
      </c>
    </row>
    <row r="224">
      <c r="A224" s="1" t="str">
        <f>IFERROR(__xludf.DUMMYFUNCTION("""COMPUTED_VALUE"""),"GA410RE-India")</f>
        <v>GA410RE-India</v>
      </c>
      <c r="B224" s="1">
        <f>IFERROR(__xludf.DUMMYFUNCTION("""COMPUTED_VALUE"""),27.0)</f>
        <v>27</v>
      </c>
      <c r="C224" s="1">
        <f>IFERROR(__xludf.DUMMYFUNCTION("""COMPUTED_VALUE"""),77.0)</f>
        <v>77</v>
      </c>
      <c r="D224" s="1">
        <f>IFERROR(__xludf.DUMMYFUNCTION("""COMPUTED_VALUE"""),27.0)</f>
        <v>27</v>
      </c>
      <c r="E224" s="1">
        <f>IFERROR(__xludf.DUMMYFUNCTION("""COMPUTED_VALUE"""),50.0)</f>
        <v>50</v>
      </c>
    </row>
    <row r="225">
      <c r="A225" s="1" t="str">
        <f>IFERROR(__xludf.DUMMYFUNCTION("""COMPUTED_VALUE"""),"GA410TAI-TQ")</f>
        <v>GA410TAI-TQ</v>
      </c>
      <c r="B225" s="1">
        <f>IFERROR(__xludf.DUMMYFUNCTION("""COMPUTED_VALUE"""),361.0)</f>
        <v>361</v>
      </c>
      <c r="C225" s="1">
        <f>IFERROR(__xludf.DUMMYFUNCTION("""COMPUTED_VALUE"""),423.0)</f>
        <v>423</v>
      </c>
      <c r="D225" s="1">
        <f>IFERROR(__xludf.DUMMYFUNCTION("""COMPUTED_VALUE"""),361.0)</f>
        <v>361</v>
      </c>
      <c r="E225" s="1">
        <f>IFERROR(__xludf.DUMMYFUNCTION("""COMPUTED_VALUE"""),62.0)</f>
        <v>62</v>
      </c>
    </row>
    <row r="226">
      <c r="A226" s="1" t="str">
        <f>IFERROR(__xludf.DUMMYFUNCTION("""COMPUTED_VALUE"""),"GA410TAI-TQ28")</f>
        <v>GA410TAI-TQ28</v>
      </c>
      <c r="B226" s="1">
        <f>IFERROR(__xludf.DUMMYFUNCTION("""COMPUTED_VALUE"""),2236.0)</f>
        <v>2236</v>
      </c>
      <c r="C226" s="1">
        <f>IFERROR(__xludf.DUMMYFUNCTION("""COMPUTED_VALUE"""),2724.0)</f>
        <v>2724</v>
      </c>
      <c r="D226" s="1">
        <f>IFERROR(__xludf.DUMMYFUNCTION("""COMPUTED_VALUE"""),2247.0)</f>
        <v>2247</v>
      </c>
      <c r="E226" s="1">
        <f>IFERROR(__xludf.DUMMYFUNCTION("""COMPUTED_VALUE"""),477.0)</f>
        <v>477</v>
      </c>
    </row>
    <row r="227">
      <c r="A227" s="1" t="str">
        <f>IFERROR(__xludf.DUMMYFUNCTION("""COMPUTED_VALUE"""),"GA600TQ3")</f>
        <v>GA600TQ3</v>
      </c>
      <c r="B227" s="1">
        <f>IFERROR(__xludf.DUMMYFUNCTION("""COMPUTED_VALUE"""),274.0)</f>
        <v>274</v>
      </c>
      <c r="C227" s="1">
        <f>IFERROR(__xludf.DUMMYFUNCTION("""COMPUTED_VALUE"""),326.0)</f>
        <v>326</v>
      </c>
      <c r="D227" s="1">
        <f>IFERROR(__xludf.DUMMYFUNCTION("""COMPUTED_VALUE"""),274.0)</f>
        <v>274</v>
      </c>
      <c r="E227" s="1">
        <f>IFERROR(__xludf.DUMMYFUNCTION("""COMPUTED_VALUE"""),52.0)</f>
        <v>52</v>
      </c>
    </row>
    <row r="228">
      <c r="A228" s="1" t="str">
        <f>IFERROR(__xludf.DUMMYFUNCTION("""COMPUTED_VALUE"""),"GA600TQ65")</f>
        <v>GA600TQ65</v>
      </c>
      <c r="B228" s="1">
        <f>IFERROR(__xludf.DUMMYFUNCTION("""COMPUTED_VALUE"""),384.0)</f>
        <v>384</v>
      </c>
      <c r="C228" s="1">
        <f>IFERROR(__xludf.DUMMYFUNCTION("""COMPUTED_VALUE"""),480.0)</f>
        <v>480</v>
      </c>
      <c r="D228" s="1">
        <f>IFERROR(__xludf.DUMMYFUNCTION("""COMPUTED_VALUE"""),384.0)</f>
        <v>384</v>
      </c>
      <c r="E228" s="1">
        <f>IFERROR(__xludf.DUMMYFUNCTION("""COMPUTED_VALUE"""),96.0)</f>
        <v>96</v>
      </c>
    </row>
    <row r="229">
      <c r="A229" s="1" t="str">
        <f>IFERROR(__xludf.DUMMYFUNCTION("""COMPUTED_VALUE"""),"GBDVTT12276")</f>
        <v>GBDVTT12276</v>
      </c>
      <c r="B229" s="1">
        <f>IFERROR(__xludf.DUMMYFUNCTION("""COMPUTED_VALUE"""),17416.09)</f>
        <v>17416.09</v>
      </c>
      <c r="C229" s="1">
        <f>IFERROR(__xludf.DUMMYFUNCTION("""COMPUTED_VALUE"""),17416.09)</f>
        <v>17416.09</v>
      </c>
      <c r="D229" s="1">
        <f>IFERROR(__xludf.DUMMYFUNCTION("""COMPUTED_VALUE"""),17416.09)</f>
        <v>17416.09</v>
      </c>
      <c r="E229" s="1">
        <f>IFERROR(__xludf.DUMMYFUNCTION("""COMPUTED_VALUE"""),0.0)</f>
        <v>0</v>
      </c>
    </row>
    <row r="230">
      <c r="A230" s="1" t="str">
        <f>IFERROR(__xludf.DUMMYFUNCTION("""COMPUTED_VALUE"""),"GĐĐV114x50")</f>
        <v>GĐĐV114x50</v>
      </c>
      <c r="B230" s="1">
        <f>IFERROR(__xludf.DUMMYFUNCTION("""COMPUTED_VALUE"""),12.0)</f>
        <v>12</v>
      </c>
      <c r="C230" s="1">
        <f>IFERROR(__xludf.DUMMYFUNCTION("""COMPUTED_VALUE"""),12.0)</f>
        <v>12</v>
      </c>
      <c r="D230" s="1">
        <f>IFERROR(__xludf.DUMMYFUNCTION("""COMPUTED_VALUE"""),12.0)</f>
        <v>12</v>
      </c>
      <c r="E230" s="1">
        <f>IFERROR(__xludf.DUMMYFUNCTION("""COMPUTED_VALUE"""),0.0)</f>
        <v>0</v>
      </c>
    </row>
    <row r="231">
      <c r="A231" s="1" t="str">
        <f>IFERROR(__xludf.DUMMYFUNCTION("""COMPUTED_VALUE"""),"GDDVAERO2195064")</f>
        <v>GDDVAERO2195064</v>
      </c>
      <c r="B231" s="1">
        <f>IFERROR(__xludf.DUMMYFUNCTION("""COMPUTED_VALUE"""),24.0)</f>
        <v>24</v>
      </c>
      <c r="C231" s="1">
        <f>IFERROR(__xludf.DUMMYFUNCTION("""COMPUTED_VALUE"""),24.0)</f>
        <v>24</v>
      </c>
      <c r="D231" s="1">
        <f>IFERROR(__xludf.DUMMYFUNCTION("""COMPUTED_VALUE"""),24.0)</f>
        <v>24</v>
      </c>
      <c r="E231" s="1">
        <f>IFERROR(__xludf.DUMMYFUNCTION("""COMPUTED_VALUE"""),0.0)</f>
        <v>0</v>
      </c>
    </row>
    <row r="232">
      <c r="A232" s="1" t="str">
        <f>IFERROR(__xludf.DUMMYFUNCTION("""COMPUTED_VALUE"""),"GDDVAERO2735064")</f>
        <v>GDDVAERO2735064</v>
      </c>
      <c r="B232" s="1">
        <f>IFERROR(__xludf.DUMMYFUNCTION("""COMPUTED_VALUE"""),16.0)</f>
        <v>16</v>
      </c>
      <c r="C232" s="1">
        <f>IFERROR(__xludf.DUMMYFUNCTION("""COMPUTED_VALUE"""),16.0)</f>
        <v>16</v>
      </c>
      <c r="D232" s="1">
        <f>IFERROR(__xludf.DUMMYFUNCTION("""COMPUTED_VALUE"""),16.0)</f>
        <v>16</v>
      </c>
      <c r="E232" s="1">
        <f>IFERROR(__xludf.DUMMYFUNCTION("""COMPUTED_VALUE"""),0.0)</f>
        <v>0</v>
      </c>
    </row>
    <row r="233">
      <c r="A233" s="1" t="str">
        <f>IFERROR(__xludf.DUMMYFUNCTION("""COMPUTED_VALUE"""),"HKACPF03512025")</f>
        <v>HKACPF03512025</v>
      </c>
      <c r="B233" s="1">
        <f>IFERROR(__xludf.DUMMYFUNCTION("""COMPUTED_VALUE"""),11.0)</f>
        <v>11</v>
      </c>
      <c r="C233" s="1">
        <f>IFERROR(__xludf.DUMMYFUNCTION("""COMPUTED_VALUE"""),11.0)</f>
        <v>11</v>
      </c>
      <c r="D233" s="1">
        <f>IFERROR(__xludf.DUMMYFUNCTION("""COMPUTED_VALUE"""),11.0)</f>
        <v>11</v>
      </c>
      <c r="E233" s="1">
        <f>IFERROR(__xludf.DUMMYFUNCTION("""COMPUTED_VALUE"""),0.0)</f>
        <v>0</v>
      </c>
    </row>
    <row r="234">
      <c r="A234" s="1" t="str">
        <f>IFERROR(__xludf.DUMMYFUNCTION("""COMPUTED_VALUE"""),"HKATTOMAT30A")</f>
        <v>HKATTOMAT30A</v>
      </c>
      <c r="B234" s="1">
        <f>IFERROR(__xludf.DUMMYFUNCTION("""COMPUTED_VALUE"""),1.0)</f>
        <v>1</v>
      </c>
      <c r="C234" s="1">
        <f>IFERROR(__xludf.DUMMYFUNCTION("""COMPUTED_VALUE"""),1.0)</f>
        <v>1</v>
      </c>
      <c r="D234" s="1">
        <f>IFERROR(__xludf.DUMMYFUNCTION("""COMPUTED_VALUE"""),1.0)</f>
        <v>1</v>
      </c>
      <c r="E234" s="1">
        <f>IFERROR(__xludf.DUMMYFUNCTION("""COMPUTED_VALUE"""),0.0)</f>
        <v>0</v>
      </c>
    </row>
    <row r="235">
      <c r="A235" s="1" t="str">
        <f>IFERROR(__xludf.DUMMYFUNCTION("""COMPUTED_VALUE"""),"HKATTOMAT32A")</f>
        <v>HKATTOMAT32A</v>
      </c>
      <c r="B235" s="1">
        <f>IFERROR(__xludf.DUMMYFUNCTION("""COMPUTED_VALUE"""),10.0)</f>
        <v>10</v>
      </c>
      <c r="C235" s="1">
        <f>IFERROR(__xludf.DUMMYFUNCTION("""COMPUTED_VALUE"""),10.0)</f>
        <v>10</v>
      </c>
      <c r="D235" s="1">
        <f>IFERROR(__xludf.DUMMYFUNCTION("""COMPUTED_VALUE"""),10.0)</f>
        <v>10</v>
      </c>
      <c r="E235" s="1">
        <f>IFERROR(__xludf.DUMMYFUNCTION("""COMPUTED_VALUE"""),0.0)</f>
        <v>0</v>
      </c>
    </row>
    <row r="236">
      <c r="A236" s="1" t="str">
        <f>IFERROR(__xludf.DUMMYFUNCTION("""COMPUTED_VALUE"""),"HKATTOMAT60A")</f>
        <v>HKATTOMAT60A</v>
      </c>
      <c r="B236" s="1">
        <f>IFERROR(__xludf.DUMMYFUNCTION("""COMPUTED_VALUE"""),1.0)</f>
        <v>1</v>
      </c>
      <c r="C236" s="1">
        <f>IFERROR(__xludf.DUMMYFUNCTION("""COMPUTED_VALUE"""),1.0)</f>
        <v>1</v>
      </c>
      <c r="D236" s="1">
        <f>IFERROR(__xludf.DUMMYFUNCTION("""COMPUTED_VALUE"""),1.0)</f>
        <v>1</v>
      </c>
      <c r="E236" s="1">
        <f>IFERROR(__xludf.DUMMYFUNCTION("""COMPUTED_VALUE"""),0.0)</f>
        <v>0</v>
      </c>
    </row>
    <row r="237">
      <c r="A237" s="1" t="str">
        <f>IFERROR(__xludf.DUMMYFUNCTION("""COMPUTED_VALUE"""),"HKBANGW48X50ML")</f>
        <v>HKBANGW48X50ML</v>
      </c>
      <c r="B237" s="1">
        <f>IFERROR(__xludf.DUMMYFUNCTION("""COMPUTED_VALUE"""),1198.0)</f>
        <v>1198</v>
      </c>
      <c r="C237" s="1">
        <f>IFERROR(__xludf.DUMMYFUNCTION("""COMPUTED_VALUE"""),1587.0)</f>
        <v>1587</v>
      </c>
      <c r="D237" s="1">
        <f>IFERROR(__xludf.DUMMYFUNCTION("""COMPUTED_VALUE"""),1198.0)</f>
        <v>1198</v>
      </c>
      <c r="E237" s="1">
        <f>IFERROR(__xludf.DUMMYFUNCTION("""COMPUTED_VALUE"""),389.0)</f>
        <v>389</v>
      </c>
    </row>
    <row r="238">
      <c r="A238" s="1" t="str">
        <f>IFERROR(__xludf.DUMMYFUNCTION("""COMPUTED_VALUE"""),"HKBB")</f>
        <v>HKBB</v>
      </c>
      <c r="B238" s="1">
        <f>IFERROR(__xludf.DUMMYFUNCTION("""COMPUTED_VALUE"""),35894.0)</f>
        <v>35894</v>
      </c>
      <c r="C238" s="1">
        <f>IFERROR(__xludf.DUMMYFUNCTION("""COMPUTED_VALUE"""),40218.0)</f>
        <v>40218</v>
      </c>
      <c r="D238" s="1">
        <f>IFERROR(__xludf.DUMMYFUNCTION("""COMPUTED_VALUE"""),35894.0)</f>
        <v>35894</v>
      </c>
      <c r="E238" s="1">
        <f>IFERROR(__xludf.DUMMYFUNCTION("""COMPUTED_VALUE"""),4324.0)</f>
        <v>4324</v>
      </c>
    </row>
    <row r="239">
      <c r="A239" s="1" t="str">
        <f>IFERROR(__xludf.DUMMYFUNCTION("""COMPUTED_VALUE"""),"HKBB7525")</f>
        <v>HKBB7525</v>
      </c>
      <c r="B239" s="1">
        <f>IFERROR(__xludf.DUMMYFUNCTION("""COMPUTED_VALUE"""),2290.0)</f>
        <v>2290</v>
      </c>
      <c r="C239" s="1">
        <f>IFERROR(__xludf.DUMMYFUNCTION("""COMPUTED_VALUE"""),2362.0)</f>
        <v>2362</v>
      </c>
      <c r="D239" s="1">
        <f>IFERROR(__xludf.DUMMYFUNCTION("""COMPUTED_VALUE"""),2290.0)</f>
        <v>2290</v>
      </c>
      <c r="E239" s="1">
        <f>IFERROR(__xludf.DUMMYFUNCTION("""COMPUTED_VALUE"""),72.0)</f>
        <v>72</v>
      </c>
    </row>
    <row r="240">
      <c r="A240" s="1" t="str">
        <f>IFERROR(__xludf.DUMMYFUNCTION("""COMPUTED_VALUE"""),"HKBB7550")</f>
        <v>HKBB7550</v>
      </c>
      <c r="B240" s="1">
        <f>IFERROR(__xludf.DUMMYFUNCTION("""COMPUTED_VALUE"""),8.0)</f>
        <v>8</v>
      </c>
      <c r="C240" s="1">
        <f>IFERROR(__xludf.DUMMYFUNCTION("""COMPUTED_VALUE"""),8.0)</f>
        <v>8</v>
      </c>
      <c r="D240" s="1">
        <f>IFERROR(__xludf.DUMMYFUNCTION("""COMPUTED_VALUE"""),8.0)</f>
        <v>8</v>
      </c>
      <c r="E240" s="1">
        <f>IFERROR(__xludf.DUMMYFUNCTION("""COMPUTED_VALUE"""),0.0)</f>
        <v>0</v>
      </c>
    </row>
    <row r="241">
      <c r="A241" s="1" t="str">
        <f>IFERROR(__xludf.DUMMYFUNCTION("""COMPUTED_VALUE"""),"HKBBDD")</f>
        <v>HKBBDD</v>
      </c>
      <c r="B241" s="1">
        <f>IFERROR(__xludf.DUMMYFUNCTION("""COMPUTED_VALUE"""),11.0)</f>
        <v>11</v>
      </c>
      <c r="C241" s="1">
        <f>IFERROR(__xludf.DUMMYFUNCTION("""COMPUTED_VALUE"""),21.0)</f>
        <v>21</v>
      </c>
      <c r="D241" s="1">
        <f>IFERROR(__xludf.DUMMYFUNCTION("""COMPUTED_VALUE"""),11.0)</f>
        <v>11</v>
      </c>
      <c r="E241" s="1">
        <f>IFERROR(__xludf.DUMMYFUNCTION("""COMPUTED_VALUE"""),10.0)</f>
        <v>10</v>
      </c>
    </row>
    <row r="242">
      <c r="A242" s="1" t="str">
        <f>IFERROR(__xludf.DUMMYFUNCTION("""COMPUTED_VALUE"""),"HKBDTD")</f>
        <v>HKBDTD</v>
      </c>
      <c r="B242" s="1">
        <f>IFERROR(__xludf.DUMMYFUNCTION("""COMPUTED_VALUE"""),1141.0)</f>
        <v>1141</v>
      </c>
      <c r="C242" s="1">
        <f>IFERROR(__xludf.DUMMYFUNCTION("""COMPUTED_VALUE"""),1203.0)</f>
        <v>1203</v>
      </c>
      <c r="D242" s="1">
        <f>IFERROR(__xludf.DUMMYFUNCTION("""COMPUTED_VALUE"""),1141.0)</f>
        <v>1141</v>
      </c>
      <c r="E242" s="1">
        <f>IFERROR(__xludf.DUMMYFUNCTION("""COMPUTED_VALUE"""),62.0)</f>
        <v>62</v>
      </c>
    </row>
    <row r="243">
      <c r="A243" s="1" t="str">
        <f>IFERROR(__xludf.DUMMYFUNCTION("""COMPUTED_VALUE"""),"HKBDTDTT")</f>
        <v>HKBDTDTT</v>
      </c>
      <c r="B243" s="1">
        <f>IFERROR(__xludf.DUMMYFUNCTION("""COMPUTED_VALUE"""),2.0)</f>
        <v>2</v>
      </c>
      <c r="C243" s="1">
        <f>IFERROR(__xludf.DUMMYFUNCTION("""COMPUTED_VALUE"""),1068.7)</f>
        <v>1068.7</v>
      </c>
      <c r="D243" s="1">
        <f>IFERROR(__xludf.DUMMYFUNCTION("""COMPUTED_VALUE"""),1068.7)</f>
        <v>1068.7</v>
      </c>
      <c r="E243" s="1">
        <f>IFERROR(__xludf.DUMMYFUNCTION("""COMPUTED_VALUE"""),0.0)</f>
        <v>0</v>
      </c>
    </row>
    <row r="244">
      <c r="A244" s="1" t="str">
        <f>IFERROR(__xludf.DUMMYFUNCTION("""COMPUTED_VALUE"""),"HKBDTM")</f>
        <v>HKBDTM</v>
      </c>
      <c r="B244" s="1">
        <f>IFERROR(__xludf.DUMMYFUNCTION("""COMPUTED_VALUE"""),206.0)</f>
        <v>206</v>
      </c>
      <c r="C244" s="1">
        <f>IFERROR(__xludf.DUMMYFUNCTION("""COMPUTED_VALUE"""),344.0)</f>
        <v>344</v>
      </c>
      <c r="D244" s="1">
        <f>IFERROR(__xludf.DUMMYFUNCTION("""COMPUTED_VALUE"""),206.0)</f>
        <v>206</v>
      </c>
      <c r="E244" s="1">
        <f>IFERROR(__xludf.DUMMYFUNCTION("""COMPUTED_VALUE"""),138.0)</f>
        <v>138</v>
      </c>
    </row>
    <row r="245">
      <c r="A245" s="1" t="str">
        <f>IFERROR(__xludf.DUMMYFUNCTION("""COMPUTED_VALUE"""),"HKBHLDNVM")</f>
        <v>HKBHLDNVM</v>
      </c>
      <c r="B245" s="1">
        <f>IFERROR(__xludf.DUMMYFUNCTION("""COMPUTED_VALUE"""),1.0)</f>
        <v>1</v>
      </c>
      <c r="C245" s="1">
        <f>IFERROR(__xludf.DUMMYFUNCTION("""COMPUTED_VALUE"""),1.0)</f>
        <v>1</v>
      </c>
      <c r="D245" s="1">
        <f>IFERROR(__xludf.DUMMYFUNCTION("""COMPUTED_VALUE"""),1.0)</f>
        <v>1</v>
      </c>
      <c r="E245" s="1">
        <f>IFERROR(__xludf.DUMMYFUNCTION("""COMPUTED_VALUE"""),0.0)</f>
        <v>0</v>
      </c>
    </row>
    <row r="246">
      <c r="A246" s="1" t="str">
        <f>IFERROR(__xludf.DUMMYFUNCTION("""COMPUTED_VALUE"""),"HKBK22x30CB")</f>
        <v>HKBK22x30CB</v>
      </c>
      <c r="B246" s="1">
        <f>IFERROR(__xludf.DUMMYFUNCTION("""COMPUTED_VALUE"""),2.0)</f>
        <v>2</v>
      </c>
      <c r="C246" s="1">
        <f>IFERROR(__xludf.DUMMYFUNCTION("""COMPUTED_VALUE"""),2.0)</f>
        <v>2</v>
      </c>
      <c r="D246" s="1">
        <f>IFERROR(__xludf.DUMMYFUNCTION("""COMPUTED_VALUE"""),2.0)</f>
        <v>2</v>
      </c>
      <c r="E246" s="1">
        <f>IFERROR(__xludf.DUMMYFUNCTION("""COMPUTED_VALUE"""),0.0)</f>
        <v>0</v>
      </c>
    </row>
    <row r="247">
      <c r="A247" s="1" t="str">
        <f>IFERROR(__xludf.DUMMYFUNCTION("""COMPUTED_VALUE"""),"HKBKLOGO50")</f>
        <v>HKBKLOGO50</v>
      </c>
      <c r="B247" s="1">
        <f>IFERROR(__xludf.DUMMYFUNCTION("""COMPUTED_VALUE"""),760.0)</f>
        <v>760</v>
      </c>
      <c r="C247" s="1">
        <f>IFERROR(__xludf.DUMMYFUNCTION("""COMPUTED_VALUE"""),840.0)</f>
        <v>840</v>
      </c>
      <c r="D247" s="1">
        <f>IFERROR(__xludf.DUMMYFUNCTION("""COMPUTED_VALUE"""),760.0)</f>
        <v>760</v>
      </c>
      <c r="E247" s="1">
        <f>IFERROR(__xludf.DUMMYFUNCTION("""COMPUTED_VALUE"""),80.0)</f>
        <v>80</v>
      </c>
    </row>
    <row r="248">
      <c r="A248" s="1" t="str">
        <f>IFERROR(__xludf.DUMMYFUNCTION("""COMPUTED_VALUE"""),"HKBTLPHI12")</f>
        <v>HKBTLPHI12</v>
      </c>
      <c r="B248" s="1">
        <f>IFERROR(__xludf.DUMMYFUNCTION("""COMPUTED_VALUE"""),1.0)</f>
        <v>1</v>
      </c>
      <c r="C248" s="1">
        <f>IFERROR(__xludf.DUMMYFUNCTION("""COMPUTED_VALUE"""),1.0)</f>
        <v>1</v>
      </c>
      <c r="D248" s="1">
        <f>IFERROR(__xludf.DUMMYFUNCTION("""COMPUTED_VALUE"""),1.0)</f>
        <v>1</v>
      </c>
      <c r="E248" s="1">
        <f>IFERROR(__xludf.DUMMYFUNCTION("""COMPUTED_VALUE"""),0.0)</f>
        <v>0</v>
      </c>
    </row>
    <row r="249">
      <c r="A249" s="1" t="str">
        <f>IFERROR(__xludf.DUMMYFUNCTION("""COMPUTED_VALUE"""),"HKBTT24X25")</f>
        <v>HKBTT24X25</v>
      </c>
      <c r="B249" s="1">
        <f>IFERROR(__xludf.DUMMYFUNCTION("""COMPUTED_VALUE"""),1.0)</f>
        <v>1</v>
      </c>
      <c r="C249" s="1">
        <f>IFERROR(__xludf.DUMMYFUNCTION("""COMPUTED_VALUE"""),1.0)</f>
        <v>1</v>
      </c>
      <c r="D249" s="1">
        <f>IFERROR(__xludf.DUMMYFUNCTION("""COMPUTED_VALUE"""),1.0)</f>
        <v>1</v>
      </c>
      <c r="E249" s="1">
        <f>IFERROR(__xludf.DUMMYFUNCTION("""COMPUTED_VALUE"""),0.0)</f>
        <v>0</v>
      </c>
    </row>
    <row r="250">
      <c r="A250" s="1" t="str">
        <f>IFERROR(__xludf.DUMMYFUNCTION("""COMPUTED_VALUE"""),"HKBTT32x25")</f>
        <v>HKBTT32x25</v>
      </c>
      <c r="B250" s="1">
        <f>IFERROR(__xludf.DUMMYFUNCTION("""COMPUTED_VALUE"""),23.0)</f>
        <v>23</v>
      </c>
      <c r="C250" s="1">
        <f>IFERROR(__xludf.DUMMYFUNCTION("""COMPUTED_VALUE"""),23.0)</f>
        <v>23</v>
      </c>
      <c r="D250" s="1">
        <f>IFERROR(__xludf.DUMMYFUNCTION("""COMPUTED_VALUE"""),23.0)</f>
        <v>23</v>
      </c>
      <c r="E250" s="1">
        <f>IFERROR(__xludf.DUMMYFUNCTION("""COMPUTED_VALUE"""),0.0)</f>
        <v>0</v>
      </c>
    </row>
    <row r="251">
      <c r="A251" s="1" t="str">
        <f>IFERROR(__xludf.DUMMYFUNCTION("""COMPUTED_VALUE"""),"HKBTT32X25KC")</f>
        <v>HKBTT32X25KC</v>
      </c>
      <c r="B251" s="1">
        <f>IFERROR(__xludf.DUMMYFUNCTION("""COMPUTED_VALUE"""),0.0)</f>
        <v>0</v>
      </c>
      <c r="C251" s="1">
        <f>IFERROR(__xludf.DUMMYFUNCTION("""COMPUTED_VALUE"""),15.0)</f>
        <v>15</v>
      </c>
      <c r="D251" s="1">
        <f>IFERROR(__xludf.DUMMYFUNCTION("""COMPUTED_VALUE"""),0.0)</f>
        <v>0</v>
      </c>
      <c r="E251" s="1">
        <f>IFERROR(__xludf.DUMMYFUNCTION("""COMPUTED_VALUE"""),15.0)</f>
        <v>15</v>
      </c>
    </row>
    <row r="252">
      <c r="A252" s="1" t="str">
        <f>IFERROR(__xludf.DUMMYFUNCTION("""COMPUTED_VALUE"""),"HKBTT32X50")</f>
        <v>HKBTT32X50</v>
      </c>
      <c r="B252" s="1">
        <f>IFERROR(__xludf.DUMMYFUNCTION("""COMPUTED_VALUE"""),34.0)</f>
        <v>34</v>
      </c>
      <c r="C252" s="1">
        <f>IFERROR(__xludf.DUMMYFUNCTION("""COMPUTED_VALUE"""),36.0)</f>
        <v>36</v>
      </c>
      <c r="D252" s="1">
        <f>IFERROR(__xludf.DUMMYFUNCTION("""COMPUTED_VALUE"""),36.0)</f>
        <v>36</v>
      </c>
      <c r="E252" s="1">
        <f>IFERROR(__xludf.DUMMYFUNCTION("""COMPUTED_VALUE"""),0.0)</f>
        <v>0</v>
      </c>
    </row>
    <row r="253">
      <c r="A253" s="1" t="str">
        <f>IFERROR(__xludf.DUMMYFUNCTION("""COMPUTED_VALUE"""),"HKBXBAN3")</f>
        <v>HKBXBAN3</v>
      </c>
      <c r="B253" s="1">
        <f>IFERROR(__xludf.DUMMYFUNCTION("""COMPUTED_VALUE"""),1.0)</f>
        <v>1</v>
      </c>
      <c r="C253" s="1">
        <f>IFERROR(__xludf.DUMMYFUNCTION("""COMPUTED_VALUE"""),1.0)</f>
        <v>1</v>
      </c>
      <c r="D253" s="1">
        <f>IFERROR(__xludf.DUMMYFUNCTION("""COMPUTED_VALUE"""),1.0)</f>
        <v>1</v>
      </c>
      <c r="E253" s="1">
        <f>IFERROR(__xludf.DUMMYFUNCTION("""COMPUTED_VALUE"""),0.0)</f>
        <v>0</v>
      </c>
    </row>
    <row r="254">
      <c r="A254" s="1" t="str">
        <f>IFERROR(__xludf.DUMMYFUNCTION("""COMPUTED_VALUE"""),"HKBXD3X5X10ATT")</f>
        <v>HKBXD3X5X10ATT</v>
      </c>
      <c r="B254" s="1">
        <f>IFERROR(__xludf.DUMMYFUNCTION("""COMPUTED_VALUE"""),254.0)</f>
        <v>254</v>
      </c>
      <c r="C254" s="1">
        <f>IFERROR(__xludf.DUMMYFUNCTION("""COMPUTED_VALUE"""),254.0)</f>
        <v>254</v>
      </c>
      <c r="D254" s="1">
        <f>IFERROR(__xludf.DUMMYFUNCTION("""COMPUTED_VALUE"""),254.0)</f>
        <v>254</v>
      </c>
      <c r="E254" s="1">
        <f>IFERROR(__xludf.DUMMYFUNCTION("""COMPUTED_VALUE"""),0.0)</f>
        <v>0</v>
      </c>
    </row>
    <row r="255">
      <c r="A255" s="1" t="str">
        <f>IFERROR(__xludf.DUMMYFUNCTION("""COMPUTED_VALUE"""),"HKBXD5X50X10")</f>
        <v>HKBXD5X50X10</v>
      </c>
      <c r="B255" s="1">
        <f>IFERROR(__xludf.DUMMYFUNCTION("""COMPUTED_VALUE"""),2.0)</f>
        <v>2</v>
      </c>
      <c r="C255" s="1">
        <f>IFERROR(__xludf.DUMMYFUNCTION("""COMPUTED_VALUE"""),2.0)</f>
        <v>2</v>
      </c>
      <c r="D255" s="1">
        <f>IFERROR(__xludf.DUMMYFUNCTION("""COMPUTED_VALUE"""),2.0)</f>
        <v>2</v>
      </c>
      <c r="E255" s="1">
        <f>IFERROR(__xludf.DUMMYFUNCTION("""COMPUTED_VALUE"""),0.0)</f>
        <v>0</v>
      </c>
    </row>
    <row r="256">
      <c r="A256" s="1" t="str">
        <f>IFERROR(__xludf.DUMMYFUNCTION("""COMPUTED_VALUE"""),"HKBXD5X5X10ATT")</f>
        <v>HKBXD5X5X10ATT</v>
      </c>
      <c r="B256" s="1">
        <f>IFERROR(__xludf.DUMMYFUNCTION("""COMPUTED_VALUE"""),47.0)</f>
        <v>47</v>
      </c>
      <c r="C256" s="1">
        <f>IFERROR(__xludf.DUMMYFUNCTION("""COMPUTED_VALUE"""),47.0)</f>
        <v>47</v>
      </c>
      <c r="D256" s="1">
        <f>IFERROR(__xludf.DUMMYFUNCTION("""COMPUTED_VALUE"""),47.0)</f>
        <v>47</v>
      </c>
      <c r="E256" s="1">
        <f>IFERROR(__xludf.DUMMYFUNCTION("""COMPUTED_VALUE"""),0.0)</f>
        <v>0</v>
      </c>
    </row>
    <row r="257">
      <c r="A257" s="1" t="str">
        <f>IFERROR(__xludf.DUMMYFUNCTION("""COMPUTED_VALUE"""),"HKBXMNHAMBAN2.5")</f>
        <v>HKBXMNHAMBAN2.5</v>
      </c>
      <c r="B257" s="1">
        <f>IFERROR(__xludf.DUMMYFUNCTION("""COMPUTED_VALUE"""),893.0)</f>
        <v>893</v>
      </c>
      <c r="C257" s="1">
        <f>IFERROR(__xludf.DUMMYFUNCTION("""COMPUTED_VALUE"""),1403.0)</f>
        <v>1403</v>
      </c>
      <c r="D257" s="1">
        <f>IFERROR(__xludf.DUMMYFUNCTION("""COMPUTED_VALUE"""),893.0)</f>
        <v>893</v>
      </c>
      <c r="E257" s="1">
        <f>IFERROR(__xludf.DUMMYFUNCTION("""COMPUTED_VALUE"""),510.0)</f>
        <v>510</v>
      </c>
    </row>
    <row r="258">
      <c r="A258" s="1" t="str">
        <f>IFERROR(__xludf.DUMMYFUNCTION("""COMPUTED_VALUE"""),"HKCHECH10")</f>
        <v>HKCHECH10</v>
      </c>
      <c r="B258" s="1">
        <f>IFERROR(__xludf.DUMMYFUNCTION("""COMPUTED_VALUE"""),692.0)</f>
        <v>692</v>
      </c>
      <c r="C258" s="1">
        <f>IFERROR(__xludf.DUMMYFUNCTION("""COMPUTED_VALUE"""),702.0)</f>
        <v>702</v>
      </c>
      <c r="D258" s="1">
        <f>IFERROR(__xludf.DUMMYFUNCTION("""COMPUTED_VALUE"""),692.0)</f>
        <v>692</v>
      </c>
      <c r="E258" s="1">
        <f>IFERROR(__xludf.DUMMYFUNCTION("""COMPUTED_VALUE"""),10.0)</f>
        <v>10</v>
      </c>
    </row>
    <row r="259">
      <c r="A259" s="1" t="str">
        <f>IFERROR(__xludf.DUMMYFUNCTION("""COMPUTED_VALUE"""),"HKCHECH12")</f>
        <v>HKCHECH12</v>
      </c>
      <c r="B259" s="1">
        <f>IFERROR(__xludf.DUMMYFUNCTION("""COMPUTED_VALUE"""),382.0)</f>
        <v>382</v>
      </c>
      <c r="C259" s="1">
        <f>IFERROR(__xludf.DUMMYFUNCTION("""COMPUTED_VALUE"""),1032.0)</f>
        <v>1032</v>
      </c>
      <c r="D259" s="1">
        <f>IFERROR(__xludf.DUMMYFUNCTION("""COMPUTED_VALUE"""),382.0)</f>
        <v>382</v>
      </c>
      <c r="E259" s="1">
        <f>IFERROR(__xludf.DUMMYFUNCTION("""COMPUTED_VALUE"""),650.0)</f>
        <v>650</v>
      </c>
    </row>
    <row r="260">
      <c r="A260" s="1" t="str">
        <f>IFERROR(__xludf.DUMMYFUNCTION("""COMPUTED_VALUE"""),"HKCHECH25")</f>
        <v>HKCHECH25</v>
      </c>
      <c r="B260" s="1">
        <f>IFERROR(__xludf.DUMMYFUNCTION("""COMPUTED_VALUE"""),723.0)</f>
        <v>723</v>
      </c>
      <c r="C260" s="1">
        <f>IFERROR(__xludf.DUMMYFUNCTION("""COMPUTED_VALUE"""),1033.0)</f>
        <v>1033</v>
      </c>
      <c r="D260" s="1">
        <f>IFERROR(__xludf.DUMMYFUNCTION("""COMPUTED_VALUE"""),723.0)</f>
        <v>723</v>
      </c>
      <c r="E260" s="1">
        <f>IFERROR(__xludf.DUMMYFUNCTION("""COMPUTED_VALUE"""),310.0)</f>
        <v>310</v>
      </c>
    </row>
    <row r="261">
      <c r="A261" s="1" t="str">
        <f>IFERROR(__xludf.DUMMYFUNCTION("""COMPUTED_VALUE"""),"HKCHECH45")</f>
        <v>HKCHECH45</v>
      </c>
      <c r="B261" s="1">
        <f>IFERROR(__xludf.DUMMYFUNCTION("""COMPUTED_VALUE"""),111.0)</f>
        <v>111</v>
      </c>
      <c r="C261" s="1">
        <f>IFERROR(__xludf.DUMMYFUNCTION("""COMPUTED_VALUE"""),186.0)</f>
        <v>186</v>
      </c>
      <c r="D261" s="1">
        <f>IFERROR(__xludf.DUMMYFUNCTION("""COMPUTED_VALUE"""),111.0)</f>
        <v>111</v>
      </c>
      <c r="E261" s="1">
        <f>IFERROR(__xludf.DUMMYFUNCTION("""COMPUTED_VALUE"""),75.0)</f>
        <v>75</v>
      </c>
    </row>
    <row r="262">
      <c r="A262" s="1" t="str">
        <f>IFERROR(__xludf.DUMMYFUNCTION("""COMPUTED_VALUE"""),"HKCHECH67")</f>
        <v>HKCHECH67</v>
      </c>
      <c r="B262" s="1">
        <f>IFERROR(__xludf.DUMMYFUNCTION("""COMPUTED_VALUE"""),26.0)</f>
        <v>26</v>
      </c>
      <c r="C262" s="1">
        <f>IFERROR(__xludf.DUMMYFUNCTION("""COMPUTED_VALUE"""),56.0)</f>
        <v>56</v>
      </c>
      <c r="D262" s="1">
        <f>IFERROR(__xludf.DUMMYFUNCTION("""COMPUTED_VALUE"""),26.0)</f>
        <v>26</v>
      </c>
      <c r="E262" s="1">
        <f>IFERROR(__xludf.DUMMYFUNCTION("""COMPUTED_VALUE"""),30.0)</f>
        <v>30</v>
      </c>
    </row>
    <row r="263">
      <c r="A263" s="1" t="str">
        <f>IFERROR(__xludf.DUMMYFUNCTION("""COMPUTED_VALUE"""),"HKCHECH76")</f>
        <v>HKCHECH76</v>
      </c>
      <c r="B263" s="1">
        <f>IFERROR(__xludf.DUMMYFUNCTION("""COMPUTED_VALUE"""),72.0)</f>
        <v>72</v>
      </c>
      <c r="C263" s="1">
        <f>IFERROR(__xludf.DUMMYFUNCTION("""COMPUTED_VALUE"""),72.0)</f>
        <v>72</v>
      </c>
      <c r="D263" s="1">
        <f>IFERROR(__xludf.DUMMYFUNCTION("""COMPUTED_VALUE"""),72.0)</f>
        <v>72</v>
      </c>
      <c r="E263" s="1">
        <f>IFERROR(__xludf.DUMMYFUNCTION("""COMPUTED_VALUE"""),0.0)</f>
        <v>0</v>
      </c>
    </row>
    <row r="264">
      <c r="A264" s="1" t="str">
        <f>IFERROR(__xludf.DUMMYFUNCTION("""COMPUTED_VALUE"""),"HKCHENH16")</f>
        <v>HKCHENH16</v>
      </c>
      <c r="B264" s="1">
        <f>IFERROR(__xludf.DUMMYFUNCTION("""COMPUTED_VALUE"""),1416.0)</f>
        <v>1416</v>
      </c>
      <c r="C264" s="1">
        <f>IFERROR(__xludf.DUMMYFUNCTION("""COMPUTED_VALUE"""),1976.0)</f>
        <v>1976</v>
      </c>
      <c r="D264" s="1">
        <f>IFERROR(__xludf.DUMMYFUNCTION("""COMPUTED_VALUE"""),1416.0)</f>
        <v>1416</v>
      </c>
      <c r="E264" s="1">
        <f>IFERROR(__xludf.DUMMYFUNCTION("""COMPUTED_VALUE"""),560.0)</f>
        <v>560</v>
      </c>
    </row>
    <row r="265">
      <c r="A265" s="1" t="str">
        <f>IFERROR(__xludf.DUMMYFUNCTION("""COMPUTED_VALUE"""),"HKCHENH19")</f>
        <v>HKCHENH19</v>
      </c>
      <c r="B265" s="1">
        <f>IFERROR(__xludf.DUMMYFUNCTION("""COMPUTED_VALUE"""),1019.0)</f>
        <v>1019</v>
      </c>
      <c r="C265" s="1">
        <f>IFERROR(__xludf.DUMMYFUNCTION("""COMPUTED_VALUE"""),1787.0)</f>
        <v>1787</v>
      </c>
      <c r="D265" s="1">
        <f>IFERROR(__xludf.DUMMYFUNCTION("""COMPUTED_VALUE"""),1019.0)</f>
        <v>1019</v>
      </c>
      <c r="E265" s="1">
        <f>IFERROR(__xludf.DUMMYFUNCTION("""COMPUTED_VALUE"""),768.0)</f>
        <v>768</v>
      </c>
    </row>
    <row r="266">
      <c r="A266" s="1" t="str">
        <f>IFERROR(__xludf.DUMMYFUNCTION("""COMPUTED_VALUE"""),"HKCHENH22")</f>
        <v>HKCHENH22</v>
      </c>
      <c r="B266" s="1">
        <f>IFERROR(__xludf.DUMMYFUNCTION("""COMPUTED_VALUE"""),1393.0)</f>
        <v>1393</v>
      </c>
      <c r="C266" s="1">
        <f>IFERROR(__xludf.DUMMYFUNCTION("""COMPUTED_VALUE"""),2052.0)</f>
        <v>2052</v>
      </c>
      <c r="D266" s="1">
        <f>IFERROR(__xludf.DUMMYFUNCTION("""COMPUTED_VALUE"""),1393.0)</f>
        <v>1393</v>
      </c>
      <c r="E266" s="1">
        <f>IFERROR(__xludf.DUMMYFUNCTION("""COMPUTED_VALUE"""),659.0)</f>
        <v>659</v>
      </c>
    </row>
    <row r="267">
      <c r="A267" s="1" t="str">
        <f>IFERROR(__xludf.DUMMYFUNCTION("""COMPUTED_VALUE"""),"HKCHENH28")</f>
        <v>HKCHENH28</v>
      </c>
      <c r="B267" s="1">
        <f>IFERROR(__xludf.DUMMYFUNCTION("""COMPUTED_VALUE"""),653.0)</f>
        <v>653</v>
      </c>
      <c r="C267" s="1">
        <f>IFERROR(__xludf.DUMMYFUNCTION("""COMPUTED_VALUE"""),1682.0)</f>
        <v>1682</v>
      </c>
      <c r="D267" s="1">
        <f>IFERROR(__xludf.DUMMYFUNCTION("""COMPUTED_VALUE"""),653.0)</f>
        <v>653</v>
      </c>
      <c r="E267" s="1">
        <f>IFERROR(__xludf.DUMMYFUNCTION("""COMPUTED_VALUE"""),1029.0)</f>
        <v>1029</v>
      </c>
    </row>
    <row r="268">
      <c r="A268" s="1" t="str">
        <f>IFERROR(__xludf.DUMMYFUNCTION("""COMPUTED_VALUE"""),"HKCHENH32")</f>
        <v>HKCHENH32</v>
      </c>
      <c r="B268" s="1">
        <f>IFERROR(__xludf.DUMMYFUNCTION("""COMPUTED_VALUE"""),428.0)</f>
        <v>428</v>
      </c>
      <c r="C268" s="1">
        <f>IFERROR(__xludf.DUMMYFUNCTION("""COMPUTED_VALUE"""),793.0)</f>
        <v>793</v>
      </c>
      <c r="D268" s="1">
        <f>IFERROR(__xludf.DUMMYFUNCTION("""COMPUTED_VALUE"""),428.0)</f>
        <v>428</v>
      </c>
      <c r="E268" s="1">
        <f>IFERROR(__xludf.DUMMYFUNCTION("""COMPUTED_VALUE"""),365.0)</f>
        <v>365</v>
      </c>
    </row>
    <row r="269">
      <c r="A269" s="1" t="str">
        <f>IFERROR(__xludf.DUMMYFUNCTION("""COMPUTED_VALUE"""),"HKCHENH35")</f>
        <v>HKCHENH35</v>
      </c>
      <c r="B269" s="1">
        <f>IFERROR(__xludf.DUMMYFUNCTION("""COMPUTED_VALUE"""),1033.0)</f>
        <v>1033</v>
      </c>
      <c r="C269" s="1">
        <f>IFERROR(__xludf.DUMMYFUNCTION("""COMPUTED_VALUE"""),1672.0)</f>
        <v>1672</v>
      </c>
      <c r="D269" s="1">
        <f>IFERROR(__xludf.DUMMYFUNCTION("""COMPUTED_VALUE"""),1033.0)</f>
        <v>1033</v>
      </c>
      <c r="E269" s="1">
        <f>IFERROR(__xludf.DUMMYFUNCTION("""COMPUTED_VALUE"""),639.0)</f>
        <v>639</v>
      </c>
    </row>
    <row r="270">
      <c r="A270" s="1" t="str">
        <f>IFERROR(__xludf.DUMMYFUNCTION("""COMPUTED_VALUE"""),"HKCHENH38")</f>
        <v>HKCHENH38</v>
      </c>
      <c r="B270" s="1">
        <f>IFERROR(__xludf.DUMMYFUNCTION("""COMPUTED_VALUE"""),536.0)</f>
        <v>536</v>
      </c>
      <c r="C270" s="1">
        <f>IFERROR(__xludf.DUMMYFUNCTION("""COMPUTED_VALUE"""),893.0)</f>
        <v>893</v>
      </c>
      <c r="D270" s="1">
        <f>IFERROR(__xludf.DUMMYFUNCTION("""COMPUTED_VALUE"""),536.0)</f>
        <v>536</v>
      </c>
      <c r="E270" s="1">
        <f>IFERROR(__xludf.DUMMYFUNCTION("""COMPUTED_VALUE"""),357.0)</f>
        <v>357</v>
      </c>
    </row>
    <row r="271">
      <c r="A271" s="1" t="str">
        <f>IFERROR(__xludf.DUMMYFUNCTION("""COMPUTED_VALUE"""),"HKCHENH42")</f>
        <v>HKCHENH42</v>
      </c>
      <c r="B271" s="1">
        <f>IFERROR(__xludf.DUMMYFUNCTION("""COMPUTED_VALUE"""),814.0)</f>
        <v>814</v>
      </c>
      <c r="C271" s="1">
        <f>IFERROR(__xludf.DUMMYFUNCTION("""COMPUTED_VALUE"""),1104.0)</f>
        <v>1104</v>
      </c>
      <c r="D271" s="1">
        <f>IFERROR(__xludf.DUMMYFUNCTION("""COMPUTED_VALUE"""),814.0)</f>
        <v>814</v>
      </c>
      <c r="E271" s="1">
        <f>IFERROR(__xludf.DUMMYFUNCTION("""COMPUTED_VALUE"""),290.0)</f>
        <v>290</v>
      </c>
    </row>
    <row r="272">
      <c r="A272" s="1" t="str">
        <f>IFERROR(__xludf.DUMMYFUNCTION("""COMPUTED_VALUE"""),"HKCHENH54")</f>
        <v>HKCHENH54</v>
      </c>
      <c r="B272" s="1">
        <f>IFERROR(__xludf.DUMMYFUNCTION("""COMPUTED_VALUE"""),185.0)</f>
        <v>185</v>
      </c>
      <c r="C272" s="1">
        <f>IFERROR(__xludf.DUMMYFUNCTION("""COMPUTED_VALUE"""),213.0)</f>
        <v>213</v>
      </c>
      <c r="D272" s="1">
        <f>IFERROR(__xludf.DUMMYFUNCTION("""COMPUTED_VALUE"""),185.0)</f>
        <v>185</v>
      </c>
      <c r="E272" s="1">
        <f>IFERROR(__xludf.DUMMYFUNCTION("""COMPUTED_VALUE"""),28.0)</f>
        <v>28</v>
      </c>
    </row>
    <row r="273">
      <c r="A273" s="1" t="str">
        <f>IFERROR(__xludf.DUMMYFUNCTION("""COMPUTED_VALUE"""),"HKCN")</f>
        <v>HKCN</v>
      </c>
      <c r="B273" s="1">
        <f>IFERROR(__xludf.DUMMYFUNCTION("""COMPUTED_VALUE"""),173.0)</f>
        <v>173</v>
      </c>
      <c r="C273" s="1">
        <f>IFERROR(__xludf.DUMMYFUNCTION("""COMPUTED_VALUE"""),173.0)</f>
        <v>173</v>
      </c>
      <c r="D273" s="1">
        <f>IFERROR(__xludf.DUMMYFUNCTION("""COMPUTED_VALUE"""),173.0)</f>
        <v>173</v>
      </c>
      <c r="E273" s="1">
        <f>IFERROR(__xludf.DUMMYFUNCTION("""COMPUTED_VALUE"""),0.0)</f>
        <v>0</v>
      </c>
    </row>
    <row r="274">
      <c r="A274" s="1" t="str">
        <f>IFERROR(__xludf.DUMMYFUNCTION("""COMPUTED_VALUE"""),"HKCOCHD")</f>
        <v>HKCOCHD</v>
      </c>
      <c r="B274" s="1">
        <f>IFERROR(__xludf.DUMMYFUNCTION("""COMPUTED_VALUE"""),6.0)</f>
        <v>6</v>
      </c>
      <c r="C274" s="1">
        <f>IFERROR(__xludf.DUMMYFUNCTION("""COMPUTED_VALUE"""),9.0)</f>
        <v>9</v>
      </c>
      <c r="D274" s="1">
        <f>IFERROR(__xludf.DUMMYFUNCTION("""COMPUTED_VALUE"""),9.0)</f>
        <v>9</v>
      </c>
      <c r="E274" s="1">
        <f>IFERROR(__xludf.DUMMYFUNCTION("""COMPUTED_VALUE"""),0.0)</f>
        <v>0</v>
      </c>
    </row>
    <row r="275">
      <c r="A275" s="1" t="str">
        <f>IFERROR(__xludf.DUMMYFUNCTION("""COMPUTED_VALUE"""),"HKCOD10")</f>
        <v>HKCOD10</v>
      </c>
      <c r="B275" s="1">
        <f>IFERROR(__xludf.DUMMYFUNCTION("""COMPUTED_VALUE"""),5421.0)</f>
        <v>5421</v>
      </c>
      <c r="C275" s="1">
        <f>IFERROR(__xludf.DUMMYFUNCTION("""COMPUTED_VALUE"""),7155.0)</f>
        <v>7155</v>
      </c>
      <c r="D275" s="1">
        <f>IFERROR(__xludf.DUMMYFUNCTION("""COMPUTED_VALUE"""),5421.0)</f>
        <v>5421</v>
      </c>
      <c r="E275" s="1">
        <f>IFERROR(__xludf.DUMMYFUNCTION("""COMPUTED_VALUE"""),1734.0)</f>
        <v>1734</v>
      </c>
    </row>
    <row r="276">
      <c r="A276" s="1" t="str">
        <f>IFERROR(__xludf.DUMMYFUNCTION("""COMPUTED_VALUE"""),"HKCOD12")</f>
        <v>HKCOD12</v>
      </c>
      <c r="B276" s="1">
        <f>IFERROR(__xludf.DUMMYFUNCTION("""COMPUTED_VALUE"""),4353.0)</f>
        <v>4353</v>
      </c>
      <c r="C276" s="1">
        <f>IFERROR(__xludf.DUMMYFUNCTION("""COMPUTED_VALUE"""),5728.0)</f>
        <v>5728</v>
      </c>
      <c r="D276" s="1">
        <f>IFERROR(__xludf.DUMMYFUNCTION("""COMPUTED_VALUE"""),4353.0)</f>
        <v>4353</v>
      </c>
      <c r="E276" s="1">
        <f>IFERROR(__xludf.DUMMYFUNCTION("""COMPUTED_VALUE"""),1375.0)</f>
        <v>1375</v>
      </c>
    </row>
    <row r="277">
      <c r="A277" s="1" t="str">
        <f>IFERROR(__xludf.DUMMYFUNCTION("""COMPUTED_VALUE"""),"HKCOD16")</f>
        <v>HKCOD16</v>
      </c>
      <c r="B277" s="1">
        <f>IFERROR(__xludf.DUMMYFUNCTION("""COMPUTED_VALUE"""),4140.0)</f>
        <v>4140</v>
      </c>
      <c r="C277" s="1">
        <f>IFERROR(__xludf.DUMMYFUNCTION("""COMPUTED_VALUE"""),6848.0)</f>
        <v>6848</v>
      </c>
      <c r="D277" s="1">
        <f>IFERROR(__xludf.DUMMYFUNCTION("""COMPUTED_VALUE"""),4140.0)</f>
        <v>4140</v>
      </c>
      <c r="E277" s="1">
        <f>IFERROR(__xludf.DUMMYFUNCTION("""COMPUTED_VALUE"""),2708.0)</f>
        <v>2708</v>
      </c>
    </row>
    <row r="278">
      <c r="A278" s="1" t="str">
        <f>IFERROR(__xludf.DUMMYFUNCTION("""COMPUTED_VALUE"""),"HKCOD19")</f>
        <v>HKCOD19</v>
      </c>
      <c r="B278" s="1">
        <f>IFERROR(__xludf.DUMMYFUNCTION("""COMPUTED_VALUE"""),3649.0)</f>
        <v>3649</v>
      </c>
      <c r="C278" s="1">
        <f>IFERROR(__xludf.DUMMYFUNCTION("""COMPUTED_VALUE"""),4947.0)</f>
        <v>4947</v>
      </c>
      <c r="D278" s="1">
        <f>IFERROR(__xludf.DUMMYFUNCTION("""COMPUTED_VALUE"""),3649.0)</f>
        <v>3649</v>
      </c>
      <c r="E278" s="1">
        <f>IFERROR(__xludf.DUMMYFUNCTION("""COMPUTED_VALUE"""),1298.0)</f>
        <v>1298</v>
      </c>
    </row>
    <row r="279">
      <c r="A279" s="1" t="str">
        <f>IFERROR(__xludf.DUMMYFUNCTION("""COMPUTED_VALUE"""),"HKCOD22")</f>
        <v>HKCOD22</v>
      </c>
      <c r="B279" s="1">
        <f>IFERROR(__xludf.DUMMYFUNCTION("""COMPUTED_VALUE"""),1093.0)</f>
        <v>1093</v>
      </c>
      <c r="C279" s="1">
        <f>IFERROR(__xludf.DUMMYFUNCTION("""COMPUTED_VALUE"""),1410.0)</f>
        <v>1410</v>
      </c>
      <c r="D279" s="1">
        <f>IFERROR(__xludf.DUMMYFUNCTION("""COMPUTED_VALUE"""),1093.0)</f>
        <v>1093</v>
      </c>
      <c r="E279" s="1">
        <f>IFERROR(__xludf.DUMMYFUNCTION("""COMPUTED_VALUE"""),317.0)</f>
        <v>317</v>
      </c>
    </row>
    <row r="280">
      <c r="A280" s="1" t="str">
        <f>IFERROR(__xludf.DUMMYFUNCTION("""COMPUTED_VALUE"""),"HKCOD25")</f>
        <v>HKCOD25</v>
      </c>
      <c r="B280" s="1">
        <f>IFERROR(__xludf.DUMMYFUNCTION("""COMPUTED_VALUE"""),5862.0)</f>
        <v>5862</v>
      </c>
      <c r="C280" s="1">
        <f>IFERROR(__xludf.DUMMYFUNCTION("""COMPUTED_VALUE"""),6554.0)</f>
        <v>6554</v>
      </c>
      <c r="D280" s="1">
        <f>IFERROR(__xludf.DUMMYFUNCTION("""COMPUTED_VALUE"""),5862.0)</f>
        <v>5862</v>
      </c>
      <c r="E280" s="1">
        <f>IFERROR(__xludf.DUMMYFUNCTION("""COMPUTED_VALUE"""),692.0)</f>
        <v>692</v>
      </c>
    </row>
    <row r="281">
      <c r="A281" s="1" t="str">
        <f>IFERROR(__xludf.DUMMYFUNCTION("""COMPUTED_VALUE"""),"HKCOD28")</f>
        <v>HKCOD28</v>
      </c>
      <c r="B281" s="1">
        <f>IFERROR(__xludf.DUMMYFUNCTION("""COMPUTED_VALUE"""),1441.0)</f>
        <v>1441</v>
      </c>
      <c r="C281" s="1">
        <f>IFERROR(__xludf.DUMMYFUNCTION("""COMPUTED_VALUE"""),2299.0)</f>
        <v>2299</v>
      </c>
      <c r="D281" s="1">
        <f>IFERROR(__xludf.DUMMYFUNCTION("""COMPUTED_VALUE"""),1441.0)</f>
        <v>1441</v>
      </c>
      <c r="E281" s="1">
        <f>IFERROR(__xludf.DUMMYFUNCTION("""COMPUTED_VALUE"""),858.0)</f>
        <v>858</v>
      </c>
    </row>
    <row r="282">
      <c r="A282" s="1" t="str">
        <f>IFERROR(__xludf.DUMMYFUNCTION("""COMPUTED_VALUE"""),"HKCOD32")</f>
        <v>HKCOD32</v>
      </c>
      <c r="B282" s="1">
        <f>IFERROR(__xludf.DUMMYFUNCTION("""COMPUTED_VALUE"""),777.0)</f>
        <v>777</v>
      </c>
      <c r="C282" s="1">
        <f>IFERROR(__xludf.DUMMYFUNCTION("""COMPUTED_VALUE"""),1428.0)</f>
        <v>1428</v>
      </c>
      <c r="D282" s="1">
        <f>IFERROR(__xludf.DUMMYFUNCTION("""COMPUTED_VALUE"""),777.0)</f>
        <v>777</v>
      </c>
      <c r="E282" s="1">
        <f>IFERROR(__xludf.DUMMYFUNCTION("""COMPUTED_VALUE"""),651.0)</f>
        <v>651</v>
      </c>
    </row>
    <row r="283">
      <c r="A283" s="1" t="str">
        <f>IFERROR(__xludf.DUMMYFUNCTION("""COMPUTED_VALUE"""),"HKCOD35")</f>
        <v>HKCOD35</v>
      </c>
      <c r="B283" s="1">
        <f>IFERROR(__xludf.DUMMYFUNCTION("""COMPUTED_VALUE"""),6986.0)</f>
        <v>6986</v>
      </c>
      <c r="C283" s="1">
        <f>IFERROR(__xludf.DUMMYFUNCTION("""COMPUTED_VALUE"""),13582.0)</f>
        <v>13582</v>
      </c>
      <c r="D283" s="1">
        <f>IFERROR(__xludf.DUMMYFUNCTION("""COMPUTED_VALUE"""),6986.0)</f>
        <v>6986</v>
      </c>
      <c r="E283" s="1">
        <f>IFERROR(__xludf.DUMMYFUNCTION("""COMPUTED_VALUE"""),6596.0)</f>
        <v>6596</v>
      </c>
    </row>
    <row r="284">
      <c r="A284" s="1" t="str">
        <f>IFERROR(__xludf.DUMMYFUNCTION("""COMPUTED_VALUE"""),"HKCOD38")</f>
        <v>HKCOD38</v>
      </c>
      <c r="B284" s="1">
        <f>IFERROR(__xludf.DUMMYFUNCTION("""COMPUTED_VALUE"""),1407.0)</f>
        <v>1407</v>
      </c>
      <c r="C284" s="1">
        <f>IFERROR(__xludf.DUMMYFUNCTION("""COMPUTED_VALUE"""),1537.0)</f>
        <v>1537</v>
      </c>
      <c r="D284" s="1">
        <f>IFERROR(__xludf.DUMMYFUNCTION("""COMPUTED_VALUE"""),1407.0)</f>
        <v>1407</v>
      </c>
      <c r="E284" s="1">
        <f>IFERROR(__xludf.DUMMYFUNCTION("""COMPUTED_VALUE"""),130.0)</f>
        <v>130</v>
      </c>
    </row>
    <row r="285">
      <c r="A285" s="1" t="str">
        <f>IFERROR(__xludf.DUMMYFUNCTION("""COMPUTED_VALUE"""),"HKCOD42")</f>
        <v>HKCOD42</v>
      </c>
      <c r="B285" s="1">
        <f>IFERROR(__xludf.DUMMYFUNCTION("""COMPUTED_VALUE"""),9402.0)</f>
        <v>9402</v>
      </c>
      <c r="C285" s="1">
        <f>IFERROR(__xludf.DUMMYFUNCTION("""COMPUTED_VALUE"""),11743.0)</f>
        <v>11743</v>
      </c>
      <c r="D285" s="1">
        <f>IFERROR(__xludf.DUMMYFUNCTION("""COMPUTED_VALUE"""),9402.0)</f>
        <v>9402</v>
      </c>
      <c r="E285" s="1">
        <f>IFERROR(__xludf.DUMMYFUNCTION("""COMPUTED_VALUE"""),2341.0)</f>
        <v>2341</v>
      </c>
    </row>
    <row r="286">
      <c r="A286" s="1" t="str">
        <f>IFERROR(__xludf.DUMMYFUNCTION("""COMPUTED_VALUE"""),"HKCOD45")</f>
        <v>HKCOD45</v>
      </c>
      <c r="B286" s="1">
        <f>IFERROR(__xludf.DUMMYFUNCTION("""COMPUTED_VALUE"""),1438.0)</f>
        <v>1438</v>
      </c>
      <c r="C286" s="1">
        <f>IFERROR(__xludf.DUMMYFUNCTION("""COMPUTED_VALUE"""),1593.0)</f>
        <v>1593</v>
      </c>
      <c r="D286" s="1">
        <f>IFERROR(__xludf.DUMMYFUNCTION("""COMPUTED_VALUE"""),1438.0)</f>
        <v>1438</v>
      </c>
      <c r="E286" s="1">
        <f>IFERROR(__xludf.DUMMYFUNCTION("""COMPUTED_VALUE"""),155.0)</f>
        <v>155</v>
      </c>
    </row>
    <row r="287">
      <c r="A287" s="1" t="str">
        <f>IFERROR(__xludf.DUMMYFUNCTION("""COMPUTED_VALUE"""),"HKCOD54")</f>
        <v>HKCOD54</v>
      </c>
      <c r="B287" s="1">
        <f>IFERROR(__xludf.DUMMYFUNCTION("""COMPUTED_VALUE"""),52.0)</f>
        <v>52</v>
      </c>
      <c r="C287" s="1">
        <f>IFERROR(__xludf.DUMMYFUNCTION("""COMPUTED_VALUE"""),76.0)</f>
        <v>76</v>
      </c>
      <c r="D287" s="1">
        <f>IFERROR(__xludf.DUMMYFUNCTION("""COMPUTED_VALUE"""),52.0)</f>
        <v>52</v>
      </c>
      <c r="E287" s="1">
        <f>IFERROR(__xludf.DUMMYFUNCTION("""COMPUTED_VALUE"""),24.0)</f>
        <v>24</v>
      </c>
    </row>
    <row r="288">
      <c r="A288" s="1" t="str">
        <f>IFERROR(__xludf.DUMMYFUNCTION("""COMPUTED_VALUE"""),"HKCOD6")</f>
        <v>HKCOD6</v>
      </c>
      <c r="B288" s="1">
        <f>IFERROR(__xludf.DUMMYFUNCTION("""COMPUTED_VALUE"""),3168.0)</f>
        <v>3168</v>
      </c>
      <c r="C288" s="1">
        <f>IFERROR(__xludf.DUMMYFUNCTION("""COMPUTED_VALUE"""),3365.0)</f>
        <v>3365</v>
      </c>
      <c r="D288" s="1">
        <f>IFERROR(__xludf.DUMMYFUNCTION("""COMPUTED_VALUE"""),3168.0)</f>
        <v>3168</v>
      </c>
      <c r="E288" s="1">
        <f>IFERROR(__xludf.DUMMYFUNCTION("""COMPUTED_VALUE"""),197.0)</f>
        <v>197</v>
      </c>
    </row>
    <row r="289">
      <c r="A289" s="1" t="str">
        <f>IFERROR(__xludf.DUMMYFUNCTION("""COMPUTED_VALUE"""),"HKCOD67")</f>
        <v>HKCOD67</v>
      </c>
      <c r="B289" s="1">
        <f>IFERROR(__xludf.DUMMYFUNCTION("""COMPUTED_VALUE"""),669.0)</f>
        <v>669</v>
      </c>
      <c r="C289" s="1">
        <f>IFERROR(__xludf.DUMMYFUNCTION("""COMPUTED_VALUE"""),717.0)</f>
        <v>717</v>
      </c>
      <c r="D289" s="1">
        <f>IFERROR(__xludf.DUMMYFUNCTION("""COMPUTED_VALUE"""),669.0)</f>
        <v>669</v>
      </c>
      <c r="E289" s="1">
        <f>IFERROR(__xludf.DUMMYFUNCTION("""COMPUTED_VALUE"""),48.0)</f>
        <v>48</v>
      </c>
    </row>
    <row r="290">
      <c r="A290" s="1" t="str">
        <f>IFERROR(__xludf.DUMMYFUNCTION("""COMPUTED_VALUE"""),"HKCOD76")</f>
        <v>HKCOD76</v>
      </c>
      <c r="B290" s="1">
        <f>IFERROR(__xludf.DUMMYFUNCTION("""COMPUTED_VALUE"""),759.0)</f>
        <v>759</v>
      </c>
      <c r="C290" s="1">
        <f>IFERROR(__xludf.DUMMYFUNCTION("""COMPUTED_VALUE"""),759.0)</f>
        <v>759</v>
      </c>
      <c r="D290" s="1">
        <f>IFERROR(__xludf.DUMMYFUNCTION("""COMPUTED_VALUE"""),759.0)</f>
        <v>759</v>
      </c>
      <c r="E290" s="1">
        <f>IFERROR(__xludf.DUMMYFUNCTION("""COMPUTED_VALUE"""),0.0)</f>
        <v>0</v>
      </c>
    </row>
    <row r="291">
      <c r="A291" s="1" t="str">
        <f>IFERROR(__xludf.DUMMYFUNCTION("""COMPUTED_VALUE"""),"HKCON")</f>
        <v>HKCON</v>
      </c>
      <c r="B291" s="1">
        <f>IFERROR(__xludf.DUMMYFUNCTION("""COMPUTED_VALUE"""),17.0)</f>
        <v>17</v>
      </c>
      <c r="C291" s="1">
        <f>IFERROR(__xludf.DUMMYFUNCTION("""COMPUTED_VALUE"""),17.0)</f>
        <v>17</v>
      </c>
      <c r="D291" s="1">
        <f>IFERROR(__xludf.DUMMYFUNCTION("""COMPUTED_VALUE"""),17.0)</f>
        <v>17</v>
      </c>
      <c r="E291" s="1">
        <f>IFERROR(__xludf.DUMMYFUNCTION("""COMPUTED_VALUE"""),0.0)</f>
        <v>0</v>
      </c>
    </row>
    <row r="292">
      <c r="A292" s="1" t="str">
        <f>IFERROR(__xludf.DUMMYFUNCTION("""COMPUTED_VALUE"""),"HKCONDT")</f>
        <v>HKCONDT</v>
      </c>
      <c r="B292" s="1">
        <f>IFERROR(__xludf.DUMMYFUNCTION("""COMPUTED_VALUE"""),78.0)</f>
        <v>78</v>
      </c>
      <c r="C292" s="1">
        <f>IFERROR(__xludf.DUMMYFUNCTION("""COMPUTED_VALUE"""),78.0)</f>
        <v>78</v>
      </c>
      <c r="D292" s="1">
        <f>IFERROR(__xludf.DUMMYFUNCTION("""COMPUTED_VALUE"""),78.0)</f>
        <v>78</v>
      </c>
      <c r="E292" s="1">
        <f>IFERROR(__xludf.DUMMYFUNCTION("""COMPUTED_VALUE"""),0.0)</f>
        <v>0</v>
      </c>
    </row>
    <row r="293">
      <c r="A293" s="1" t="str">
        <f>IFERROR(__xludf.DUMMYFUNCTION("""COMPUTED_VALUE"""),"HKCQ60W")</f>
        <v>HKCQ60W</v>
      </c>
      <c r="B293" s="1">
        <f>IFERROR(__xludf.DUMMYFUNCTION("""COMPUTED_VALUE"""),8.0)</f>
        <v>8</v>
      </c>
      <c r="C293" s="1">
        <f>IFERROR(__xludf.DUMMYFUNCTION("""COMPUTED_VALUE"""),8.0)</f>
        <v>8</v>
      </c>
      <c r="D293" s="1">
        <f>IFERROR(__xludf.DUMMYFUNCTION("""COMPUTED_VALUE"""),8.0)</f>
        <v>8</v>
      </c>
      <c r="E293" s="1">
        <f>IFERROR(__xludf.DUMMYFUNCTION("""COMPUTED_VALUE"""),0.0)</f>
        <v>0</v>
      </c>
    </row>
    <row r="294">
      <c r="A294" s="1" t="str">
        <f>IFERROR(__xludf.DUMMYFUNCTION("""COMPUTED_VALUE"""),"HKCT48.5x9.5x48.5")</f>
        <v>HKCT48.5x9.5x48.5</v>
      </c>
      <c r="B294" s="1">
        <f>IFERROR(__xludf.DUMMYFUNCTION("""COMPUTED_VALUE"""),626.0)</f>
        <v>626</v>
      </c>
      <c r="C294" s="1">
        <f>IFERROR(__xludf.DUMMYFUNCTION("""COMPUTED_VALUE"""),626.0)</f>
        <v>626</v>
      </c>
      <c r="D294" s="1">
        <f>IFERROR(__xludf.DUMMYFUNCTION("""COMPUTED_VALUE"""),626.0)</f>
        <v>626</v>
      </c>
      <c r="E294" s="1">
        <f>IFERROR(__xludf.DUMMYFUNCTION("""COMPUTED_VALUE"""),0.0)</f>
        <v>0</v>
      </c>
    </row>
    <row r="295">
      <c r="A295" s="1" t="str">
        <f>IFERROR(__xludf.DUMMYFUNCTION("""COMPUTED_VALUE"""),"HKCT54.5x9.5x54.5")</f>
        <v>HKCT54.5x9.5x54.5</v>
      </c>
      <c r="B295" s="1">
        <f>IFERROR(__xludf.DUMMYFUNCTION("""COMPUTED_VALUE"""),547.0)</f>
        <v>547</v>
      </c>
      <c r="C295" s="1">
        <f>IFERROR(__xludf.DUMMYFUNCTION("""COMPUTED_VALUE"""),547.0)</f>
        <v>547</v>
      </c>
      <c r="D295" s="1">
        <f>IFERROR(__xludf.DUMMYFUNCTION("""COMPUTED_VALUE"""),547.0)</f>
        <v>547</v>
      </c>
      <c r="E295" s="1">
        <f>IFERROR(__xludf.DUMMYFUNCTION("""COMPUTED_VALUE"""),0.0)</f>
        <v>0</v>
      </c>
    </row>
    <row r="296">
      <c r="A296" s="1" t="str">
        <f>IFERROR(__xludf.DUMMYFUNCTION("""COMPUTED_VALUE"""),"HKCT63x7.5x63.5")</f>
        <v>HKCT63x7.5x63.5</v>
      </c>
      <c r="B296" s="1">
        <f>IFERROR(__xludf.DUMMYFUNCTION("""COMPUTED_VALUE"""),251.0)</f>
        <v>251</v>
      </c>
      <c r="C296" s="1">
        <f>IFERROR(__xludf.DUMMYFUNCTION("""COMPUTED_VALUE"""),251.0)</f>
        <v>251</v>
      </c>
      <c r="D296" s="1">
        <f>IFERROR(__xludf.DUMMYFUNCTION("""COMPUTED_VALUE"""),251.0)</f>
        <v>251</v>
      </c>
      <c r="E296" s="1">
        <f>IFERROR(__xludf.DUMMYFUNCTION("""COMPUTED_VALUE"""),0.0)</f>
        <v>0</v>
      </c>
    </row>
    <row r="297">
      <c r="A297" s="1" t="str">
        <f>IFERROR(__xludf.DUMMYFUNCTION("""COMPUTED_VALUE"""),"HKCT69x7.5x69.5")</f>
        <v>HKCT69x7.5x69.5</v>
      </c>
      <c r="B297" s="1">
        <f>IFERROR(__xludf.DUMMYFUNCTION("""COMPUTED_VALUE"""),243.0)</f>
        <v>243</v>
      </c>
      <c r="C297" s="1">
        <f>IFERROR(__xludf.DUMMYFUNCTION("""COMPUTED_VALUE"""),243.0)</f>
        <v>243</v>
      </c>
      <c r="D297" s="1">
        <f>IFERROR(__xludf.DUMMYFUNCTION("""COMPUTED_VALUE"""),243.0)</f>
        <v>243</v>
      </c>
      <c r="E297" s="1">
        <f>IFERROR(__xludf.DUMMYFUNCTION("""COMPUTED_VALUE"""),0.0)</f>
        <v>0</v>
      </c>
    </row>
    <row r="298">
      <c r="A298" s="1" t="str">
        <f>IFERROR(__xludf.DUMMYFUNCTION("""COMPUTED_VALUE"""),"HKCT78x9x78")</f>
        <v>HKCT78x9x78</v>
      </c>
      <c r="B298" s="1">
        <f>IFERROR(__xludf.DUMMYFUNCTION("""COMPUTED_VALUE"""),95.0)</f>
        <v>95</v>
      </c>
      <c r="C298" s="1">
        <f>IFERROR(__xludf.DUMMYFUNCTION("""COMPUTED_VALUE"""),95.0)</f>
        <v>95</v>
      </c>
      <c r="D298" s="1">
        <f>IFERROR(__xludf.DUMMYFUNCTION("""COMPUTED_VALUE"""),95.0)</f>
        <v>95</v>
      </c>
      <c r="E298" s="1">
        <f>IFERROR(__xludf.DUMMYFUNCTION("""COMPUTED_VALUE"""),0.0)</f>
        <v>0</v>
      </c>
    </row>
    <row r="299">
      <c r="A299" s="1" t="str">
        <f>IFERROR(__xludf.DUMMYFUNCTION("""COMPUTED_VALUE"""),"HKCU16D")</f>
        <v>HKCU16D</v>
      </c>
      <c r="B299" s="1">
        <f>IFERROR(__xludf.DUMMYFUNCTION("""COMPUTED_VALUE"""),657.0)</f>
        <v>657</v>
      </c>
      <c r="C299" s="1">
        <f>IFERROR(__xludf.DUMMYFUNCTION("""COMPUTED_VALUE"""),657.0)</f>
        <v>657</v>
      </c>
      <c r="D299" s="1">
        <f>IFERROR(__xludf.DUMMYFUNCTION("""COMPUTED_VALUE"""),657.0)</f>
        <v>657</v>
      </c>
      <c r="E299" s="1">
        <f>IFERROR(__xludf.DUMMYFUNCTION("""COMPUTED_VALUE"""),0.0)</f>
        <v>0</v>
      </c>
    </row>
    <row r="300">
      <c r="A300" s="1" t="str">
        <f>IFERROR(__xludf.DUMMYFUNCTION("""COMPUTED_VALUE"""),"HKD50")</f>
        <v>HKD50</v>
      </c>
      <c r="B300" s="1">
        <f>IFERROR(__xludf.DUMMYFUNCTION("""COMPUTED_VALUE"""),8.0)</f>
        <v>8</v>
      </c>
      <c r="C300" s="1">
        <f>IFERROR(__xludf.DUMMYFUNCTION("""COMPUTED_VALUE"""),12.0)</f>
        <v>12</v>
      </c>
      <c r="D300" s="1">
        <f>IFERROR(__xludf.DUMMYFUNCTION("""COMPUTED_VALUE"""),8.0)</f>
        <v>8</v>
      </c>
      <c r="E300" s="1">
        <f>IFERROR(__xludf.DUMMYFUNCTION("""COMPUTED_VALUE"""),4.0)</f>
        <v>4</v>
      </c>
    </row>
    <row r="301">
      <c r="A301" s="1" t="str">
        <f>IFERROR(__xludf.DUMMYFUNCTION("""COMPUTED_VALUE"""),"HKD70")</f>
        <v>HKD70</v>
      </c>
      <c r="B301" s="1">
        <f>IFERROR(__xludf.DUMMYFUNCTION("""COMPUTED_VALUE"""),39.0)</f>
        <v>39</v>
      </c>
      <c r="C301" s="1">
        <f>IFERROR(__xludf.DUMMYFUNCTION("""COMPUTED_VALUE"""),39.0)</f>
        <v>39</v>
      </c>
      <c r="D301" s="1">
        <f>IFERROR(__xludf.DUMMYFUNCTION("""COMPUTED_VALUE"""),39.0)</f>
        <v>39</v>
      </c>
      <c r="E301" s="1">
        <f>IFERROR(__xludf.DUMMYFUNCTION("""COMPUTED_VALUE"""),0.0)</f>
        <v>0</v>
      </c>
    </row>
    <row r="302">
      <c r="A302" s="1" t="str">
        <f>IFERROR(__xludf.DUMMYFUNCTION("""COMPUTED_VALUE"""),"HKDCT")</f>
        <v>HKDCT</v>
      </c>
      <c r="B302" s="1">
        <f>IFERROR(__xludf.DUMMYFUNCTION("""COMPUTED_VALUE"""),11.0)</f>
        <v>11</v>
      </c>
      <c r="C302" s="1">
        <f>IFERROR(__xludf.DUMMYFUNCTION("""COMPUTED_VALUE"""),11.0)</f>
        <v>11</v>
      </c>
      <c r="D302" s="1">
        <f>IFERROR(__xludf.DUMMYFUNCTION("""COMPUTED_VALUE"""),11.0)</f>
        <v>11</v>
      </c>
      <c r="E302" s="1">
        <f>IFERROR(__xludf.DUMMYFUNCTION("""COMPUTED_VALUE"""),0.0)</f>
        <v>0</v>
      </c>
    </row>
    <row r="303">
      <c r="A303" s="1" t="str">
        <f>IFERROR(__xludf.DUMMYFUNCTION("""COMPUTED_VALUE"""),"HKDD1X25TP")</f>
        <v>HKDD1X25TP</v>
      </c>
      <c r="B303" s="1">
        <f>IFERROR(__xludf.DUMMYFUNCTION("""COMPUTED_VALUE"""),200.0)</f>
        <v>200</v>
      </c>
      <c r="C303" s="1">
        <f>IFERROR(__xludf.DUMMYFUNCTION("""COMPUTED_VALUE"""),200.0)</f>
        <v>200</v>
      </c>
      <c r="D303" s="1">
        <f>IFERROR(__xludf.DUMMYFUNCTION("""COMPUTED_VALUE"""),200.0)</f>
        <v>200</v>
      </c>
      <c r="E303" s="1">
        <f>IFERROR(__xludf.DUMMYFUNCTION("""COMPUTED_VALUE"""),0.0)</f>
        <v>0</v>
      </c>
    </row>
    <row r="304">
      <c r="A304" s="1" t="str">
        <f>IFERROR(__xludf.DUMMYFUNCTION("""COMPUTED_VALUE"""),"HKDD2x4TP")</f>
        <v>HKDD2x4TP</v>
      </c>
      <c r="B304" s="1">
        <f>IFERROR(__xludf.DUMMYFUNCTION("""COMPUTED_VALUE"""),100.0)</f>
        <v>100</v>
      </c>
      <c r="C304" s="1">
        <f>IFERROR(__xludf.DUMMYFUNCTION("""COMPUTED_VALUE"""),100.0)</f>
        <v>100</v>
      </c>
      <c r="D304" s="1">
        <f>IFERROR(__xludf.DUMMYFUNCTION("""COMPUTED_VALUE"""),100.0)</f>
        <v>100</v>
      </c>
      <c r="E304" s="1">
        <f>IFERROR(__xludf.DUMMYFUNCTION("""COMPUTED_VALUE"""),0.0)</f>
        <v>0</v>
      </c>
    </row>
    <row r="305">
      <c r="A305" s="1" t="str">
        <f>IFERROR(__xludf.DUMMYFUNCTION("""COMPUTED_VALUE"""),"HKDGHS")</f>
        <v>HKDGHS</v>
      </c>
      <c r="B305" s="1">
        <f>IFERROR(__xludf.DUMMYFUNCTION("""COMPUTED_VALUE"""),0.5)</f>
        <v>0.5</v>
      </c>
      <c r="C305" s="1">
        <f>IFERROR(__xludf.DUMMYFUNCTION("""COMPUTED_VALUE"""),0.5)</f>
        <v>0.5</v>
      </c>
      <c r="D305" s="1">
        <f>IFERROR(__xludf.DUMMYFUNCTION("""COMPUTED_VALUE"""),0.5)</f>
        <v>0.5</v>
      </c>
      <c r="E305" s="1">
        <f>IFERROR(__xludf.DUMMYFUNCTION("""COMPUTED_VALUE"""),0.0)</f>
        <v>0</v>
      </c>
    </row>
    <row r="306">
      <c r="A306" s="1" t="str">
        <f>IFERROR(__xludf.DUMMYFUNCTION("""COMPUTED_VALUE"""),"HKDHXLR")</f>
        <v>HKDHXLR</v>
      </c>
      <c r="B306" s="1">
        <f>IFERROR(__xludf.DUMMYFUNCTION("""COMPUTED_VALUE"""),9.0)</f>
        <v>9</v>
      </c>
      <c r="C306" s="1">
        <f>IFERROR(__xludf.DUMMYFUNCTION("""COMPUTED_VALUE"""),9.0)</f>
        <v>9</v>
      </c>
      <c r="D306" s="1">
        <f>IFERROR(__xludf.DUMMYFUNCTION("""COMPUTED_VALUE"""),9.0)</f>
        <v>9</v>
      </c>
      <c r="E306" s="1">
        <f>IFERROR(__xludf.DUMMYFUNCTION("""COMPUTED_VALUE"""),0.0)</f>
        <v>0</v>
      </c>
    </row>
    <row r="307">
      <c r="A307" s="1" t="str">
        <f>IFERROR(__xludf.DUMMYFUNCTION("""COMPUTED_VALUE"""),"HKGBML12510")</f>
        <v>HKGBML12510</v>
      </c>
      <c r="B307" s="1">
        <f>IFERROR(__xludf.DUMMYFUNCTION("""COMPUTED_VALUE"""),35.0)</f>
        <v>35</v>
      </c>
      <c r="C307" s="1">
        <f>IFERROR(__xludf.DUMMYFUNCTION("""COMPUTED_VALUE"""),35.0)</f>
        <v>35</v>
      </c>
      <c r="D307" s="1">
        <f>IFERROR(__xludf.DUMMYFUNCTION("""COMPUTED_VALUE"""),35.0)</f>
        <v>35</v>
      </c>
      <c r="E307" s="1">
        <f>IFERROR(__xludf.DUMMYFUNCTION("""COMPUTED_VALUE"""),0.0)</f>
        <v>0</v>
      </c>
    </row>
    <row r="308">
      <c r="A308" s="1" t="str">
        <f>IFERROR(__xludf.DUMMYFUNCTION("""COMPUTED_VALUE"""),"HKGĐN")</f>
        <v>HKGĐN</v>
      </c>
      <c r="B308" s="1">
        <f>IFERROR(__xludf.DUMMYFUNCTION("""COMPUTED_VALUE"""),850.0)</f>
        <v>850</v>
      </c>
      <c r="C308" s="1">
        <f>IFERROR(__xludf.DUMMYFUNCTION("""COMPUTED_VALUE"""),850.0)</f>
        <v>850</v>
      </c>
      <c r="D308" s="1">
        <f>IFERROR(__xludf.DUMMYFUNCTION("""COMPUTED_VALUE"""),850.0)</f>
        <v>850</v>
      </c>
      <c r="E308" s="1">
        <f>IFERROR(__xludf.DUMMYFUNCTION("""COMPUTED_VALUE"""),0.0)</f>
        <v>0</v>
      </c>
    </row>
    <row r="309">
      <c r="A309" s="1" t="str">
        <f>IFERROR(__xludf.DUMMYFUNCTION("""COMPUTED_VALUE"""),"HKGĐNG")</f>
        <v>HKGĐNG</v>
      </c>
      <c r="B309" s="1">
        <f>IFERROR(__xludf.DUMMYFUNCTION("""COMPUTED_VALUE"""),1.0)</f>
        <v>1</v>
      </c>
      <c r="C309" s="1">
        <f>IFERROR(__xludf.DUMMYFUNCTION("""COMPUTED_VALUE"""),1.0)</f>
        <v>1</v>
      </c>
      <c r="D309" s="1">
        <f>IFERROR(__xludf.DUMMYFUNCTION("""COMPUTED_VALUE"""),1.0)</f>
        <v>1</v>
      </c>
      <c r="E309" s="1">
        <f>IFERROR(__xludf.DUMMYFUNCTION("""COMPUTED_VALUE"""),0.0)</f>
        <v>0</v>
      </c>
    </row>
    <row r="310">
      <c r="A310" s="1" t="str">
        <f>IFERROR(__xludf.DUMMYFUNCTION("""COMPUTED_VALUE"""),"HKGĐNGTO")</f>
        <v>HKGĐNGTO</v>
      </c>
      <c r="B310" s="1">
        <f>IFERROR(__xludf.DUMMYFUNCTION("""COMPUTED_VALUE"""),3.0)</f>
        <v>3</v>
      </c>
      <c r="C310" s="1">
        <f>IFERROR(__xludf.DUMMYFUNCTION("""COMPUTED_VALUE"""),3.0)</f>
        <v>3</v>
      </c>
      <c r="D310" s="1">
        <f>IFERROR(__xludf.DUMMYFUNCTION("""COMPUTED_VALUE"""),3.0)</f>
        <v>3</v>
      </c>
      <c r="E310" s="1">
        <f>IFERROR(__xludf.DUMMYFUNCTION("""COMPUTED_VALUE"""),0.0)</f>
        <v>0</v>
      </c>
    </row>
    <row r="311">
      <c r="A311" s="1" t="str">
        <f>IFERROR(__xludf.DUMMYFUNCTION("""COMPUTED_VALUE"""),"HKGĐNTHEPV")</f>
        <v>HKGĐNTHEPV</v>
      </c>
      <c r="B311" s="1">
        <f>IFERROR(__xludf.DUMMYFUNCTION("""COMPUTED_VALUE"""),134.0)</f>
        <v>134</v>
      </c>
      <c r="C311" s="1">
        <f>IFERROR(__xludf.DUMMYFUNCTION("""COMPUTED_VALUE"""),134.0)</f>
        <v>134</v>
      </c>
      <c r="D311" s="1">
        <f>IFERROR(__xludf.DUMMYFUNCTION("""COMPUTED_VALUE"""),134.0)</f>
        <v>134</v>
      </c>
      <c r="E311" s="1">
        <f>IFERROR(__xludf.DUMMYFUNCTION("""COMPUTED_VALUE"""),0.0)</f>
        <v>0</v>
      </c>
    </row>
    <row r="312">
      <c r="A312" s="1" t="str">
        <f>IFERROR(__xludf.DUMMYFUNCTION("""COMPUTED_VALUE"""),"HKGĐT")</f>
        <v>HKGĐT</v>
      </c>
      <c r="B312" s="1">
        <f>IFERROR(__xludf.DUMMYFUNCTION("""COMPUTED_VALUE"""),365.0)</f>
        <v>365</v>
      </c>
      <c r="C312" s="1">
        <f>IFERROR(__xludf.DUMMYFUNCTION("""COMPUTED_VALUE"""),365.0)</f>
        <v>365</v>
      </c>
      <c r="D312" s="1">
        <f>IFERROR(__xludf.DUMMYFUNCTION("""COMPUTED_VALUE"""),365.0)</f>
        <v>365</v>
      </c>
      <c r="E312" s="1">
        <f>IFERROR(__xludf.DUMMYFUNCTION("""COMPUTED_VALUE"""),0.0)</f>
        <v>0</v>
      </c>
    </row>
    <row r="313">
      <c r="A313" s="1" t="str">
        <f>IFERROR(__xludf.DUMMYFUNCTION("""COMPUTED_VALUE"""),"HKHMSCL0")</f>
        <v>HKHMSCL0</v>
      </c>
      <c r="B313" s="1">
        <f>IFERROR(__xludf.DUMMYFUNCTION("""COMPUTED_VALUE"""),27.0)</f>
        <v>27</v>
      </c>
      <c r="C313" s="1">
        <f>IFERROR(__xludf.DUMMYFUNCTION("""COMPUTED_VALUE"""),45.0)</f>
        <v>45</v>
      </c>
      <c r="D313" s="1">
        <f>IFERROR(__xludf.DUMMYFUNCTION("""COMPUTED_VALUE"""),37.0)</f>
        <v>37</v>
      </c>
      <c r="E313" s="1">
        <f>IFERROR(__xludf.DUMMYFUNCTION("""COMPUTED_VALUE"""),8.0)</f>
        <v>8</v>
      </c>
    </row>
    <row r="314">
      <c r="A314" s="1" t="str">
        <f>IFERROR(__xludf.DUMMYFUNCTION("""COMPUTED_VALUE"""),"HKKAPOLOA100")</f>
        <v>HKKAPOLOA100</v>
      </c>
      <c r="B314" s="1">
        <f>IFERROR(__xludf.DUMMYFUNCTION("""COMPUTED_VALUE"""),72.0)</f>
        <v>72</v>
      </c>
      <c r="C314" s="1">
        <f>IFERROR(__xludf.DUMMYFUNCTION("""COMPUTED_VALUE"""),72.0)</f>
        <v>72</v>
      </c>
      <c r="D314" s="1">
        <f>IFERROR(__xludf.DUMMYFUNCTION("""COMPUTED_VALUE"""),72.0)</f>
        <v>72</v>
      </c>
      <c r="E314" s="1">
        <f>IFERROR(__xludf.DUMMYFUNCTION("""COMPUTED_VALUE"""),0.0)</f>
        <v>0</v>
      </c>
    </row>
    <row r="315">
      <c r="A315" s="1" t="str">
        <f>IFERROR(__xludf.DUMMYFUNCTION("""COMPUTED_VALUE"""),"HKKAPOLOA500DUC")</f>
        <v>HKKAPOLOA500DUC</v>
      </c>
      <c r="B315" s="1">
        <f>IFERROR(__xludf.DUMMYFUNCTION("""COMPUTED_VALUE"""),137.0)</f>
        <v>137</v>
      </c>
      <c r="C315" s="1">
        <f>IFERROR(__xludf.DUMMYFUNCTION("""COMPUTED_VALUE"""),137.0)</f>
        <v>137</v>
      </c>
      <c r="D315" s="1">
        <f>IFERROR(__xludf.DUMMYFUNCTION("""COMPUTED_VALUE"""),137.0)</f>
        <v>137</v>
      </c>
      <c r="E315" s="1">
        <f>IFERROR(__xludf.DUMMYFUNCTION("""COMPUTED_VALUE"""),0.0)</f>
        <v>0</v>
      </c>
    </row>
    <row r="316">
      <c r="A316" s="1" t="str">
        <f>IFERROR(__xludf.DUMMYFUNCTION("""COMPUTED_VALUE"""),"HKKBUGJO15")</f>
        <v>HKKBUGJO15</v>
      </c>
      <c r="B316" s="1">
        <f>IFERROR(__xludf.DUMMYFUNCTION("""COMPUTED_VALUE"""),7.0)</f>
        <v>7</v>
      </c>
      <c r="C316" s="1">
        <f>IFERROR(__xludf.DUMMYFUNCTION("""COMPUTED_VALUE"""),7.0)</f>
        <v>7</v>
      </c>
      <c r="D316" s="1">
        <f>IFERROR(__xludf.DUMMYFUNCTION("""COMPUTED_VALUE"""),7.0)</f>
        <v>7</v>
      </c>
      <c r="E316" s="1">
        <f>IFERROR(__xludf.DUMMYFUNCTION("""COMPUTED_VALUE"""),0.0)</f>
        <v>0</v>
      </c>
    </row>
    <row r="317">
      <c r="A317" s="1" t="str">
        <f>IFERROR(__xludf.DUMMYFUNCTION("""COMPUTED_VALUE"""),"HKKDOG15")</f>
        <v>HKKDOG15</v>
      </c>
      <c r="B317" s="1">
        <f>IFERROR(__xludf.DUMMYFUNCTION("""COMPUTED_VALUE"""),6.0)</f>
        <v>6</v>
      </c>
      <c r="C317" s="1">
        <f>IFERROR(__xludf.DUMMYFUNCTION("""COMPUTED_VALUE"""),6.0)</f>
        <v>6</v>
      </c>
      <c r="D317" s="1">
        <f>IFERROR(__xludf.DUMMYFUNCTION("""COMPUTED_VALUE"""),6.0)</f>
        <v>6</v>
      </c>
      <c r="E317" s="1">
        <f>IFERROR(__xludf.DUMMYFUNCTION("""COMPUTED_VALUE"""),0.0)</f>
        <v>0</v>
      </c>
    </row>
    <row r="318">
      <c r="A318" s="1" t="str">
        <f>IFERROR(__xludf.DUMMYFUNCTION("""COMPUTED_VALUE"""),"HKKDOG3")</f>
        <v>HKKDOG3</v>
      </c>
      <c r="B318" s="1">
        <f>IFERROR(__xludf.DUMMYFUNCTION("""COMPUTED_VALUE"""),35.0)</f>
        <v>35</v>
      </c>
      <c r="C318" s="1">
        <f>IFERROR(__xludf.DUMMYFUNCTION("""COMPUTED_VALUE"""),35.0)</f>
        <v>35</v>
      </c>
      <c r="D318" s="1">
        <f>IFERROR(__xludf.DUMMYFUNCTION("""COMPUTED_VALUE"""),35.0)</f>
        <v>35</v>
      </c>
      <c r="E318" s="1">
        <f>IFERROR(__xludf.DUMMYFUNCTION("""COMPUTED_VALUE"""),0.0)</f>
        <v>0</v>
      </c>
    </row>
    <row r="319">
      <c r="A319" s="1" t="str">
        <f>IFERROR(__xludf.DUMMYFUNCTION("""COMPUTED_VALUE"""),"HKKDS")</f>
        <v>HKKDS</v>
      </c>
      <c r="B319" s="1">
        <f>IFERROR(__xludf.DUMMYFUNCTION("""COMPUTED_VALUE"""),119.0)</f>
        <v>119</v>
      </c>
      <c r="C319" s="1">
        <f>IFERROR(__xludf.DUMMYFUNCTION("""COMPUTED_VALUE"""),358.0)</f>
        <v>358</v>
      </c>
      <c r="D319" s="1">
        <f>IFERROR(__xludf.DUMMYFUNCTION("""COMPUTED_VALUE"""),119.0)</f>
        <v>119</v>
      </c>
      <c r="E319" s="1">
        <f>IFERROR(__xludf.DUMMYFUNCTION("""COMPUTED_VALUE"""),239.0)</f>
        <v>239</v>
      </c>
    </row>
    <row r="320">
      <c r="A320" s="1" t="str">
        <f>IFERROR(__xludf.DUMMYFUNCTION("""COMPUTED_VALUE"""),"HKKHS15")</f>
        <v>HKKHS15</v>
      </c>
      <c r="B320" s="1">
        <f>IFERROR(__xludf.DUMMYFUNCTION("""COMPUTED_VALUE"""),7.0)</f>
        <v>7</v>
      </c>
      <c r="C320" s="1">
        <f>IFERROR(__xludf.DUMMYFUNCTION("""COMPUTED_VALUE"""),7.0)</f>
        <v>7</v>
      </c>
      <c r="D320" s="1">
        <f>IFERROR(__xludf.DUMMYFUNCTION("""COMPUTED_VALUE"""),7.0)</f>
        <v>7</v>
      </c>
      <c r="E320" s="1">
        <f>IFERROR(__xludf.DUMMYFUNCTION("""COMPUTED_VALUE"""),0.0)</f>
        <v>0</v>
      </c>
    </row>
    <row r="321">
      <c r="A321" s="1" t="str">
        <f>IFERROR(__xludf.DUMMYFUNCTION("""COMPUTED_VALUE"""),"HKKIM2TEX5")</f>
        <v>HKKIM2TEX5</v>
      </c>
      <c r="B321" s="1">
        <f>IFERROR(__xludf.DUMMYFUNCTION("""COMPUTED_VALUE"""),8.0)</f>
        <v>8</v>
      </c>
      <c r="C321" s="1">
        <f>IFERROR(__xludf.DUMMYFUNCTION("""COMPUTED_VALUE"""),8.0)</f>
        <v>8</v>
      </c>
      <c r="D321" s="1">
        <f>IFERROR(__xludf.DUMMYFUNCTION("""COMPUTED_VALUE"""),8.0)</f>
        <v>8</v>
      </c>
      <c r="E321" s="1">
        <f>IFERROR(__xludf.DUMMYFUNCTION("""COMPUTED_VALUE"""),0.0)</f>
        <v>0</v>
      </c>
    </row>
    <row r="322">
      <c r="A322" s="1" t="str">
        <f>IFERROR(__xludf.DUMMYFUNCTION("""COMPUTED_VALUE"""),"HKKSG1")</f>
        <v>HKKSG1</v>
      </c>
      <c r="B322" s="1">
        <f>IFERROR(__xludf.DUMMYFUNCTION("""COMPUTED_VALUE"""),175.0)</f>
        <v>175</v>
      </c>
      <c r="C322" s="1">
        <f>IFERROR(__xludf.DUMMYFUNCTION("""COMPUTED_VALUE"""),552.0)</f>
        <v>552</v>
      </c>
      <c r="D322" s="1">
        <f>IFERROR(__xludf.DUMMYFUNCTION("""COMPUTED_VALUE"""),175.0)</f>
        <v>175</v>
      </c>
      <c r="E322" s="1">
        <f>IFERROR(__xludf.DUMMYFUNCTION("""COMPUTED_VALUE"""),377.0)</f>
        <v>377</v>
      </c>
    </row>
    <row r="323">
      <c r="A323" s="1" t="str">
        <f>IFERROR(__xludf.DUMMYFUNCTION("""COMPUTED_VALUE"""),"HKKTY")</f>
        <v>HKKTY</v>
      </c>
      <c r="B323" s="1">
        <f>IFERROR(__xludf.DUMMYFUNCTION("""COMPUTED_VALUE"""),154.0)</f>
        <v>154</v>
      </c>
      <c r="C323" s="1">
        <f>IFERROR(__xludf.DUMMYFUNCTION("""COMPUTED_VALUE"""),180.0)</f>
        <v>180</v>
      </c>
      <c r="D323" s="1">
        <f>IFERROR(__xludf.DUMMYFUNCTION("""COMPUTED_VALUE"""),154.0)</f>
        <v>154</v>
      </c>
      <c r="E323" s="1">
        <f>IFERROR(__xludf.DUMMYFUNCTION("""COMPUTED_VALUE"""),26.0)</f>
        <v>26</v>
      </c>
    </row>
    <row r="324">
      <c r="A324" s="1" t="str">
        <f>IFERROR(__xludf.DUMMYFUNCTION("""COMPUTED_VALUE"""),"HKLBT")</f>
        <v>HKLBT</v>
      </c>
      <c r="B324" s="1">
        <f>IFERROR(__xludf.DUMMYFUNCTION("""COMPUTED_VALUE"""),209.0)</f>
        <v>209</v>
      </c>
      <c r="C324" s="1">
        <f>IFERROR(__xludf.DUMMYFUNCTION("""COMPUTED_VALUE"""),209.0)</f>
        <v>209</v>
      </c>
      <c r="D324" s="1">
        <f>IFERROR(__xludf.DUMMYFUNCTION("""COMPUTED_VALUE"""),209.0)</f>
        <v>209</v>
      </c>
      <c r="E324" s="1">
        <f>IFERROR(__xludf.DUMMYFUNCTION("""COMPUTED_VALUE"""),0.0)</f>
        <v>0</v>
      </c>
    </row>
    <row r="325">
      <c r="A325" s="1" t="str">
        <f>IFERROR(__xludf.DUMMYFUNCTION("""COMPUTED_VALUE"""),"HKLDL089559")</f>
        <v>HKLDL089559</v>
      </c>
      <c r="B325" s="1">
        <f>IFERROR(__xludf.DUMMYFUNCTION("""COMPUTED_VALUE"""),7.0)</f>
        <v>7</v>
      </c>
      <c r="C325" s="1">
        <f>IFERROR(__xludf.DUMMYFUNCTION("""COMPUTED_VALUE"""),7.0)</f>
        <v>7</v>
      </c>
      <c r="D325" s="1">
        <f>IFERROR(__xludf.DUMMYFUNCTION("""COMPUTED_VALUE"""),7.0)</f>
        <v>7</v>
      </c>
      <c r="E325" s="1">
        <f>IFERROR(__xludf.DUMMYFUNCTION("""COMPUTED_VALUE"""),0.0)</f>
        <v>0</v>
      </c>
    </row>
    <row r="326">
      <c r="A326" s="1" t="str">
        <f>IFERROR(__xludf.DUMMYFUNCTION("""COMPUTED_VALUE"""),"HKLTT")</f>
        <v>HKLTT</v>
      </c>
      <c r="B326" s="1">
        <f>IFERROR(__xludf.DUMMYFUNCTION("""COMPUTED_VALUE"""),402.0)</f>
        <v>402</v>
      </c>
      <c r="C326" s="1">
        <f>IFERROR(__xludf.DUMMYFUNCTION("""COMPUTED_VALUE"""),402.0)</f>
        <v>402</v>
      </c>
      <c r="D326" s="1">
        <f>IFERROR(__xludf.DUMMYFUNCTION("""COMPUTED_VALUE"""),402.0)</f>
        <v>402</v>
      </c>
      <c r="E326" s="1">
        <f>IFERROR(__xludf.DUMMYFUNCTION("""COMPUTED_VALUE"""),0.0)</f>
        <v>0</v>
      </c>
    </row>
    <row r="327">
      <c r="A327" s="1" t="str">
        <f>IFERROR(__xludf.DUMMYFUNCTION("""COMPUTED_VALUE"""),"HKMBG22TQ")</f>
        <v>HKMBG22TQ</v>
      </c>
      <c r="B327" s="1">
        <f>IFERROR(__xludf.DUMMYFUNCTION("""COMPUTED_VALUE"""),2.0)</f>
        <v>2</v>
      </c>
      <c r="C327" s="1">
        <f>IFERROR(__xludf.DUMMYFUNCTION("""COMPUTED_VALUE"""),2.0)</f>
        <v>2</v>
      </c>
      <c r="D327" s="1">
        <f>IFERROR(__xludf.DUMMYFUNCTION("""COMPUTED_VALUE"""),2.0)</f>
        <v>2</v>
      </c>
      <c r="E327" s="1">
        <f>IFERROR(__xludf.DUMMYFUNCTION("""COMPUTED_VALUE"""),0.0)</f>
        <v>0</v>
      </c>
    </row>
    <row r="328">
      <c r="A328" s="1" t="str">
        <f>IFERROR(__xludf.DUMMYFUNCTION("""COMPUTED_VALUE"""),"HKMBGD10")</f>
        <v>HKMBGD10</v>
      </c>
      <c r="B328" s="1">
        <f>IFERROR(__xludf.DUMMYFUNCTION("""COMPUTED_VALUE"""),17.0)</f>
        <v>17</v>
      </c>
      <c r="C328" s="1">
        <f>IFERROR(__xludf.DUMMYFUNCTION("""COMPUTED_VALUE"""),17.0)</f>
        <v>17</v>
      </c>
      <c r="D328" s="1">
        <f>IFERROR(__xludf.DUMMYFUNCTION("""COMPUTED_VALUE"""),17.0)</f>
        <v>17</v>
      </c>
      <c r="E328" s="1">
        <f>IFERROR(__xludf.DUMMYFUNCTION("""COMPUTED_VALUE"""),0.0)</f>
        <v>0</v>
      </c>
    </row>
    <row r="329">
      <c r="A329" s="1" t="str">
        <f>IFERROR(__xludf.DUMMYFUNCTION("""COMPUTED_VALUE"""),"HKMBGD12")</f>
        <v>HKMBGD12</v>
      </c>
      <c r="B329" s="1">
        <f>IFERROR(__xludf.DUMMYFUNCTION("""COMPUTED_VALUE"""),21.0)</f>
        <v>21</v>
      </c>
      <c r="C329" s="1">
        <f>IFERROR(__xludf.DUMMYFUNCTION("""COMPUTED_VALUE"""),21.0)</f>
        <v>21</v>
      </c>
      <c r="D329" s="1">
        <f>IFERROR(__xludf.DUMMYFUNCTION("""COMPUTED_VALUE"""),21.0)</f>
        <v>21</v>
      </c>
      <c r="E329" s="1">
        <f>IFERROR(__xludf.DUMMYFUNCTION("""COMPUTED_VALUE"""),0.0)</f>
        <v>0</v>
      </c>
    </row>
    <row r="330">
      <c r="A330" s="1" t="str">
        <f>IFERROR(__xludf.DUMMYFUNCTION("""COMPUTED_VALUE"""),"HKMBGD16")</f>
        <v>HKMBGD16</v>
      </c>
      <c r="B330" s="1">
        <f>IFERROR(__xludf.DUMMYFUNCTION("""COMPUTED_VALUE"""),1.0)</f>
        <v>1</v>
      </c>
      <c r="C330" s="1">
        <f>IFERROR(__xludf.DUMMYFUNCTION("""COMPUTED_VALUE"""),1.0)</f>
        <v>1</v>
      </c>
      <c r="D330" s="1">
        <f>IFERROR(__xludf.DUMMYFUNCTION("""COMPUTED_VALUE"""),1.0)</f>
        <v>1</v>
      </c>
      <c r="E330" s="1">
        <f>IFERROR(__xludf.DUMMYFUNCTION("""COMPUTED_VALUE"""),0.0)</f>
        <v>0</v>
      </c>
    </row>
    <row r="331">
      <c r="A331" s="1" t="str">
        <f>IFERROR(__xludf.DUMMYFUNCTION("""COMPUTED_VALUE"""),"HKMBGD19")</f>
        <v>HKMBGD19</v>
      </c>
      <c r="B331" s="1">
        <f>IFERROR(__xludf.DUMMYFUNCTION("""COMPUTED_VALUE"""),1.0)</f>
        <v>1</v>
      </c>
      <c r="C331" s="1">
        <f>IFERROR(__xludf.DUMMYFUNCTION("""COMPUTED_VALUE"""),1.0)</f>
        <v>1</v>
      </c>
      <c r="D331" s="1">
        <f>IFERROR(__xludf.DUMMYFUNCTION("""COMPUTED_VALUE"""),1.0)</f>
        <v>1</v>
      </c>
      <c r="E331" s="1">
        <f>IFERROR(__xludf.DUMMYFUNCTION("""COMPUTED_VALUE"""),0.0)</f>
        <v>0</v>
      </c>
    </row>
    <row r="332">
      <c r="A332" s="1" t="str">
        <f>IFERROR(__xludf.DUMMYFUNCTION("""COMPUTED_VALUE"""),"HKMBTUG392")</f>
        <v>HKMBTUG392</v>
      </c>
      <c r="B332" s="1">
        <f>IFERROR(__xludf.DUMMYFUNCTION("""COMPUTED_VALUE"""),155.0)</f>
        <v>155</v>
      </c>
      <c r="C332" s="1">
        <f>IFERROR(__xludf.DUMMYFUNCTION("""COMPUTED_VALUE"""),174.0)</f>
        <v>174</v>
      </c>
      <c r="D332" s="1">
        <f>IFERROR(__xludf.DUMMYFUNCTION("""COMPUTED_VALUE"""),174.0)</f>
        <v>174</v>
      </c>
      <c r="E332" s="1">
        <f>IFERROR(__xludf.DUMMYFUNCTION("""COMPUTED_VALUE"""),0.0)</f>
        <v>0</v>
      </c>
    </row>
    <row r="333">
      <c r="A333" s="1" t="str">
        <f>IFERROR(__xludf.DUMMYFUNCTION("""COMPUTED_VALUE"""),"HKMBTUG392JFlex")</f>
        <v>HKMBTUG392JFlex</v>
      </c>
      <c r="B333" s="1">
        <f>IFERROR(__xludf.DUMMYFUNCTION("""COMPUTED_VALUE"""),50.0)</f>
        <v>50</v>
      </c>
      <c r="C333" s="1">
        <f>IFERROR(__xludf.DUMMYFUNCTION("""COMPUTED_VALUE"""),51.0)</f>
        <v>51</v>
      </c>
      <c r="D333" s="1">
        <f>IFERROR(__xludf.DUMMYFUNCTION("""COMPUTED_VALUE"""),51.0)</f>
        <v>51</v>
      </c>
      <c r="E333" s="1">
        <f>IFERROR(__xludf.DUMMYFUNCTION("""COMPUTED_VALUE"""),0.0)</f>
        <v>0</v>
      </c>
    </row>
    <row r="334">
      <c r="A334" s="1" t="str">
        <f>IFERROR(__xludf.DUMMYFUNCTION("""COMPUTED_VALUE"""),"HKMCD10M070L030")</f>
        <v>HKMCD10M070L030</v>
      </c>
      <c r="B334" s="1">
        <f>IFERROR(__xludf.DUMMYFUNCTION("""COMPUTED_VALUE"""),10.0)</f>
        <v>10</v>
      </c>
      <c r="C334" s="1">
        <f>IFERROR(__xludf.DUMMYFUNCTION("""COMPUTED_VALUE"""),13.21)</f>
        <v>13.21</v>
      </c>
      <c r="D334" s="1">
        <f>IFERROR(__xludf.DUMMYFUNCTION("""COMPUTED_VALUE"""),13.21)</f>
        <v>13.21</v>
      </c>
      <c r="E334" s="1">
        <f>IFERROR(__xludf.DUMMYFUNCTION("""COMPUTED_VALUE"""),0.0)</f>
        <v>0</v>
      </c>
    </row>
    <row r="335">
      <c r="A335" s="1" t="str">
        <f>IFERROR(__xludf.DUMMYFUNCTION("""COMPUTED_VALUE"""),"HKMCD17M190L040")</f>
        <v>HKMCD17M190L040</v>
      </c>
      <c r="B335" s="1">
        <f>IFERROR(__xludf.DUMMYFUNCTION("""COMPUTED_VALUE"""),20.0)</f>
        <v>20</v>
      </c>
      <c r="C335" s="1">
        <f>IFERROR(__xludf.DUMMYFUNCTION("""COMPUTED_VALUE"""),20.0)</f>
        <v>20</v>
      </c>
      <c r="D335" s="1">
        <f>IFERROR(__xludf.DUMMYFUNCTION("""COMPUTED_VALUE"""),20.0)</f>
        <v>20</v>
      </c>
      <c r="E335" s="1">
        <f>IFERROR(__xludf.DUMMYFUNCTION("""COMPUTED_VALUE"""),0.0)</f>
        <v>0</v>
      </c>
    </row>
    <row r="336">
      <c r="A336" s="1" t="str">
        <f>IFERROR(__xludf.DUMMYFUNCTION("""COMPUTED_VALUE"""),"HKMCD50M380L120")</f>
        <v>HKMCD50M380L120</v>
      </c>
      <c r="B336" s="1">
        <f>IFERROR(__xludf.DUMMYFUNCTION("""COMPUTED_VALUE"""),24.0)</f>
        <v>24</v>
      </c>
      <c r="C336" s="1">
        <f>IFERROR(__xludf.DUMMYFUNCTION("""COMPUTED_VALUE"""),25.78)</f>
        <v>25.78</v>
      </c>
      <c r="D336" s="1">
        <f>IFERROR(__xludf.DUMMYFUNCTION("""COMPUTED_VALUE"""),25.78)</f>
        <v>25.78</v>
      </c>
      <c r="E336" s="1">
        <f>IFERROR(__xludf.DUMMYFUNCTION("""COMPUTED_VALUE"""),0.0)</f>
        <v>0</v>
      </c>
    </row>
    <row r="337">
      <c r="A337" s="1" t="str">
        <f>IFERROR(__xludf.DUMMYFUNCTION("""COMPUTED_VALUE"""),"HKMHCK4.0CValue115SM")</f>
        <v>HKMHCK4.0CValue115SM</v>
      </c>
      <c r="B337" s="1">
        <f>IFERROR(__xludf.DUMMYFUNCTION("""COMPUTED_VALUE"""),3.0)</f>
        <v>3</v>
      </c>
      <c r="C337" s="1">
        <f>IFERROR(__xludf.DUMMYFUNCTION("""COMPUTED_VALUE"""),3.0)</f>
        <v>3</v>
      </c>
      <c r="D337" s="1">
        <f>IFERROR(__xludf.DUMMYFUNCTION("""COMPUTED_VALUE"""),3.0)</f>
        <v>3</v>
      </c>
      <c r="E337" s="1">
        <f>IFERROR(__xludf.DUMMYFUNCTION("""COMPUTED_VALUE"""),0.0)</f>
        <v>0</v>
      </c>
    </row>
    <row r="338">
      <c r="A338" s="1" t="str">
        <f>IFERROR(__xludf.DUMMYFUNCTION("""COMPUTED_VALUE"""),"HKMUTBD10")</f>
        <v>HKMUTBD10</v>
      </c>
      <c r="B338" s="1">
        <f>IFERROR(__xludf.DUMMYFUNCTION("""COMPUTED_VALUE"""),300.0)</f>
        <v>300</v>
      </c>
      <c r="C338" s="1">
        <f>IFERROR(__xludf.DUMMYFUNCTION("""COMPUTED_VALUE"""),300.0)</f>
        <v>300</v>
      </c>
      <c r="D338" s="1">
        <f>IFERROR(__xludf.DUMMYFUNCTION("""COMPUTED_VALUE"""),300.0)</f>
        <v>300</v>
      </c>
      <c r="E338" s="1">
        <f>IFERROR(__xludf.DUMMYFUNCTION("""COMPUTED_VALUE"""),0.0)</f>
        <v>0</v>
      </c>
    </row>
    <row r="339">
      <c r="A339" s="1" t="str">
        <f>IFERROR(__xludf.DUMMYFUNCTION("""COMPUTED_VALUE"""),"HKMUTXBD20")</f>
        <v>HKMUTXBD20</v>
      </c>
      <c r="B339" s="1">
        <f>IFERROR(__xludf.DUMMYFUNCTION("""COMPUTED_VALUE"""),475.0)</f>
        <v>475</v>
      </c>
      <c r="C339" s="1">
        <f>IFERROR(__xludf.DUMMYFUNCTION("""COMPUTED_VALUE"""),475.0)</f>
        <v>475</v>
      </c>
      <c r="D339" s="1">
        <f>IFERROR(__xludf.DUMMYFUNCTION("""COMPUTED_VALUE"""),475.0)</f>
        <v>475</v>
      </c>
      <c r="E339" s="1">
        <f>IFERROR(__xludf.DUMMYFUNCTION("""COMPUTED_VALUE"""),0.0)</f>
        <v>0</v>
      </c>
    </row>
    <row r="340">
      <c r="A340" s="1" t="str">
        <f>IFERROR(__xludf.DUMMYFUNCTION("""COMPUTED_VALUE"""),"HKMUTXBD25")</f>
        <v>HKMUTXBD25</v>
      </c>
      <c r="B340" s="1">
        <f>IFERROR(__xludf.DUMMYFUNCTION("""COMPUTED_VALUE"""),575.0)</f>
        <v>575</v>
      </c>
      <c r="C340" s="1">
        <f>IFERROR(__xludf.DUMMYFUNCTION("""COMPUTED_VALUE"""),575.0)</f>
        <v>575</v>
      </c>
      <c r="D340" s="1">
        <f>IFERROR(__xludf.DUMMYFUNCTION("""COMPUTED_VALUE"""),575.0)</f>
        <v>575</v>
      </c>
      <c r="E340" s="1">
        <f>IFERROR(__xludf.DUMMYFUNCTION("""COMPUTED_VALUE"""),0.0)</f>
        <v>0</v>
      </c>
    </row>
    <row r="341">
      <c r="A341" s="1" t="str">
        <f>IFERROR(__xludf.DUMMYFUNCTION("""COMPUTED_VALUE"""),"HKNOI10")</f>
        <v>HKNOI10</v>
      </c>
      <c r="B341" s="1">
        <f>IFERROR(__xludf.DUMMYFUNCTION("""COMPUTED_VALUE"""),7534.0)</f>
        <v>7534</v>
      </c>
      <c r="C341" s="1">
        <f>IFERROR(__xludf.DUMMYFUNCTION("""COMPUTED_VALUE"""),9363.0)</f>
        <v>9363</v>
      </c>
      <c r="D341" s="1">
        <f>IFERROR(__xludf.DUMMYFUNCTION("""COMPUTED_VALUE"""),7534.0)</f>
        <v>7534</v>
      </c>
      <c r="E341" s="1">
        <f>IFERROR(__xludf.DUMMYFUNCTION("""COMPUTED_VALUE"""),1829.0)</f>
        <v>1829</v>
      </c>
    </row>
    <row r="342">
      <c r="A342" s="1" t="str">
        <f>IFERROR(__xludf.DUMMYFUNCTION("""COMPUTED_VALUE"""),"HKNOI12")</f>
        <v>HKNOI12</v>
      </c>
      <c r="B342" s="1">
        <f>IFERROR(__xludf.DUMMYFUNCTION("""COMPUTED_VALUE"""),10060.0)</f>
        <v>10060</v>
      </c>
      <c r="C342" s="1">
        <f>IFERROR(__xludf.DUMMYFUNCTION("""COMPUTED_VALUE"""),12863.0)</f>
        <v>12863</v>
      </c>
      <c r="D342" s="1">
        <f>IFERROR(__xludf.DUMMYFUNCTION("""COMPUTED_VALUE"""),10060.0)</f>
        <v>10060</v>
      </c>
      <c r="E342" s="1">
        <f>IFERROR(__xludf.DUMMYFUNCTION("""COMPUTED_VALUE"""),2803.0)</f>
        <v>2803</v>
      </c>
    </row>
    <row r="343">
      <c r="A343" s="1" t="str">
        <f>IFERROR(__xludf.DUMMYFUNCTION("""COMPUTED_VALUE"""),"HKNOI16")</f>
        <v>HKNOI16</v>
      </c>
      <c r="B343" s="1">
        <f>IFERROR(__xludf.DUMMYFUNCTION("""COMPUTED_VALUE"""),9198.0)</f>
        <v>9198</v>
      </c>
      <c r="C343" s="1">
        <f>IFERROR(__xludf.DUMMYFUNCTION("""COMPUTED_VALUE"""),12107.0)</f>
        <v>12107</v>
      </c>
      <c r="D343" s="1">
        <f>IFERROR(__xludf.DUMMYFUNCTION("""COMPUTED_VALUE"""),9198.0)</f>
        <v>9198</v>
      </c>
      <c r="E343" s="1">
        <f>IFERROR(__xludf.DUMMYFUNCTION("""COMPUTED_VALUE"""),2909.0)</f>
        <v>2909</v>
      </c>
    </row>
    <row r="344">
      <c r="A344" s="1" t="str">
        <f>IFERROR(__xludf.DUMMYFUNCTION("""COMPUTED_VALUE"""),"HKNOI19")</f>
        <v>HKNOI19</v>
      </c>
      <c r="B344" s="1">
        <f>IFERROR(__xludf.DUMMYFUNCTION("""COMPUTED_VALUE"""),8310.0)</f>
        <v>8310</v>
      </c>
      <c r="C344" s="1">
        <f>IFERROR(__xludf.DUMMYFUNCTION("""COMPUTED_VALUE"""),10530.0)</f>
        <v>10530</v>
      </c>
      <c r="D344" s="1">
        <f>IFERROR(__xludf.DUMMYFUNCTION("""COMPUTED_VALUE"""),8310.0)</f>
        <v>8310</v>
      </c>
      <c r="E344" s="1">
        <f>IFERROR(__xludf.DUMMYFUNCTION("""COMPUTED_VALUE"""),2220.0)</f>
        <v>2220</v>
      </c>
    </row>
    <row r="345">
      <c r="A345" s="1" t="str">
        <f>IFERROR(__xludf.DUMMYFUNCTION("""COMPUTED_VALUE"""),"HKNOI22")</f>
        <v>HKNOI22</v>
      </c>
      <c r="B345" s="1">
        <f>IFERROR(__xludf.DUMMYFUNCTION("""COMPUTED_VALUE"""),2159.0)</f>
        <v>2159</v>
      </c>
      <c r="C345" s="1">
        <f>IFERROR(__xludf.DUMMYFUNCTION("""COMPUTED_VALUE"""),3895.0)</f>
        <v>3895</v>
      </c>
      <c r="D345" s="1">
        <f>IFERROR(__xludf.DUMMYFUNCTION("""COMPUTED_VALUE"""),2159.0)</f>
        <v>2159</v>
      </c>
      <c r="E345" s="1">
        <f>IFERROR(__xludf.DUMMYFUNCTION("""COMPUTED_VALUE"""),1736.0)</f>
        <v>1736</v>
      </c>
    </row>
    <row r="346">
      <c r="A346" s="1" t="str">
        <f>IFERROR(__xludf.DUMMYFUNCTION("""COMPUTED_VALUE"""),"HKNOI25")</f>
        <v>HKNOI25</v>
      </c>
      <c r="B346" s="1">
        <f>IFERROR(__xludf.DUMMYFUNCTION("""COMPUTED_VALUE"""),4339.0)</f>
        <v>4339</v>
      </c>
      <c r="C346" s="1">
        <f>IFERROR(__xludf.DUMMYFUNCTION("""COMPUTED_VALUE"""),4774.0)</f>
        <v>4774</v>
      </c>
      <c r="D346" s="1">
        <f>IFERROR(__xludf.DUMMYFUNCTION("""COMPUTED_VALUE"""),4339.0)</f>
        <v>4339</v>
      </c>
      <c r="E346" s="1">
        <f>IFERROR(__xludf.DUMMYFUNCTION("""COMPUTED_VALUE"""),435.0)</f>
        <v>435</v>
      </c>
    </row>
    <row r="347">
      <c r="A347" s="1" t="str">
        <f>IFERROR(__xludf.DUMMYFUNCTION("""COMPUTED_VALUE"""),"HKNOI28")</f>
        <v>HKNOI28</v>
      </c>
      <c r="B347" s="1">
        <f>IFERROR(__xludf.DUMMYFUNCTION("""COMPUTED_VALUE"""),3661.0)</f>
        <v>3661</v>
      </c>
      <c r="C347" s="1">
        <f>IFERROR(__xludf.DUMMYFUNCTION("""COMPUTED_VALUE"""),6284.0)</f>
        <v>6284</v>
      </c>
      <c r="D347" s="1">
        <f>IFERROR(__xludf.DUMMYFUNCTION("""COMPUTED_VALUE"""),3661.0)</f>
        <v>3661</v>
      </c>
      <c r="E347" s="1">
        <f>IFERROR(__xludf.DUMMYFUNCTION("""COMPUTED_VALUE"""),2623.0)</f>
        <v>2623</v>
      </c>
    </row>
    <row r="348">
      <c r="A348" s="1" t="str">
        <f>IFERROR(__xludf.DUMMYFUNCTION("""COMPUTED_VALUE"""),"HKNOI32")</f>
        <v>HKNOI32</v>
      </c>
      <c r="B348" s="1">
        <f>IFERROR(__xludf.DUMMYFUNCTION("""COMPUTED_VALUE"""),928.0)</f>
        <v>928</v>
      </c>
      <c r="C348" s="1">
        <f>IFERROR(__xludf.DUMMYFUNCTION("""COMPUTED_VALUE"""),1577.0)</f>
        <v>1577</v>
      </c>
      <c r="D348" s="1">
        <f>IFERROR(__xludf.DUMMYFUNCTION("""COMPUTED_VALUE"""),928.0)</f>
        <v>928</v>
      </c>
      <c r="E348" s="1">
        <f>IFERROR(__xludf.DUMMYFUNCTION("""COMPUTED_VALUE"""),649.0)</f>
        <v>649</v>
      </c>
    </row>
    <row r="349">
      <c r="A349" s="1" t="str">
        <f>IFERROR(__xludf.DUMMYFUNCTION("""COMPUTED_VALUE"""),"HKNOI35")</f>
        <v>HKNOI35</v>
      </c>
      <c r="B349" s="1">
        <f>IFERROR(__xludf.DUMMYFUNCTION("""COMPUTED_VALUE"""),6939.0)</f>
        <v>6939</v>
      </c>
      <c r="C349" s="1">
        <f>IFERROR(__xludf.DUMMYFUNCTION("""COMPUTED_VALUE"""),13693.0)</f>
        <v>13693</v>
      </c>
      <c r="D349" s="1">
        <f>IFERROR(__xludf.DUMMYFUNCTION("""COMPUTED_VALUE"""),6939.0)</f>
        <v>6939</v>
      </c>
      <c r="E349" s="1">
        <f>IFERROR(__xludf.DUMMYFUNCTION("""COMPUTED_VALUE"""),6754.0)</f>
        <v>6754</v>
      </c>
    </row>
    <row r="350">
      <c r="A350" s="1" t="str">
        <f>IFERROR(__xludf.DUMMYFUNCTION("""COMPUTED_VALUE"""),"HKNOI38")</f>
        <v>HKNOI38</v>
      </c>
      <c r="B350" s="1">
        <f>IFERROR(__xludf.DUMMYFUNCTION("""COMPUTED_VALUE"""),187.0)</f>
        <v>187</v>
      </c>
      <c r="C350" s="1">
        <f>IFERROR(__xludf.DUMMYFUNCTION("""COMPUTED_VALUE"""),283.0)</f>
        <v>283</v>
      </c>
      <c r="D350" s="1">
        <f>IFERROR(__xludf.DUMMYFUNCTION("""COMPUTED_VALUE"""),187.0)</f>
        <v>187</v>
      </c>
      <c r="E350" s="1">
        <f>IFERROR(__xludf.DUMMYFUNCTION("""COMPUTED_VALUE"""),96.0)</f>
        <v>96</v>
      </c>
    </row>
    <row r="351">
      <c r="A351" s="1" t="str">
        <f>IFERROR(__xludf.DUMMYFUNCTION("""COMPUTED_VALUE"""),"HKNOI42")</f>
        <v>HKNOI42</v>
      </c>
      <c r="B351" s="1">
        <f>IFERROR(__xludf.DUMMYFUNCTION("""COMPUTED_VALUE"""),6374.0)</f>
        <v>6374</v>
      </c>
      <c r="C351" s="1">
        <f>IFERROR(__xludf.DUMMYFUNCTION("""COMPUTED_VALUE"""),7400.0)</f>
        <v>7400</v>
      </c>
      <c r="D351" s="1">
        <f>IFERROR(__xludf.DUMMYFUNCTION("""COMPUTED_VALUE"""),6374.0)</f>
        <v>6374</v>
      </c>
      <c r="E351" s="1">
        <f>IFERROR(__xludf.DUMMYFUNCTION("""COMPUTED_VALUE"""),1026.0)</f>
        <v>1026</v>
      </c>
    </row>
    <row r="352">
      <c r="A352" s="1" t="str">
        <f>IFERROR(__xludf.DUMMYFUNCTION("""COMPUTED_VALUE"""),"HKNOI45")</f>
        <v>HKNOI45</v>
      </c>
      <c r="B352" s="1">
        <f>IFERROR(__xludf.DUMMYFUNCTION("""COMPUTED_VALUE"""),1330.0)</f>
        <v>1330</v>
      </c>
      <c r="C352" s="1">
        <f>IFERROR(__xludf.DUMMYFUNCTION("""COMPUTED_VALUE"""),1492.0)</f>
        <v>1492</v>
      </c>
      <c r="D352" s="1">
        <f>IFERROR(__xludf.DUMMYFUNCTION("""COMPUTED_VALUE"""),1330.0)</f>
        <v>1330</v>
      </c>
      <c r="E352" s="1">
        <f>IFERROR(__xludf.DUMMYFUNCTION("""COMPUTED_VALUE"""),162.0)</f>
        <v>162</v>
      </c>
    </row>
    <row r="353">
      <c r="A353" s="1" t="str">
        <f>IFERROR(__xludf.DUMMYFUNCTION("""COMPUTED_VALUE"""),"HKNOI54")</f>
        <v>HKNOI54</v>
      </c>
      <c r="B353" s="1">
        <f>IFERROR(__xludf.DUMMYFUNCTION("""COMPUTED_VALUE"""),225.0)</f>
        <v>225</v>
      </c>
      <c r="C353" s="1">
        <f>IFERROR(__xludf.DUMMYFUNCTION("""COMPUTED_VALUE"""),264.0)</f>
        <v>264</v>
      </c>
      <c r="D353" s="1">
        <f>IFERROR(__xludf.DUMMYFUNCTION("""COMPUTED_VALUE"""),225.0)</f>
        <v>225</v>
      </c>
      <c r="E353" s="1">
        <f>IFERROR(__xludf.DUMMYFUNCTION("""COMPUTED_VALUE"""),39.0)</f>
        <v>39</v>
      </c>
    </row>
    <row r="354">
      <c r="A354" s="1" t="str">
        <f>IFERROR(__xludf.DUMMYFUNCTION("""COMPUTED_VALUE"""),"HKNOI6")</f>
        <v>HKNOI6</v>
      </c>
      <c r="B354" s="1">
        <f>IFERROR(__xludf.DUMMYFUNCTION("""COMPUTED_VALUE"""),1953.0)</f>
        <v>1953</v>
      </c>
      <c r="C354" s="1">
        <f>IFERROR(__xludf.DUMMYFUNCTION("""COMPUTED_VALUE"""),2092.0)</f>
        <v>2092</v>
      </c>
      <c r="D354" s="1">
        <f>IFERROR(__xludf.DUMMYFUNCTION("""COMPUTED_VALUE"""),1953.0)</f>
        <v>1953</v>
      </c>
      <c r="E354" s="1">
        <f>IFERROR(__xludf.DUMMYFUNCTION("""COMPUTED_VALUE"""),139.0)</f>
        <v>139</v>
      </c>
    </row>
    <row r="355">
      <c r="A355" s="1" t="str">
        <f>IFERROR(__xludf.DUMMYFUNCTION("""COMPUTED_VALUE"""),"HKNOI67")</f>
        <v>HKNOI67</v>
      </c>
      <c r="B355" s="1">
        <f>IFERROR(__xludf.DUMMYFUNCTION("""COMPUTED_VALUE"""),743.0)</f>
        <v>743</v>
      </c>
      <c r="C355" s="1">
        <f>IFERROR(__xludf.DUMMYFUNCTION("""COMPUTED_VALUE"""),766.0)</f>
        <v>766</v>
      </c>
      <c r="D355" s="1">
        <f>IFERROR(__xludf.DUMMYFUNCTION("""COMPUTED_VALUE"""),743.0)</f>
        <v>743</v>
      </c>
      <c r="E355" s="1">
        <f>IFERROR(__xludf.DUMMYFUNCTION("""COMPUTED_VALUE"""),23.0)</f>
        <v>23</v>
      </c>
    </row>
    <row r="356">
      <c r="A356" s="1" t="str">
        <f>IFERROR(__xludf.DUMMYFUNCTION("""COMPUTED_VALUE"""),"HKNOI76")</f>
        <v>HKNOI76</v>
      </c>
      <c r="B356" s="1">
        <f>IFERROR(__xludf.DUMMYFUNCTION("""COMPUTED_VALUE"""),871.0)</f>
        <v>871</v>
      </c>
      <c r="C356" s="1">
        <f>IFERROR(__xludf.DUMMYFUNCTION("""COMPUTED_VALUE"""),871.0)</f>
        <v>871</v>
      </c>
      <c r="D356" s="1">
        <f>IFERROR(__xludf.DUMMYFUNCTION("""COMPUTED_VALUE"""),871.0)</f>
        <v>871</v>
      </c>
      <c r="E356" s="1">
        <f>IFERROR(__xludf.DUMMYFUNCTION("""COMPUTED_VALUE"""),0.0)</f>
        <v>0</v>
      </c>
    </row>
    <row r="357">
      <c r="A357" s="1" t="str">
        <f>IFERROR(__xludf.DUMMYFUNCTION("""COMPUTED_VALUE"""),"HKPDHN")</f>
        <v>HKPDHN</v>
      </c>
      <c r="B357" s="1">
        <f>IFERROR(__xludf.DUMMYFUNCTION("""COMPUTED_VALUE"""),89.0)</f>
        <v>89</v>
      </c>
      <c r="C357" s="1">
        <f>IFERROR(__xludf.DUMMYFUNCTION("""COMPUTED_VALUE"""),89.0)</f>
        <v>89</v>
      </c>
      <c r="D357" s="1">
        <f>IFERROR(__xludf.DUMMYFUNCTION("""COMPUTED_VALUE"""),89.0)</f>
        <v>89</v>
      </c>
      <c r="E357" s="1">
        <f>IFERROR(__xludf.DUMMYFUNCTION("""COMPUTED_VALUE"""),0.0)</f>
        <v>0</v>
      </c>
    </row>
    <row r="358">
      <c r="A358" s="1" t="str">
        <f>IFERROR(__xludf.DUMMYFUNCTION("""COMPUTED_VALUE"""),"HKPT2DT")</f>
        <v>HKPT2DT</v>
      </c>
      <c r="B358" s="1">
        <f>IFERROR(__xludf.DUMMYFUNCTION("""COMPUTED_VALUE"""),525.0)</f>
        <v>525</v>
      </c>
      <c r="C358" s="1">
        <f>IFERROR(__xludf.DUMMYFUNCTION("""COMPUTED_VALUE"""),525.0)</f>
        <v>525</v>
      </c>
      <c r="D358" s="1">
        <f>IFERROR(__xludf.DUMMYFUNCTION("""COMPUTED_VALUE"""),525.0)</f>
        <v>525</v>
      </c>
      <c r="E358" s="1">
        <f>IFERROR(__xludf.DUMMYFUNCTION("""COMPUTED_VALUE"""),0.0)</f>
        <v>0</v>
      </c>
    </row>
    <row r="359">
      <c r="A359" s="1" t="str">
        <f>IFERROR(__xludf.DUMMYFUNCTION("""COMPUTED_VALUE"""),"HKQUATDAYHY")</f>
        <v>HKQUATDAYHY</v>
      </c>
      <c r="B359" s="1">
        <f>IFERROR(__xludf.DUMMYFUNCTION("""COMPUTED_VALUE"""),24.0)</f>
        <v>24</v>
      </c>
      <c r="C359" s="1">
        <f>IFERROR(__xludf.DUMMYFUNCTION("""COMPUTED_VALUE"""),24.0)</f>
        <v>24</v>
      </c>
      <c r="D359" s="1">
        <f>IFERROR(__xludf.DUMMYFUNCTION("""COMPUTED_VALUE"""),24.0)</f>
        <v>24</v>
      </c>
      <c r="E359" s="1">
        <f>IFERROR(__xludf.DUMMYFUNCTION("""COMPUTED_VALUE"""),0.0)</f>
        <v>0</v>
      </c>
    </row>
    <row r="360">
      <c r="A360" s="1" t="str">
        <f>IFERROR(__xludf.DUMMYFUNCTION("""COMPUTED_VALUE"""),"HKRLAMTS15A250V")</f>
        <v>HKRLAMTS15A250V</v>
      </c>
      <c r="B360" s="1">
        <f>IFERROR(__xludf.DUMMYFUNCTION("""COMPUTED_VALUE"""),1.0)</f>
        <v>1</v>
      </c>
      <c r="C360" s="1">
        <f>IFERROR(__xludf.DUMMYFUNCTION("""COMPUTED_VALUE"""),1.0)</f>
        <v>1</v>
      </c>
      <c r="D360" s="1">
        <f>IFERROR(__xludf.DUMMYFUNCTION("""COMPUTED_VALUE"""),1.0)</f>
        <v>1</v>
      </c>
      <c r="E360" s="1">
        <f>IFERROR(__xludf.DUMMYFUNCTION("""COMPUTED_VALUE"""),0.0)</f>
        <v>0</v>
      </c>
    </row>
    <row r="361">
      <c r="A361" s="1" t="str">
        <f>IFERROR(__xludf.DUMMYFUNCTION("""COMPUTED_VALUE"""),"HKTD1.1Mx1.6M")</f>
        <v>HKTD1.1Mx1.6M</v>
      </c>
      <c r="B361" s="1">
        <f>IFERROR(__xludf.DUMMYFUNCTION("""COMPUTED_VALUE"""),2.0)</f>
        <v>2</v>
      </c>
      <c r="C361" s="1">
        <f>IFERROR(__xludf.DUMMYFUNCTION("""COMPUTED_VALUE"""),2.0)</f>
        <v>2</v>
      </c>
      <c r="D361" s="1">
        <f>IFERROR(__xludf.DUMMYFUNCTION("""COMPUTED_VALUE"""),2.0)</f>
        <v>2</v>
      </c>
      <c r="E361" s="1">
        <f>IFERROR(__xludf.DUMMYFUNCTION("""COMPUTED_VALUE"""),0.0)</f>
        <v>0</v>
      </c>
    </row>
    <row r="362">
      <c r="A362" s="1" t="str">
        <f>IFERROR(__xludf.DUMMYFUNCTION("""COMPUTED_VALUE"""),"HKTDKHT6373BC1130")</f>
        <v>HKTDKHT6373BC1130</v>
      </c>
      <c r="B362" s="1">
        <f>IFERROR(__xludf.DUMMYFUNCTION("""COMPUTED_VALUE"""),5.0)</f>
        <v>5</v>
      </c>
      <c r="C362" s="1">
        <f>IFERROR(__xludf.DUMMYFUNCTION("""COMPUTED_VALUE"""),5.0)</f>
        <v>5</v>
      </c>
      <c r="D362" s="1">
        <f>IFERROR(__xludf.DUMMYFUNCTION("""COMPUTED_VALUE"""),5.0)</f>
        <v>5</v>
      </c>
      <c r="E362" s="1">
        <f>IFERROR(__xludf.DUMMYFUNCTION("""COMPUTED_VALUE"""),0.0)</f>
        <v>0</v>
      </c>
    </row>
    <row r="363">
      <c r="A363" s="1" t="str">
        <f>IFERROR(__xludf.DUMMYFUNCTION("""COMPUTED_VALUE"""),"HKTE10")</f>
        <v>HKTE10</v>
      </c>
      <c r="B363" s="1">
        <f>IFERROR(__xludf.DUMMYFUNCTION("""COMPUTED_VALUE"""),273.0)</f>
        <v>273</v>
      </c>
      <c r="C363" s="1">
        <f>IFERROR(__xludf.DUMMYFUNCTION("""COMPUTED_VALUE"""),343.0)</f>
        <v>343</v>
      </c>
      <c r="D363" s="1">
        <f>IFERROR(__xludf.DUMMYFUNCTION("""COMPUTED_VALUE"""),273.0)</f>
        <v>273</v>
      </c>
      <c r="E363" s="1">
        <f>IFERROR(__xludf.DUMMYFUNCTION("""COMPUTED_VALUE"""),70.0)</f>
        <v>70</v>
      </c>
    </row>
    <row r="364">
      <c r="A364" s="1" t="str">
        <f>IFERROR(__xludf.DUMMYFUNCTION("""COMPUTED_VALUE"""),"HKTE12")</f>
        <v>HKTE12</v>
      </c>
      <c r="B364" s="1">
        <f>IFERROR(__xludf.DUMMYFUNCTION("""COMPUTED_VALUE"""),1123.0)</f>
        <v>1123</v>
      </c>
      <c r="C364" s="1">
        <f>IFERROR(__xludf.DUMMYFUNCTION("""COMPUTED_VALUE"""),1140.0)</f>
        <v>1140</v>
      </c>
      <c r="D364" s="1">
        <f>IFERROR(__xludf.DUMMYFUNCTION("""COMPUTED_VALUE"""),1123.0)</f>
        <v>1123</v>
      </c>
      <c r="E364" s="1">
        <f>IFERROR(__xludf.DUMMYFUNCTION("""COMPUTED_VALUE"""),17.0)</f>
        <v>17</v>
      </c>
    </row>
    <row r="365">
      <c r="A365" s="1" t="str">
        <f>IFERROR(__xludf.DUMMYFUNCTION("""COMPUTED_VALUE"""),"HKTE16")</f>
        <v>HKTE16</v>
      </c>
      <c r="B365" s="1">
        <f>IFERROR(__xludf.DUMMYFUNCTION("""COMPUTED_VALUE"""),766.0)</f>
        <v>766</v>
      </c>
      <c r="C365" s="1">
        <f>IFERROR(__xludf.DUMMYFUNCTION("""COMPUTED_VALUE"""),836.0)</f>
        <v>836</v>
      </c>
      <c r="D365" s="1">
        <f>IFERROR(__xludf.DUMMYFUNCTION("""COMPUTED_VALUE"""),766.0)</f>
        <v>766</v>
      </c>
      <c r="E365" s="1">
        <f>IFERROR(__xludf.DUMMYFUNCTION("""COMPUTED_VALUE"""),70.0)</f>
        <v>70</v>
      </c>
    </row>
    <row r="366">
      <c r="A366" s="1" t="str">
        <f>IFERROR(__xludf.DUMMYFUNCTION("""COMPUTED_VALUE"""),"HKTE19")</f>
        <v>HKTE19</v>
      </c>
      <c r="B366" s="1">
        <f>IFERROR(__xludf.DUMMYFUNCTION("""COMPUTED_VALUE"""),1769.0)</f>
        <v>1769</v>
      </c>
      <c r="C366" s="1">
        <f>IFERROR(__xludf.DUMMYFUNCTION("""COMPUTED_VALUE"""),1769.0)</f>
        <v>1769</v>
      </c>
      <c r="D366" s="1">
        <f>IFERROR(__xludf.DUMMYFUNCTION("""COMPUTED_VALUE"""),1769.0)</f>
        <v>1769</v>
      </c>
      <c r="E366" s="1">
        <f>IFERROR(__xludf.DUMMYFUNCTION("""COMPUTED_VALUE"""),0.0)</f>
        <v>0</v>
      </c>
    </row>
    <row r="367">
      <c r="A367" s="1" t="str">
        <f>IFERROR(__xludf.DUMMYFUNCTION("""COMPUTED_VALUE"""),"HKTE22")</f>
        <v>HKTE22</v>
      </c>
      <c r="B367" s="1">
        <f>IFERROR(__xludf.DUMMYFUNCTION("""COMPUTED_VALUE"""),2303.0)</f>
        <v>2303</v>
      </c>
      <c r="C367" s="1">
        <f>IFERROR(__xludf.DUMMYFUNCTION("""COMPUTED_VALUE"""),2305.0)</f>
        <v>2305</v>
      </c>
      <c r="D367" s="1">
        <f>IFERROR(__xludf.DUMMYFUNCTION("""COMPUTED_VALUE"""),2303.0)</f>
        <v>2303</v>
      </c>
      <c r="E367" s="1">
        <f>IFERROR(__xludf.DUMMYFUNCTION("""COMPUTED_VALUE"""),2.0)</f>
        <v>2</v>
      </c>
    </row>
    <row r="368">
      <c r="A368" s="1" t="str">
        <f>IFERROR(__xludf.DUMMYFUNCTION("""COMPUTED_VALUE"""),"HKTE25")</f>
        <v>HKTE25</v>
      </c>
      <c r="B368" s="1">
        <f>IFERROR(__xludf.DUMMYFUNCTION("""COMPUTED_VALUE"""),1089.0)</f>
        <v>1089</v>
      </c>
      <c r="C368" s="1">
        <f>IFERROR(__xludf.DUMMYFUNCTION("""COMPUTED_VALUE"""),1089.0)</f>
        <v>1089</v>
      </c>
      <c r="D368" s="1">
        <f>IFERROR(__xludf.DUMMYFUNCTION("""COMPUTED_VALUE"""),1089.0)</f>
        <v>1089</v>
      </c>
      <c r="E368" s="1">
        <f>IFERROR(__xludf.DUMMYFUNCTION("""COMPUTED_VALUE"""),0.0)</f>
        <v>0</v>
      </c>
    </row>
    <row r="369">
      <c r="A369" s="1" t="str">
        <f>IFERROR(__xludf.DUMMYFUNCTION("""COMPUTED_VALUE"""),"HKTE28")</f>
        <v>HKTE28</v>
      </c>
      <c r="B369" s="1">
        <f>IFERROR(__xludf.DUMMYFUNCTION("""COMPUTED_VALUE"""),2258.0)</f>
        <v>2258</v>
      </c>
      <c r="C369" s="1">
        <f>IFERROR(__xludf.DUMMYFUNCTION("""COMPUTED_VALUE"""),2258.0)</f>
        <v>2258</v>
      </c>
      <c r="D369" s="1">
        <f>IFERROR(__xludf.DUMMYFUNCTION("""COMPUTED_VALUE"""),2258.0)</f>
        <v>2258</v>
      </c>
      <c r="E369" s="1">
        <f>IFERROR(__xludf.DUMMYFUNCTION("""COMPUTED_VALUE"""),0.0)</f>
        <v>0</v>
      </c>
    </row>
    <row r="370">
      <c r="A370" s="1" t="str">
        <f>IFERROR(__xludf.DUMMYFUNCTION("""COMPUTED_VALUE"""),"HKTE32")</f>
        <v>HKTE32</v>
      </c>
      <c r="B370" s="1">
        <f>IFERROR(__xludf.DUMMYFUNCTION("""COMPUTED_VALUE"""),1163.0)</f>
        <v>1163</v>
      </c>
      <c r="C370" s="1">
        <f>IFERROR(__xludf.DUMMYFUNCTION("""COMPUTED_VALUE"""),1163.0)</f>
        <v>1163</v>
      </c>
      <c r="D370" s="1">
        <f>IFERROR(__xludf.DUMMYFUNCTION("""COMPUTED_VALUE"""),1163.0)</f>
        <v>1163</v>
      </c>
      <c r="E370" s="1">
        <f>IFERROR(__xludf.DUMMYFUNCTION("""COMPUTED_VALUE"""),0.0)</f>
        <v>0</v>
      </c>
    </row>
    <row r="371">
      <c r="A371" s="1" t="str">
        <f>IFERROR(__xludf.DUMMYFUNCTION("""COMPUTED_VALUE"""),"HKTE35")</f>
        <v>HKTE35</v>
      </c>
      <c r="B371" s="1">
        <f>IFERROR(__xludf.DUMMYFUNCTION("""COMPUTED_VALUE"""),439.0)</f>
        <v>439</v>
      </c>
      <c r="C371" s="1">
        <f>IFERROR(__xludf.DUMMYFUNCTION("""COMPUTED_VALUE"""),445.0)</f>
        <v>445</v>
      </c>
      <c r="D371" s="1">
        <f>IFERROR(__xludf.DUMMYFUNCTION("""COMPUTED_VALUE"""),439.0)</f>
        <v>439</v>
      </c>
      <c r="E371" s="1">
        <f>IFERROR(__xludf.DUMMYFUNCTION("""COMPUTED_VALUE"""),6.0)</f>
        <v>6</v>
      </c>
    </row>
    <row r="372">
      <c r="A372" s="1" t="str">
        <f>IFERROR(__xludf.DUMMYFUNCTION("""COMPUTED_VALUE"""),"HKTE38")</f>
        <v>HKTE38</v>
      </c>
      <c r="B372" s="1">
        <f>IFERROR(__xludf.DUMMYFUNCTION("""COMPUTED_VALUE"""),1004.0)</f>
        <v>1004</v>
      </c>
      <c r="C372" s="1">
        <f>IFERROR(__xludf.DUMMYFUNCTION("""COMPUTED_VALUE"""),1004.0)</f>
        <v>1004</v>
      </c>
      <c r="D372" s="1">
        <f>IFERROR(__xludf.DUMMYFUNCTION("""COMPUTED_VALUE"""),1004.0)</f>
        <v>1004</v>
      </c>
      <c r="E372" s="1">
        <f>IFERROR(__xludf.DUMMYFUNCTION("""COMPUTED_VALUE"""),0.0)</f>
        <v>0</v>
      </c>
    </row>
    <row r="373">
      <c r="A373" s="1" t="str">
        <f>IFERROR(__xludf.DUMMYFUNCTION("""COMPUTED_VALUE"""),"HKTE42")</f>
        <v>HKTE42</v>
      </c>
      <c r="B373" s="1">
        <f>IFERROR(__xludf.DUMMYFUNCTION("""COMPUTED_VALUE"""),196.0)</f>
        <v>196</v>
      </c>
      <c r="C373" s="1">
        <f>IFERROR(__xludf.DUMMYFUNCTION("""COMPUTED_VALUE"""),245.0)</f>
        <v>245</v>
      </c>
      <c r="D373" s="1">
        <f>IFERROR(__xludf.DUMMYFUNCTION("""COMPUTED_VALUE"""),196.0)</f>
        <v>196</v>
      </c>
      <c r="E373" s="1">
        <f>IFERROR(__xludf.DUMMYFUNCTION("""COMPUTED_VALUE"""),49.0)</f>
        <v>49</v>
      </c>
    </row>
    <row r="374">
      <c r="A374" s="1" t="str">
        <f>IFERROR(__xludf.DUMMYFUNCTION("""COMPUTED_VALUE"""),"HKTE54")</f>
        <v>HKTE54</v>
      </c>
      <c r="B374" s="1">
        <f>IFERROR(__xludf.DUMMYFUNCTION("""COMPUTED_VALUE"""),612.0)</f>
        <v>612</v>
      </c>
      <c r="C374" s="1">
        <f>IFERROR(__xludf.DUMMYFUNCTION("""COMPUTED_VALUE"""),621.0)</f>
        <v>621</v>
      </c>
      <c r="D374" s="1">
        <f>IFERROR(__xludf.DUMMYFUNCTION("""COMPUTED_VALUE"""),612.0)</f>
        <v>612</v>
      </c>
      <c r="E374" s="1">
        <f>IFERROR(__xludf.DUMMYFUNCTION("""COMPUTED_VALUE"""),9.0)</f>
        <v>9</v>
      </c>
    </row>
    <row r="375">
      <c r="A375" s="1" t="str">
        <f>IFERROR(__xludf.DUMMYFUNCTION("""COMPUTED_VALUE"""),"HKTE6")</f>
        <v>HKTE6</v>
      </c>
      <c r="B375" s="1">
        <f>IFERROR(__xludf.DUMMYFUNCTION("""COMPUTED_VALUE"""),522.0)</f>
        <v>522</v>
      </c>
      <c r="C375" s="1">
        <f>IFERROR(__xludf.DUMMYFUNCTION("""COMPUTED_VALUE"""),522.0)</f>
        <v>522</v>
      </c>
      <c r="D375" s="1">
        <f>IFERROR(__xludf.DUMMYFUNCTION("""COMPUTED_VALUE"""),522.0)</f>
        <v>522</v>
      </c>
      <c r="E375" s="1">
        <f>IFERROR(__xludf.DUMMYFUNCTION("""COMPUTED_VALUE"""),0.0)</f>
        <v>0</v>
      </c>
    </row>
    <row r="376">
      <c r="A376" s="1" t="str">
        <f>IFERROR(__xludf.DUMMYFUNCTION("""COMPUTED_VALUE"""),"HKTHU1210")</f>
        <v>HKTHU1210</v>
      </c>
      <c r="B376" s="1">
        <f>IFERROR(__xludf.DUMMYFUNCTION("""COMPUTED_VALUE"""),41.0)</f>
        <v>41</v>
      </c>
      <c r="C376" s="1">
        <f>IFERROR(__xludf.DUMMYFUNCTION("""COMPUTED_VALUE"""),59.0)</f>
        <v>59</v>
      </c>
      <c r="D376" s="1">
        <f>IFERROR(__xludf.DUMMYFUNCTION("""COMPUTED_VALUE"""),41.0)</f>
        <v>41</v>
      </c>
      <c r="E376" s="1">
        <f>IFERROR(__xludf.DUMMYFUNCTION("""COMPUTED_VALUE"""),18.0)</f>
        <v>18</v>
      </c>
    </row>
    <row r="377">
      <c r="A377" s="1" t="str">
        <f>IFERROR(__xludf.DUMMYFUNCTION("""COMPUTED_VALUE"""),"HKTHU126")</f>
        <v>HKTHU126</v>
      </c>
      <c r="B377" s="1">
        <f>IFERROR(__xludf.DUMMYFUNCTION("""COMPUTED_VALUE"""),365.0)</f>
        <v>365</v>
      </c>
      <c r="C377" s="1">
        <f>IFERROR(__xludf.DUMMYFUNCTION("""COMPUTED_VALUE"""),365.0)</f>
        <v>365</v>
      </c>
      <c r="D377" s="1">
        <f>IFERROR(__xludf.DUMMYFUNCTION("""COMPUTED_VALUE"""),365.0)</f>
        <v>365</v>
      </c>
      <c r="E377" s="1">
        <f>IFERROR(__xludf.DUMMYFUNCTION("""COMPUTED_VALUE"""),0.0)</f>
        <v>0</v>
      </c>
    </row>
    <row r="378">
      <c r="A378" s="1" t="str">
        <f>IFERROR(__xludf.DUMMYFUNCTION("""COMPUTED_VALUE"""),"HKTHU1610")</f>
        <v>HKTHU1610</v>
      </c>
      <c r="B378" s="1">
        <f>IFERROR(__xludf.DUMMYFUNCTION("""COMPUTED_VALUE"""),218.0)</f>
        <v>218</v>
      </c>
      <c r="C378" s="1">
        <f>IFERROR(__xludf.DUMMYFUNCTION("""COMPUTED_VALUE"""),218.0)</f>
        <v>218</v>
      </c>
      <c r="D378" s="1">
        <f>IFERROR(__xludf.DUMMYFUNCTION("""COMPUTED_VALUE"""),218.0)</f>
        <v>218</v>
      </c>
      <c r="E378" s="1">
        <f>IFERROR(__xludf.DUMMYFUNCTION("""COMPUTED_VALUE"""),0.0)</f>
        <v>0</v>
      </c>
    </row>
    <row r="379">
      <c r="A379" s="1" t="str">
        <f>IFERROR(__xludf.DUMMYFUNCTION("""COMPUTED_VALUE"""),"HKTHU1612")</f>
        <v>HKTHU1612</v>
      </c>
      <c r="B379" s="1">
        <f>IFERROR(__xludf.DUMMYFUNCTION("""COMPUTED_VALUE"""),1815.0)</f>
        <v>1815</v>
      </c>
      <c r="C379" s="1">
        <f>IFERROR(__xludf.DUMMYFUNCTION("""COMPUTED_VALUE"""),1815.0)</f>
        <v>1815</v>
      </c>
      <c r="D379" s="1">
        <f>IFERROR(__xludf.DUMMYFUNCTION("""COMPUTED_VALUE"""),1815.0)</f>
        <v>1815</v>
      </c>
      <c r="E379" s="1">
        <f>IFERROR(__xludf.DUMMYFUNCTION("""COMPUTED_VALUE"""),0.0)</f>
        <v>0</v>
      </c>
    </row>
    <row r="380">
      <c r="A380" s="1" t="str">
        <f>IFERROR(__xludf.DUMMYFUNCTION("""COMPUTED_VALUE"""),"HKTHU1910")</f>
        <v>HKTHU1910</v>
      </c>
      <c r="B380" s="1">
        <f>IFERROR(__xludf.DUMMYFUNCTION("""COMPUTED_VALUE"""),532.0)</f>
        <v>532</v>
      </c>
      <c r="C380" s="1">
        <f>IFERROR(__xludf.DUMMYFUNCTION("""COMPUTED_VALUE"""),532.0)</f>
        <v>532</v>
      </c>
      <c r="D380" s="1">
        <f>IFERROR(__xludf.DUMMYFUNCTION("""COMPUTED_VALUE"""),532.0)</f>
        <v>532</v>
      </c>
      <c r="E380" s="1">
        <f>IFERROR(__xludf.DUMMYFUNCTION("""COMPUTED_VALUE"""),0.0)</f>
        <v>0</v>
      </c>
    </row>
    <row r="381">
      <c r="A381" s="1" t="str">
        <f>IFERROR(__xludf.DUMMYFUNCTION("""COMPUTED_VALUE"""),"HKTHU1912")</f>
        <v>HKTHU1912</v>
      </c>
      <c r="B381" s="1">
        <f>IFERROR(__xludf.DUMMYFUNCTION("""COMPUTED_VALUE"""),1185.0)</f>
        <v>1185</v>
      </c>
      <c r="C381" s="1">
        <f>IFERROR(__xludf.DUMMYFUNCTION("""COMPUTED_VALUE"""),1229.0)</f>
        <v>1229</v>
      </c>
      <c r="D381" s="1">
        <f>IFERROR(__xludf.DUMMYFUNCTION("""COMPUTED_VALUE"""),1185.0)</f>
        <v>1185</v>
      </c>
      <c r="E381" s="1">
        <f>IFERROR(__xludf.DUMMYFUNCTION("""COMPUTED_VALUE"""),44.0)</f>
        <v>44</v>
      </c>
    </row>
    <row r="382">
      <c r="A382" s="1" t="str">
        <f>IFERROR(__xludf.DUMMYFUNCTION("""COMPUTED_VALUE"""),"HKTHU1916")</f>
        <v>HKTHU1916</v>
      </c>
      <c r="B382" s="1">
        <f>IFERROR(__xludf.DUMMYFUNCTION("""COMPUTED_VALUE"""),1249.0)</f>
        <v>1249</v>
      </c>
      <c r="C382" s="1">
        <f>IFERROR(__xludf.DUMMYFUNCTION("""COMPUTED_VALUE"""),1249.0)</f>
        <v>1249</v>
      </c>
      <c r="D382" s="1">
        <f>IFERROR(__xludf.DUMMYFUNCTION("""COMPUTED_VALUE"""),1249.0)</f>
        <v>1249</v>
      </c>
      <c r="E382" s="1">
        <f>IFERROR(__xludf.DUMMYFUNCTION("""COMPUTED_VALUE"""),0.0)</f>
        <v>0</v>
      </c>
    </row>
    <row r="383">
      <c r="A383" s="1" t="str">
        <f>IFERROR(__xludf.DUMMYFUNCTION("""COMPUTED_VALUE"""),"HKTHU2210")</f>
        <v>HKTHU2210</v>
      </c>
      <c r="B383" s="1">
        <f>IFERROR(__xludf.DUMMYFUNCTION("""COMPUTED_VALUE"""),1037.0)</f>
        <v>1037</v>
      </c>
      <c r="C383" s="1">
        <f>IFERROR(__xludf.DUMMYFUNCTION("""COMPUTED_VALUE"""),1038.0)</f>
        <v>1038</v>
      </c>
      <c r="D383" s="1">
        <f>IFERROR(__xludf.DUMMYFUNCTION("""COMPUTED_VALUE"""),1037.0)</f>
        <v>1037</v>
      </c>
      <c r="E383" s="1">
        <f>IFERROR(__xludf.DUMMYFUNCTION("""COMPUTED_VALUE"""),1.0)</f>
        <v>1</v>
      </c>
    </row>
    <row r="384">
      <c r="A384" s="1" t="str">
        <f>IFERROR(__xludf.DUMMYFUNCTION("""COMPUTED_VALUE"""),"HKTHU2212")</f>
        <v>HKTHU2212</v>
      </c>
      <c r="B384" s="1">
        <f>IFERROR(__xludf.DUMMYFUNCTION("""COMPUTED_VALUE"""),551.0)</f>
        <v>551</v>
      </c>
      <c r="C384" s="1">
        <f>IFERROR(__xludf.DUMMYFUNCTION("""COMPUTED_VALUE"""),575.0)</f>
        <v>575</v>
      </c>
      <c r="D384" s="1">
        <f>IFERROR(__xludf.DUMMYFUNCTION("""COMPUTED_VALUE"""),551.0)</f>
        <v>551</v>
      </c>
      <c r="E384" s="1">
        <f>IFERROR(__xludf.DUMMYFUNCTION("""COMPUTED_VALUE"""),24.0)</f>
        <v>24</v>
      </c>
    </row>
    <row r="385">
      <c r="A385" s="1" t="str">
        <f>IFERROR(__xludf.DUMMYFUNCTION("""COMPUTED_VALUE"""),"HKTHU2216")</f>
        <v>HKTHU2216</v>
      </c>
      <c r="B385" s="1">
        <f>IFERROR(__xludf.DUMMYFUNCTION("""COMPUTED_VALUE"""),1408.0)</f>
        <v>1408</v>
      </c>
      <c r="C385" s="1">
        <f>IFERROR(__xludf.DUMMYFUNCTION("""COMPUTED_VALUE"""),1596.0)</f>
        <v>1596</v>
      </c>
      <c r="D385" s="1">
        <f>IFERROR(__xludf.DUMMYFUNCTION("""COMPUTED_VALUE"""),1408.0)</f>
        <v>1408</v>
      </c>
      <c r="E385" s="1">
        <f>IFERROR(__xludf.DUMMYFUNCTION("""COMPUTED_VALUE"""),188.0)</f>
        <v>188</v>
      </c>
    </row>
    <row r="386">
      <c r="A386" s="1" t="str">
        <f>IFERROR(__xludf.DUMMYFUNCTION("""COMPUTED_VALUE"""),"HKTHU2219")</f>
        <v>HKTHU2219</v>
      </c>
      <c r="B386" s="1">
        <f>IFERROR(__xludf.DUMMYFUNCTION("""COMPUTED_VALUE"""),848.0)</f>
        <v>848</v>
      </c>
      <c r="C386" s="1">
        <f>IFERROR(__xludf.DUMMYFUNCTION("""COMPUTED_VALUE"""),856.0)</f>
        <v>856</v>
      </c>
      <c r="D386" s="1">
        <f>IFERROR(__xludf.DUMMYFUNCTION("""COMPUTED_VALUE"""),848.0)</f>
        <v>848</v>
      </c>
      <c r="E386" s="1">
        <f>IFERROR(__xludf.DUMMYFUNCTION("""COMPUTED_VALUE"""),8.0)</f>
        <v>8</v>
      </c>
    </row>
    <row r="387">
      <c r="A387" s="1" t="str">
        <f>IFERROR(__xludf.DUMMYFUNCTION("""COMPUTED_VALUE"""),"HKTHU2512")</f>
        <v>HKTHU2512</v>
      </c>
      <c r="B387" s="1">
        <f>IFERROR(__xludf.DUMMYFUNCTION("""COMPUTED_VALUE"""),642.0)</f>
        <v>642</v>
      </c>
      <c r="C387" s="1">
        <f>IFERROR(__xludf.DUMMYFUNCTION("""COMPUTED_VALUE"""),642.0)</f>
        <v>642</v>
      </c>
      <c r="D387" s="1">
        <f>IFERROR(__xludf.DUMMYFUNCTION("""COMPUTED_VALUE"""),642.0)</f>
        <v>642</v>
      </c>
      <c r="E387" s="1">
        <f>IFERROR(__xludf.DUMMYFUNCTION("""COMPUTED_VALUE"""),0.0)</f>
        <v>0</v>
      </c>
    </row>
    <row r="388">
      <c r="A388" s="1" t="str">
        <f>IFERROR(__xludf.DUMMYFUNCTION("""COMPUTED_VALUE"""),"HKTHU2516")</f>
        <v>HKTHU2516</v>
      </c>
      <c r="B388" s="1">
        <f>IFERROR(__xludf.DUMMYFUNCTION("""COMPUTED_VALUE"""),381.0)</f>
        <v>381</v>
      </c>
      <c r="C388" s="1">
        <f>IFERROR(__xludf.DUMMYFUNCTION("""COMPUTED_VALUE"""),381.0)</f>
        <v>381</v>
      </c>
      <c r="D388" s="1">
        <f>IFERROR(__xludf.DUMMYFUNCTION("""COMPUTED_VALUE"""),381.0)</f>
        <v>381</v>
      </c>
      <c r="E388" s="1">
        <f>IFERROR(__xludf.DUMMYFUNCTION("""COMPUTED_VALUE"""),0.0)</f>
        <v>0</v>
      </c>
    </row>
    <row r="389">
      <c r="A389" s="1" t="str">
        <f>IFERROR(__xludf.DUMMYFUNCTION("""COMPUTED_VALUE"""),"HKTHU2519")</f>
        <v>HKTHU2519</v>
      </c>
      <c r="B389" s="1">
        <f>IFERROR(__xludf.DUMMYFUNCTION("""COMPUTED_VALUE"""),108.0)</f>
        <v>108</v>
      </c>
      <c r="C389" s="1">
        <f>IFERROR(__xludf.DUMMYFUNCTION("""COMPUTED_VALUE"""),108.0)</f>
        <v>108</v>
      </c>
      <c r="D389" s="1">
        <f>IFERROR(__xludf.DUMMYFUNCTION("""COMPUTED_VALUE"""),108.0)</f>
        <v>108</v>
      </c>
      <c r="E389" s="1">
        <f>IFERROR(__xludf.DUMMYFUNCTION("""COMPUTED_VALUE"""),0.0)</f>
        <v>0</v>
      </c>
    </row>
    <row r="390">
      <c r="A390" s="1" t="str">
        <f>IFERROR(__xludf.DUMMYFUNCTION("""COMPUTED_VALUE"""),"HKTHU2522")</f>
        <v>HKTHU2522</v>
      </c>
      <c r="B390" s="1">
        <f>IFERROR(__xludf.DUMMYFUNCTION("""COMPUTED_VALUE"""),724.0)</f>
        <v>724</v>
      </c>
      <c r="C390" s="1">
        <f>IFERROR(__xludf.DUMMYFUNCTION("""COMPUTED_VALUE"""),752.0)</f>
        <v>752</v>
      </c>
      <c r="D390" s="1">
        <f>IFERROR(__xludf.DUMMYFUNCTION("""COMPUTED_VALUE"""),724.0)</f>
        <v>724</v>
      </c>
      <c r="E390" s="1">
        <f>IFERROR(__xludf.DUMMYFUNCTION("""COMPUTED_VALUE"""),28.0)</f>
        <v>28</v>
      </c>
    </row>
    <row r="391">
      <c r="A391" s="1" t="str">
        <f>IFERROR(__xludf.DUMMYFUNCTION("""COMPUTED_VALUE"""),"HKTHU2812")</f>
        <v>HKTHU2812</v>
      </c>
      <c r="B391" s="1">
        <f>IFERROR(__xludf.DUMMYFUNCTION("""COMPUTED_VALUE"""),333.0)</f>
        <v>333</v>
      </c>
      <c r="C391" s="1">
        <f>IFERROR(__xludf.DUMMYFUNCTION("""COMPUTED_VALUE"""),337.0)</f>
        <v>337</v>
      </c>
      <c r="D391" s="1">
        <f>IFERROR(__xludf.DUMMYFUNCTION("""COMPUTED_VALUE"""),333.0)</f>
        <v>333</v>
      </c>
      <c r="E391" s="1">
        <f>IFERROR(__xludf.DUMMYFUNCTION("""COMPUTED_VALUE"""),4.0)</f>
        <v>4</v>
      </c>
    </row>
    <row r="392">
      <c r="A392" s="1" t="str">
        <f>IFERROR(__xludf.DUMMYFUNCTION("""COMPUTED_VALUE"""),"HKTHU2816")</f>
        <v>HKTHU2816</v>
      </c>
      <c r="B392" s="1">
        <f>IFERROR(__xludf.DUMMYFUNCTION("""COMPUTED_VALUE"""),264.0)</f>
        <v>264</v>
      </c>
      <c r="C392" s="1">
        <f>IFERROR(__xludf.DUMMYFUNCTION("""COMPUTED_VALUE"""),264.0)</f>
        <v>264</v>
      </c>
      <c r="D392" s="1">
        <f>IFERROR(__xludf.DUMMYFUNCTION("""COMPUTED_VALUE"""),264.0)</f>
        <v>264</v>
      </c>
      <c r="E392" s="1">
        <f>IFERROR(__xludf.DUMMYFUNCTION("""COMPUTED_VALUE"""),0.0)</f>
        <v>0</v>
      </c>
    </row>
    <row r="393">
      <c r="A393" s="1" t="str">
        <f>IFERROR(__xludf.DUMMYFUNCTION("""COMPUTED_VALUE"""),"HKTHU2819")</f>
        <v>HKTHU2819</v>
      </c>
      <c r="B393" s="1">
        <f>IFERROR(__xludf.DUMMYFUNCTION("""COMPUTED_VALUE"""),411.0)</f>
        <v>411</v>
      </c>
      <c r="C393" s="1">
        <f>IFERROR(__xludf.DUMMYFUNCTION("""COMPUTED_VALUE"""),452.0)</f>
        <v>452</v>
      </c>
      <c r="D393" s="1">
        <f>IFERROR(__xludf.DUMMYFUNCTION("""COMPUTED_VALUE"""),411.0)</f>
        <v>411</v>
      </c>
      <c r="E393" s="1">
        <f>IFERROR(__xludf.DUMMYFUNCTION("""COMPUTED_VALUE"""),41.0)</f>
        <v>41</v>
      </c>
    </row>
    <row r="394">
      <c r="A394" s="1" t="str">
        <f>IFERROR(__xludf.DUMMYFUNCTION("""COMPUTED_VALUE"""),"HKTHU2822")</f>
        <v>HKTHU2822</v>
      </c>
      <c r="B394" s="1">
        <f>IFERROR(__xludf.DUMMYFUNCTION("""COMPUTED_VALUE"""),2091.0)</f>
        <v>2091</v>
      </c>
      <c r="C394" s="1">
        <f>IFERROR(__xludf.DUMMYFUNCTION("""COMPUTED_VALUE"""),2094.0)</f>
        <v>2094</v>
      </c>
      <c r="D394" s="1">
        <f>IFERROR(__xludf.DUMMYFUNCTION("""COMPUTED_VALUE"""),2091.0)</f>
        <v>2091</v>
      </c>
      <c r="E394" s="1">
        <f>IFERROR(__xludf.DUMMYFUNCTION("""COMPUTED_VALUE"""),3.0)</f>
        <v>3</v>
      </c>
    </row>
    <row r="395">
      <c r="A395" s="1" t="str">
        <f>IFERROR(__xludf.DUMMYFUNCTION("""COMPUTED_VALUE"""),"HKTHU2825")</f>
        <v>HKTHU2825</v>
      </c>
      <c r="B395" s="1">
        <f>IFERROR(__xludf.DUMMYFUNCTION("""COMPUTED_VALUE"""),448.0)</f>
        <v>448</v>
      </c>
      <c r="C395" s="1">
        <f>IFERROR(__xludf.DUMMYFUNCTION("""COMPUTED_VALUE"""),543.0)</f>
        <v>543</v>
      </c>
      <c r="D395" s="1">
        <f>IFERROR(__xludf.DUMMYFUNCTION("""COMPUTED_VALUE"""),448.0)</f>
        <v>448</v>
      </c>
      <c r="E395" s="1">
        <f>IFERROR(__xludf.DUMMYFUNCTION("""COMPUTED_VALUE"""),95.0)</f>
        <v>95</v>
      </c>
    </row>
    <row r="396">
      <c r="A396" s="1" t="str">
        <f>IFERROR(__xludf.DUMMYFUNCTION("""COMPUTED_VALUE"""),"HKTHU3225")</f>
        <v>HKTHU3225</v>
      </c>
      <c r="B396" s="1">
        <f>IFERROR(__xludf.DUMMYFUNCTION("""COMPUTED_VALUE"""),174.0)</f>
        <v>174</v>
      </c>
      <c r="C396" s="1">
        <f>IFERROR(__xludf.DUMMYFUNCTION("""COMPUTED_VALUE"""),203.0)</f>
        <v>203</v>
      </c>
      <c r="D396" s="1">
        <f>IFERROR(__xludf.DUMMYFUNCTION("""COMPUTED_VALUE"""),174.0)</f>
        <v>174</v>
      </c>
      <c r="E396" s="1">
        <f>IFERROR(__xludf.DUMMYFUNCTION("""COMPUTED_VALUE"""),29.0)</f>
        <v>29</v>
      </c>
    </row>
    <row r="397">
      <c r="A397" s="1" t="str">
        <f>IFERROR(__xludf.DUMMYFUNCTION("""COMPUTED_VALUE"""),"HKTHU3228")</f>
        <v>HKTHU3228</v>
      </c>
      <c r="B397" s="1">
        <f>IFERROR(__xludf.DUMMYFUNCTION("""COMPUTED_VALUE"""),415.0)</f>
        <v>415</v>
      </c>
      <c r="C397" s="1">
        <f>IFERROR(__xludf.DUMMYFUNCTION("""COMPUTED_VALUE"""),415.0)</f>
        <v>415</v>
      </c>
      <c r="D397" s="1">
        <f>IFERROR(__xludf.DUMMYFUNCTION("""COMPUTED_VALUE"""),415.0)</f>
        <v>415</v>
      </c>
      <c r="E397" s="1">
        <f>IFERROR(__xludf.DUMMYFUNCTION("""COMPUTED_VALUE"""),0.0)</f>
        <v>0</v>
      </c>
    </row>
    <row r="398">
      <c r="A398" s="1" t="str">
        <f>IFERROR(__xludf.DUMMYFUNCTION("""COMPUTED_VALUE"""),"HKTHU3512")</f>
        <v>HKTHU3512</v>
      </c>
      <c r="B398" s="1">
        <f>IFERROR(__xludf.DUMMYFUNCTION("""COMPUTED_VALUE"""),597.0)</f>
        <v>597</v>
      </c>
      <c r="C398" s="1">
        <f>IFERROR(__xludf.DUMMYFUNCTION("""COMPUTED_VALUE"""),597.0)</f>
        <v>597</v>
      </c>
      <c r="D398" s="1">
        <f>IFERROR(__xludf.DUMMYFUNCTION("""COMPUTED_VALUE"""),597.0)</f>
        <v>597</v>
      </c>
      <c r="E398" s="1">
        <f>IFERROR(__xludf.DUMMYFUNCTION("""COMPUTED_VALUE"""),0.0)</f>
        <v>0</v>
      </c>
    </row>
    <row r="399">
      <c r="A399" s="1" t="str">
        <f>IFERROR(__xludf.DUMMYFUNCTION("""COMPUTED_VALUE"""),"HKTHU3516")</f>
        <v>HKTHU3516</v>
      </c>
      <c r="B399" s="1">
        <f>IFERROR(__xludf.DUMMYFUNCTION("""COMPUTED_VALUE"""),297.0)</f>
        <v>297</v>
      </c>
      <c r="C399" s="1">
        <f>IFERROR(__xludf.DUMMYFUNCTION("""COMPUTED_VALUE"""),297.0)</f>
        <v>297</v>
      </c>
      <c r="D399" s="1">
        <f>IFERROR(__xludf.DUMMYFUNCTION("""COMPUTED_VALUE"""),297.0)</f>
        <v>297</v>
      </c>
      <c r="E399" s="1">
        <f>IFERROR(__xludf.DUMMYFUNCTION("""COMPUTED_VALUE"""),0.0)</f>
        <v>0</v>
      </c>
    </row>
    <row r="400">
      <c r="A400" s="1" t="str">
        <f>IFERROR(__xludf.DUMMYFUNCTION("""COMPUTED_VALUE"""),"HKTHU3519")</f>
        <v>HKTHU3519</v>
      </c>
      <c r="B400" s="1">
        <f>IFERROR(__xludf.DUMMYFUNCTION("""COMPUTED_VALUE"""),348.0)</f>
        <v>348</v>
      </c>
      <c r="C400" s="1">
        <f>IFERROR(__xludf.DUMMYFUNCTION("""COMPUTED_VALUE"""),350.0)</f>
        <v>350</v>
      </c>
      <c r="D400" s="1">
        <f>IFERROR(__xludf.DUMMYFUNCTION("""COMPUTED_VALUE"""),348.0)</f>
        <v>348</v>
      </c>
      <c r="E400" s="1">
        <f>IFERROR(__xludf.DUMMYFUNCTION("""COMPUTED_VALUE"""),2.0)</f>
        <v>2</v>
      </c>
    </row>
    <row r="401">
      <c r="A401" s="1" t="str">
        <f>IFERROR(__xludf.DUMMYFUNCTION("""COMPUTED_VALUE"""),"HKTHU3522")</f>
        <v>HKTHU3522</v>
      </c>
      <c r="B401" s="1">
        <f>IFERROR(__xludf.DUMMYFUNCTION("""COMPUTED_VALUE"""),827.0)</f>
        <v>827</v>
      </c>
      <c r="C401" s="1">
        <f>IFERROR(__xludf.DUMMYFUNCTION("""COMPUTED_VALUE"""),831.0)</f>
        <v>831</v>
      </c>
      <c r="D401" s="1">
        <f>IFERROR(__xludf.DUMMYFUNCTION("""COMPUTED_VALUE"""),827.0)</f>
        <v>827</v>
      </c>
      <c r="E401" s="1">
        <f>IFERROR(__xludf.DUMMYFUNCTION("""COMPUTED_VALUE"""),4.0)</f>
        <v>4</v>
      </c>
    </row>
    <row r="402">
      <c r="A402" s="1" t="str">
        <f>IFERROR(__xludf.DUMMYFUNCTION("""COMPUTED_VALUE"""),"HKTHU3525")</f>
        <v>HKTHU3525</v>
      </c>
      <c r="B402" s="1">
        <f>IFERROR(__xludf.DUMMYFUNCTION("""COMPUTED_VALUE"""),700.0)</f>
        <v>700</v>
      </c>
      <c r="C402" s="1">
        <f>IFERROR(__xludf.DUMMYFUNCTION("""COMPUTED_VALUE"""),700.0)</f>
        <v>700</v>
      </c>
      <c r="D402" s="1">
        <f>IFERROR(__xludf.DUMMYFUNCTION("""COMPUTED_VALUE"""),700.0)</f>
        <v>700</v>
      </c>
      <c r="E402" s="1">
        <f>IFERROR(__xludf.DUMMYFUNCTION("""COMPUTED_VALUE"""),0.0)</f>
        <v>0</v>
      </c>
    </row>
    <row r="403">
      <c r="A403" s="1" t="str">
        <f>IFERROR(__xludf.DUMMYFUNCTION("""COMPUTED_VALUE"""),"HKTHU3528")</f>
        <v>HKTHU3528</v>
      </c>
      <c r="B403" s="1">
        <f>IFERROR(__xludf.DUMMYFUNCTION("""COMPUTED_VALUE"""),1680.0)</f>
        <v>1680</v>
      </c>
      <c r="C403" s="1">
        <f>IFERROR(__xludf.DUMMYFUNCTION("""COMPUTED_VALUE"""),1690.0)</f>
        <v>1690</v>
      </c>
      <c r="D403" s="1">
        <f>IFERROR(__xludf.DUMMYFUNCTION("""COMPUTED_VALUE"""),1680.0)</f>
        <v>1680</v>
      </c>
      <c r="E403" s="1">
        <f>IFERROR(__xludf.DUMMYFUNCTION("""COMPUTED_VALUE"""),10.0)</f>
        <v>10</v>
      </c>
    </row>
    <row r="404">
      <c r="A404" s="1" t="str">
        <f>IFERROR(__xludf.DUMMYFUNCTION("""COMPUTED_VALUE"""),"HKTHU3825")</f>
        <v>HKTHU3825</v>
      </c>
      <c r="B404" s="1">
        <f>IFERROR(__xludf.DUMMYFUNCTION("""COMPUTED_VALUE"""),6.0)</f>
        <v>6</v>
      </c>
      <c r="C404" s="1">
        <f>IFERROR(__xludf.DUMMYFUNCTION("""COMPUTED_VALUE"""),306.0)</f>
        <v>306</v>
      </c>
      <c r="D404" s="1">
        <f>IFERROR(__xludf.DUMMYFUNCTION("""COMPUTED_VALUE"""),306.0)</f>
        <v>306</v>
      </c>
      <c r="E404" s="1">
        <f>IFERROR(__xludf.DUMMYFUNCTION("""COMPUTED_VALUE"""),0.0)</f>
        <v>0</v>
      </c>
    </row>
    <row r="405">
      <c r="A405" s="1" t="str">
        <f>IFERROR(__xludf.DUMMYFUNCTION("""COMPUTED_VALUE"""),"HKTHU3832")</f>
        <v>HKTHU3832</v>
      </c>
      <c r="B405" s="1">
        <f>IFERROR(__xludf.DUMMYFUNCTION("""COMPUTED_VALUE"""),441.0)</f>
        <v>441</v>
      </c>
      <c r="C405" s="1">
        <f>IFERROR(__xludf.DUMMYFUNCTION("""COMPUTED_VALUE"""),441.0)</f>
        <v>441</v>
      </c>
      <c r="D405" s="1">
        <f>IFERROR(__xludf.DUMMYFUNCTION("""COMPUTED_VALUE"""),441.0)</f>
        <v>441</v>
      </c>
      <c r="E405" s="1">
        <f>IFERROR(__xludf.DUMMYFUNCTION("""COMPUTED_VALUE"""),0.0)</f>
        <v>0</v>
      </c>
    </row>
    <row r="406">
      <c r="A406" s="1" t="str">
        <f>IFERROR(__xludf.DUMMYFUNCTION("""COMPUTED_VALUE"""),"HKTHU38-35")</f>
        <v>HKTHU38-35</v>
      </c>
      <c r="B406" s="1">
        <f>IFERROR(__xludf.DUMMYFUNCTION("""COMPUTED_VALUE"""),479.0)</f>
        <v>479</v>
      </c>
      <c r="C406" s="1">
        <f>IFERROR(__xludf.DUMMYFUNCTION("""COMPUTED_VALUE"""),579.0)</f>
        <v>579</v>
      </c>
      <c r="D406" s="1">
        <f>IFERROR(__xludf.DUMMYFUNCTION("""COMPUTED_VALUE"""),479.0)</f>
        <v>479</v>
      </c>
      <c r="E406" s="1">
        <f>IFERROR(__xludf.DUMMYFUNCTION("""COMPUTED_VALUE"""),100.0)</f>
        <v>100</v>
      </c>
    </row>
    <row r="407">
      <c r="A407" s="1" t="str">
        <f>IFERROR(__xludf.DUMMYFUNCTION("""COMPUTED_VALUE"""),"HKTHU4216")</f>
        <v>HKTHU4216</v>
      </c>
      <c r="B407" s="1">
        <f>IFERROR(__xludf.DUMMYFUNCTION("""COMPUTED_VALUE"""),197.0)</f>
        <v>197</v>
      </c>
      <c r="C407" s="1">
        <f>IFERROR(__xludf.DUMMYFUNCTION("""COMPUTED_VALUE"""),199.0)</f>
        <v>199</v>
      </c>
      <c r="D407" s="1">
        <f>IFERROR(__xludf.DUMMYFUNCTION("""COMPUTED_VALUE"""),197.0)</f>
        <v>197</v>
      </c>
      <c r="E407" s="1">
        <f>IFERROR(__xludf.DUMMYFUNCTION("""COMPUTED_VALUE"""),2.0)</f>
        <v>2</v>
      </c>
    </row>
    <row r="408">
      <c r="A408" s="1" t="str">
        <f>IFERROR(__xludf.DUMMYFUNCTION("""COMPUTED_VALUE"""),"HKTHU4219")</f>
        <v>HKTHU4219</v>
      </c>
      <c r="B408" s="1">
        <f>IFERROR(__xludf.DUMMYFUNCTION("""COMPUTED_VALUE"""),146.0)</f>
        <v>146</v>
      </c>
      <c r="C408" s="1">
        <f>IFERROR(__xludf.DUMMYFUNCTION("""COMPUTED_VALUE"""),167.0)</f>
        <v>167</v>
      </c>
      <c r="D408" s="1">
        <f>IFERROR(__xludf.DUMMYFUNCTION("""COMPUTED_VALUE"""),146.0)</f>
        <v>146</v>
      </c>
      <c r="E408" s="1">
        <f>IFERROR(__xludf.DUMMYFUNCTION("""COMPUTED_VALUE"""),21.0)</f>
        <v>21</v>
      </c>
    </row>
    <row r="409">
      <c r="A409" s="1" t="str">
        <f>IFERROR(__xludf.DUMMYFUNCTION("""COMPUTED_VALUE"""),"HKTHU4222")</f>
        <v>HKTHU4222</v>
      </c>
      <c r="B409" s="1">
        <f>IFERROR(__xludf.DUMMYFUNCTION("""COMPUTED_VALUE"""),323.0)</f>
        <v>323</v>
      </c>
      <c r="C409" s="1">
        <f>IFERROR(__xludf.DUMMYFUNCTION("""COMPUTED_VALUE"""),323.0)</f>
        <v>323</v>
      </c>
      <c r="D409" s="1">
        <f>IFERROR(__xludf.DUMMYFUNCTION("""COMPUTED_VALUE"""),323.0)</f>
        <v>323</v>
      </c>
      <c r="E409" s="1">
        <f>IFERROR(__xludf.DUMMYFUNCTION("""COMPUTED_VALUE"""),0.0)</f>
        <v>0</v>
      </c>
    </row>
    <row r="410">
      <c r="A410" s="1" t="str">
        <f>IFERROR(__xludf.DUMMYFUNCTION("""COMPUTED_VALUE"""),"HKTHU4228")</f>
        <v>HKTHU4228</v>
      </c>
      <c r="B410" s="1">
        <f>IFERROR(__xludf.DUMMYFUNCTION("""COMPUTED_VALUE"""),481.0)</f>
        <v>481</v>
      </c>
      <c r="C410" s="1">
        <f>IFERROR(__xludf.DUMMYFUNCTION("""COMPUTED_VALUE"""),485.0)</f>
        <v>485</v>
      </c>
      <c r="D410" s="1">
        <f>IFERROR(__xludf.DUMMYFUNCTION("""COMPUTED_VALUE"""),481.0)</f>
        <v>481</v>
      </c>
      <c r="E410" s="1">
        <f>IFERROR(__xludf.DUMMYFUNCTION("""COMPUTED_VALUE"""),4.0)</f>
        <v>4</v>
      </c>
    </row>
    <row r="411">
      <c r="A411" s="1" t="str">
        <f>IFERROR(__xludf.DUMMYFUNCTION("""COMPUTED_VALUE"""),"HKTHU4235")</f>
        <v>HKTHU4235</v>
      </c>
      <c r="B411" s="1">
        <f>IFERROR(__xludf.DUMMYFUNCTION("""COMPUTED_VALUE"""),956.0)</f>
        <v>956</v>
      </c>
      <c r="C411" s="1">
        <f>IFERROR(__xludf.DUMMYFUNCTION("""COMPUTED_VALUE"""),974.0)</f>
        <v>974</v>
      </c>
      <c r="D411" s="1">
        <f>IFERROR(__xludf.DUMMYFUNCTION("""COMPUTED_VALUE"""),956.0)</f>
        <v>956</v>
      </c>
      <c r="E411" s="1">
        <f>IFERROR(__xludf.DUMMYFUNCTION("""COMPUTED_VALUE"""),18.0)</f>
        <v>18</v>
      </c>
    </row>
    <row r="412">
      <c r="A412" s="1" t="str">
        <f>IFERROR(__xludf.DUMMYFUNCTION("""COMPUTED_VALUE"""),"HKTHU4238")</f>
        <v>HKTHU4238</v>
      </c>
      <c r="B412" s="1">
        <f>IFERROR(__xludf.DUMMYFUNCTION("""COMPUTED_VALUE"""),115.0)</f>
        <v>115</v>
      </c>
      <c r="C412" s="1">
        <f>IFERROR(__xludf.DUMMYFUNCTION("""COMPUTED_VALUE"""),135.0)</f>
        <v>135</v>
      </c>
      <c r="D412" s="1">
        <f>IFERROR(__xludf.DUMMYFUNCTION("""COMPUTED_VALUE"""),115.0)</f>
        <v>115</v>
      </c>
      <c r="E412" s="1">
        <f>IFERROR(__xludf.DUMMYFUNCTION("""COMPUTED_VALUE"""),20.0)</f>
        <v>20</v>
      </c>
    </row>
    <row r="413">
      <c r="A413" s="1" t="str">
        <f>IFERROR(__xludf.DUMMYFUNCTION("""COMPUTED_VALUE"""),"HKTHU5428")</f>
        <v>HKTHU5428</v>
      </c>
      <c r="B413" s="1">
        <f>IFERROR(__xludf.DUMMYFUNCTION("""COMPUTED_VALUE"""),484.0)</f>
        <v>484</v>
      </c>
      <c r="C413" s="1">
        <f>IFERROR(__xludf.DUMMYFUNCTION("""COMPUTED_VALUE"""),500.0)</f>
        <v>500</v>
      </c>
      <c r="D413" s="1">
        <f>IFERROR(__xludf.DUMMYFUNCTION("""COMPUTED_VALUE"""),484.0)</f>
        <v>484</v>
      </c>
      <c r="E413" s="1">
        <f>IFERROR(__xludf.DUMMYFUNCTION("""COMPUTED_VALUE"""),16.0)</f>
        <v>16</v>
      </c>
    </row>
    <row r="414">
      <c r="A414" s="1" t="str">
        <f>IFERROR(__xludf.DUMMYFUNCTION("""COMPUTED_VALUE"""),"HKTHU5435")</f>
        <v>HKTHU5435</v>
      </c>
      <c r="B414" s="1">
        <f>IFERROR(__xludf.DUMMYFUNCTION("""COMPUTED_VALUE"""),386.0)</f>
        <v>386</v>
      </c>
      <c r="C414" s="1">
        <f>IFERROR(__xludf.DUMMYFUNCTION("""COMPUTED_VALUE"""),407.0)</f>
        <v>407</v>
      </c>
      <c r="D414" s="1">
        <f>IFERROR(__xludf.DUMMYFUNCTION("""COMPUTED_VALUE"""),386.0)</f>
        <v>386</v>
      </c>
      <c r="E414" s="1">
        <f>IFERROR(__xludf.DUMMYFUNCTION("""COMPUTED_VALUE"""),21.0)</f>
        <v>21</v>
      </c>
    </row>
    <row r="415">
      <c r="A415" s="1" t="str">
        <f>IFERROR(__xludf.DUMMYFUNCTION("""COMPUTED_VALUE"""),"HKTHU5442")</f>
        <v>HKTHU5442</v>
      </c>
      <c r="B415" s="1">
        <f>IFERROR(__xludf.DUMMYFUNCTION("""COMPUTED_VALUE"""),262.0)</f>
        <v>262</v>
      </c>
      <c r="C415" s="1">
        <f>IFERROR(__xludf.DUMMYFUNCTION("""COMPUTED_VALUE"""),262.0)</f>
        <v>262</v>
      </c>
      <c r="D415" s="1">
        <f>IFERROR(__xludf.DUMMYFUNCTION("""COMPUTED_VALUE"""),262.0)</f>
        <v>262</v>
      </c>
      <c r="E415" s="1">
        <f>IFERROR(__xludf.DUMMYFUNCTION("""COMPUTED_VALUE"""),0.0)</f>
        <v>0</v>
      </c>
    </row>
    <row r="416">
      <c r="A416" s="1" t="str">
        <f>IFERROR(__xludf.DUMMYFUNCTION("""COMPUTED_VALUE"""),"HKTHU6719")</f>
        <v>HKTHU6719</v>
      </c>
      <c r="B416" s="1">
        <f>IFERROR(__xludf.DUMMYFUNCTION("""COMPUTED_VALUE"""),234.0)</f>
        <v>234</v>
      </c>
      <c r="C416" s="1">
        <f>IFERROR(__xludf.DUMMYFUNCTION("""COMPUTED_VALUE"""),234.0)</f>
        <v>234</v>
      </c>
      <c r="D416" s="1">
        <f>IFERROR(__xludf.DUMMYFUNCTION("""COMPUTED_VALUE"""),234.0)</f>
        <v>234</v>
      </c>
      <c r="E416" s="1">
        <f>IFERROR(__xludf.DUMMYFUNCTION("""COMPUTED_VALUE"""),0.0)</f>
        <v>0</v>
      </c>
    </row>
    <row r="417">
      <c r="A417" s="1" t="str">
        <f>IFERROR(__xludf.DUMMYFUNCTION("""COMPUTED_VALUE"""),"HKTHU6728")</f>
        <v>HKTHU6728</v>
      </c>
      <c r="B417" s="1">
        <f>IFERROR(__xludf.DUMMYFUNCTION("""COMPUTED_VALUE"""),59.0)</f>
        <v>59</v>
      </c>
      <c r="C417" s="1">
        <f>IFERROR(__xludf.DUMMYFUNCTION("""COMPUTED_VALUE"""),67.0)</f>
        <v>67</v>
      </c>
      <c r="D417" s="1">
        <f>IFERROR(__xludf.DUMMYFUNCTION("""COMPUTED_VALUE"""),59.0)</f>
        <v>59</v>
      </c>
      <c r="E417" s="1">
        <f>IFERROR(__xludf.DUMMYFUNCTION("""COMPUTED_VALUE"""),8.0)</f>
        <v>8</v>
      </c>
    </row>
    <row r="418">
      <c r="A418" s="1" t="str">
        <f>IFERROR(__xludf.DUMMYFUNCTION("""COMPUTED_VALUE"""),"HKTHU6742")</f>
        <v>HKTHU6742</v>
      </c>
      <c r="B418" s="1">
        <f>IFERROR(__xludf.DUMMYFUNCTION("""COMPUTED_VALUE"""),154.0)</f>
        <v>154</v>
      </c>
      <c r="C418" s="1">
        <f>IFERROR(__xludf.DUMMYFUNCTION("""COMPUTED_VALUE"""),170.0)</f>
        <v>170</v>
      </c>
      <c r="D418" s="1">
        <f>IFERROR(__xludf.DUMMYFUNCTION("""COMPUTED_VALUE"""),154.0)</f>
        <v>154</v>
      </c>
      <c r="E418" s="1">
        <f>IFERROR(__xludf.DUMMYFUNCTION("""COMPUTED_VALUE"""),16.0)</f>
        <v>16</v>
      </c>
    </row>
    <row r="419">
      <c r="A419" s="1" t="str">
        <f>IFERROR(__xludf.DUMMYFUNCTION("""COMPUTED_VALUE"""),"HKTHU6754")</f>
        <v>HKTHU6754</v>
      </c>
      <c r="B419" s="1">
        <f>IFERROR(__xludf.DUMMYFUNCTION("""COMPUTED_VALUE"""),108.0)</f>
        <v>108</v>
      </c>
      <c r="C419" s="1">
        <f>IFERROR(__xludf.DUMMYFUNCTION("""COMPUTED_VALUE"""),125.0)</f>
        <v>125</v>
      </c>
      <c r="D419" s="1">
        <f>IFERROR(__xludf.DUMMYFUNCTION("""COMPUTED_VALUE"""),108.0)</f>
        <v>108</v>
      </c>
      <c r="E419" s="1">
        <f>IFERROR(__xludf.DUMMYFUNCTION("""COMPUTED_VALUE"""),17.0)</f>
        <v>17</v>
      </c>
    </row>
    <row r="420">
      <c r="A420" s="1" t="str">
        <f>IFERROR(__xludf.DUMMYFUNCTION("""COMPUTED_VALUE"""),"HKTHU7642")</f>
        <v>HKTHU7642</v>
      </c>
      <c r="B420" s="1">
        <f>IFERROR(__xludf.DUMMYFUNCTION("""COMPUTED_VALUE"""),222.0)</f>
        <v>222</v>
      </c>
      <c r="C420" s="1">
        <f>IFERROR(__xludf.DUMMYFUNCTION("""COMPUTED_VALUE"""),222.0)</f>
        <v>222</v>
      </c>
      <c r="D420" s="1">
        <f>IFERROR(__xludf.DUMMYFUNCTION("""COMPUTED_VALUE"""),222.0)</f>
        <v>222</v>
      </c>
      <c r="E420" s="1">
        <f>IFERROR(__xludf.DUMMYFUNCTION("""COMPUTED_VALUE"""),0.0)</f>
        <v>0</v>
      </c>
    </row>
    <row r="421">
      <c r="A421" s="1" t="str">
        <f>IFERROR(__xludf.DUMMYFUNCTION("""COMPUTED_VALUE"""),"HKTHU7954")</f>
        <v>HKTHU7954</v>
      </c>
      <c r="B421" s="1">
        <f>IFERROR(__xludf.DUMMYFUNCTION("""COMPUTED_VALUE"""),29.0)</f>
        <v>29</v>
      </c>
      <c r="C421" s="1">
        <f>IFERROR(__xludf.DUMMYFUNCTION("""COMPUTED_VALUE"""),29.0)</f>
        <v>29</v>
      </c>
      <c r="D421" s="1">
        <f>IFERROR(__xludf.DUMMYFUNCTION("""COMPUTED_VALUE"""),29.0)</f>
        <v>29</v>
      </c>
      <c r="E421" s="1">
        <f>IFERROR(__xludf.DUMMYFUNCTION("""COMPUTED_VALUE"""),0.0)</f>
        <v>0</v>
      </c>
    </row>
    <row r="422">
      <c r="A422" s="1" t="str">
        <f>IFERROR(__xludf.DUMMYFUNCTION("""COMPUTED_VALUE"""),"HKTNL20")</f>
        <v>HKTNL20</v>
      </c>
      <c r="B422" s="1">
        <f>IFERROR(__xludf.DUMMYFUNCTION("""COMPUTED_VALUE"""),88.8)</f>
        <v>88.8</v>
      </c>
      <c r="C422" s="1">
        <f>IFERROR(__xludf.DUMMYFUNCTION("""COMPUTED_VALUE"""),88.8)</f>
        <v>88.8</v>
      </c>
      <c r="D422" s="1">
        <f>IFERROR(__xludf.DUMMYFUNCTION("""COMPUTED_VALUE"""),88.8)</f>
        <v>88.8</v>
      </c>
      <c r="E422" s="1">
        <f>IFERROR(__xludf.DUMMYFUNCTION("""COMPUTED_VALUE"""),0.0)</f>
        <v>0</v>
      </c>
    </row>
    <row r="423">
      <c r="A423" s="1" t="str">
        <f>IFERROR(__xludf.DUMMYFUNCTION("""COMPUTED_VALUE"""),"HKTNL22")</f>
        <v>HKTNL22</v>
      </c>
      <c r="B423" s="1">
        <f>IFERROR(__xludf.DUMMYFUNCTION("""COMPUTED_VALUE"""),153.4)</f>
        <v>153.4</v>
      </c>
      <c r="C423" s="1">
        <f>IFERROR(__xludf.DUMMYFUNCTION("""COMPUTED_VALUE"""),153.4)</f>
        <v>153.4</v>
      </c>
      <c r="D423" s="1">
        <f>IFERROR(__xludf.DUMMYFUNCTION("""COMPUTED_VALUE"""),153.4)</f>
        <v>153.4</v>
      </c>
      <c r="E423" s="1">
        <f>IFERROR(__xludf.DUMMYFUNCTION("""COMPUTED_VALUE"""),0.0)</f>
        <v>0</v>
      </c>
    </row>
    <row r="424">
      <c r="A424" s="1" t="str">
        <f>IFERROR(__xludf.DUMMYFUNCTION("""COMPUTED_VALUE"""),"HKTNLBODL")</f>
        <v>HKTNLBODL</v>
      </c>
      <c r="B424" s="1">
        <f>IFERROR(__xludf.DUMMYFUNCTION("""COMPUTED_VALUE"""),6.1)</f>
        <v>6.1</v>
      </c>
      <c r="C424" s="1">
        <f>IFERROR(__xludf.DUMMYFUNCTION("""COMPUTED_VALUE"""),564.4)</f>
        <v>564.4</v>
      </c>
      <c r="D424" s="1">
        <f>IFERROR(__xludf.DUMMYFUNCTION("""COMPUTED_VALUE"""),564.4)</f>
        <v>564.4</v>
      </c>
      <c r="E424" s="1">
        <f>IFERROR(__xludf.DUMMYFUNCTION("""COMPUTED_VALUE"""),0.0)</f>
        <v>0</v>
      </c>
    </row>
    <row r="425">
      <c r="A425" s="1" t="str">
        <f>IFERROR(__xludf.DUMMYFUNCTION("""COMPUTED_VALUE"""),"HKTODL635127061")</f>
        <v>HKTODL635127061</v>
      </c>
      <c r="B425" s="1">
        <f>IFERROR(__xludf.DUMMYFUNCTION("""COMPUTED_VALUE"""),1500.0)</f>
        <v>1500</v>
      </c>
      <c r="C425" s="1">
        <f>IFERROR(__xludf.DUMMYFUNCTION("""COMPUTED_VALUE"""),1500.0)</f>
        <v>1500</v>
      </c>
      <c r="D425" s="1">
        <f>IFERROR(__xludf.DUMMYFUNCTION("""COMPUTED_VALUE"""),1500.0)</f>
        <v>1500</v>
      </c>
      <c r="E425" s="1">
        <f>IFERROR(__xludf.DUMMYFUNCTION("""COMPUTED_VALUE"""),0.0)</f>
        <v>0</v>
      </c>
    </row>
    <row r="426">
      <c r="A426" s="1" t="str">
        <f>IFERROR(__xludf.DUMMYFUNCTION("""COMPUTED_VALUE"""),"HKTODL635127071")</f>
        <v>HKTODL635127071</v>
      </c>
      <c r="B426" s="1">
        <f>IFERROR(__xludf.DUMMYFUNCTION("""COMPUTED_VALUE"""),1000.0)</f>
        <v>1000</v>
      </c>
      <c r="C426" s="1">
        <f>IFERROR(__xludf.DUMMYFUNCTION("""COMPUTED_VALUE"""),1000.0)</f>
        <v>1000</v>
      </c>
      <c r="D426" s="1">
        <f>IFERROR(__xludf.DUMMYFUNCTION("""COMPUTED_VALUE"""),1000.0)</f>
        <v>1000</v>
      </c>
      <c r="E426" s="1">
        <f>IFERROR(__xludf.DUMMYFUNCTION("""COMPUTED_VALUE"""),0.0)</f>
        <v>0</v>
      </c>
    </row>
    <row r="427">
      <c r="A427" s="1" t="str">
        <f>IFERROR(__xludf.DUMMYFUNCTION("""COMPUTED_VALUE"""),"HKTODL635127081")</f>
        <v>HKTODL635127081</v>
      </c>
      <c r="B427" s="1">
        <f>IFERROR(__xludf.DUMMYFUNCTION("""COMPUTED_VALUE"""),500.0)</f>
        <v>500</v>
      </c>
      <c r="C427" s="1">
        <f>IFERROR(__xludf.DUMMYFUNCTION("""COMPUTED_VALUE"""),500.0)</f>
        <v>500</v>
      </c>
      <c r="D427" s="1">
        <f>IFERROR(__xludf.DUMMYFUNCTION("""COMPUTED_VALUE"""),500.0)</f>
        <v>500</v>
      </c>
      <c r="E427" s="1">
        <f>IFERROR(__xludf.DUMMYFUNCTION("""COMPUTED_VALUE"""),0.0)</f>
        <v>0</v>
      </c>
    </row>
    <row r="428">
      <c r="A428" s="1" t="str">
        <f>IFERROR(__xludf.DUMMYFUNCTION("""COMPUTED_VALUE"""),"HKTODL635952061")</f>
        <v>HKTODL635952061</v>
      </c>
      <c r="B428" s="1">
        <f>IFERROR(__xludf.DUMMYFUNCTION("""COMPUTED_VALUE"""),2250.0)</f>
        <v>2250</v>
      </c>
      <c r="C428" s="1">
        <f>IFERROR(__xludf.DUMMYFUNCTION("""COMPUTED_VALUE"""),2800.0)</f>
        <v>2800</v>
      </c>
      <c r="D428" s="1">
        <f>IFERROR(__xludf.DUMMYFUNCTION("""COMPUTED_VALUE"""),2800.0)</f>
        <v>2800</v>
      </c>
      <c r="E428" s="1">
        <f>IFERROR(__xludf.DUMMYFUNCTION("""COMPUTED_VALUE"""),0.0)</f>
        <v>0</v>
      </c>
    </row>
    <row r="429">
      <c r="A429" s="1" t="str">
        <f>IFERROR(__xludf.DUMMYFUNCTION("""COMPUTED_VALUE"""),"HKTODL635952071")</f>
        <v>HKTODL635952071</v>
      </c>
      <c r="B429" s="1">
        <f>IFERROR(__xludf.DUMMYFUNCTION("""COMPUTED_VALUE"""),3300.0)</f>
        <v>3300</v>
      </c>
      <c r="C429" s="1">
        <f>IFERROR(__xludf.DUMMYFUNCTION("""COMPUTED_VALUE"""),3400.0)</f>
        <v>3400</v>
      </c>
      <c r="D429" s="1">
        <f>IFERROR(__xludf.DUMMYFUNCTION("""COMPUTED_VALUE"""),3400.0)</f>
        <v>3400</v>
      </c>
      <c r="E429" s="1">
        <f>IFERROR(__xludf.DUMMYFUNCTION("""COMPUTED_VALUE"""),0.0)</f>
        <v>0</v>
      </c>
    </row>
    <row r="430">
      <c r="A430" s="1" t="str">
        <f>IFERROR(__xludf.DUMMYFUNCTION("""COMPUTED_VALUE"""),"HKTODL635952081")</f>
        <v>HKTODL635952081</v>
      </c>
      <c r="B430" s="1">
        <f>IFERROR(__xludf.DUMMYFUNCTION("""COMPUTED_VALUE"""),500.0)</f>
        <v>500</v>
      </c>
      <c r="C430" s="1">
        <f>IFERROR(__xludf.DUMMYFUNCTION("""COMPUTED_VALUE"""),500.0)</f>
        <v>500</v>
      </c>
      <c r="D430" s="1">
        <f>IFERROR(__xludf.DUMMYFUNCTION("""COMPUTED_VALUE"""),500.0)</f>
        <v>500</v>
      </c>
      <c r="E430" s="1">
        <f>IFERROR(__xludf.DUMMYFUNCTION("""COMPUTED_VALUE"""),0.0)</f>
        <v>0</v>
      </c>
    </row>
    <row r="431">
      <c r="A431" s="1" t="str">
        <f>IFERROR(__xludf.DUMMYFUNCTION("""COMPUTED_VALUE"""),"HKTOGORD12x18")</f>
        <v>HKTOGORD12x18</v>
      </c>
      <c r="B431" s="1">
        <f>IFERROR(__xludf.DUMMYFUNCTION("""COMPUTED_VALUE"""),2907.0)</f>
        <v>2907</v>
      </c>
      <c r="C431" s="1">
        <f>IFERROR(__xludf.DUMMYFUNCTION("""COMPUTED_VALUE"""),2997.0)</f>
        <v>2997</v>
      </c>
      <c r="D431" s="1">
        <f>IFERROR(__xludf.DUMMYFUNCTION("""COMPUTED_VALUE"""),2907.0)</f>
        <v>2907</v>
      </c>
      <c r="E431" s="1">
        <f>IFERROR(__xludf.DUMMYFUNCTION("""COMPUTED_VALUE"""),90.0)</f>
        <v>90</v>
      </c>
    </row>
    <row r="432">
      <c r="A432" s="1" t="str">
        <f>IFERROR(__xludf.DUMMYFUNCTION("""COMPUTED_VALUE"""),"HKTOGORD5.5x9")</f>
        <v>HKTOGORD5.5x9</v>
      </c>
      <c r="B432" s="1">
        <f>IFERROR(__xludf.DUMMYFUNCTION("""COMPUTED_VALUE"""),1580.0)</f>
        <v>1580</v>
      </c>
      <c r="C432" s="1">
        <f>IFERROR(__xludf.DUMMYFUNCTION("""COMPUTED_VALUE"""),1580.0)</f>
        <v>1580</v>
      </c>
      <c r="D432" s="1">
        <f>IFERROR(__xludf.DUMMYFUNCTION("""COMPUTED_VALUE"""),1580.0)</f>
        <v>1580</v>
      </c>
      <c r="E432" s="1">
        <f>IFERROR(__xludf.DUMMYFUNCTION("""COMPUTED_VALUE"""),0.0)</f>
        <v>0</v>
      </c>
    </row>
    <row r="433">
      <c r="A433" s="1" t="str">
        <f>IFERROR(__xludf.DUMMYFUNCTION("""COMPUTED_VALUE"""),"HKTOGTAISEI12x18")</f>
        <v>HKTOGTAISEI12x18</v>
      </c>
      <c r="B433" s="1">
        <f>IFERROR(__xludf.DUMMYFUNCTION("""COMPUTED_VALUE"""),2527.0)</f>
        <v>2527</v>
      </c>
      <c r="C433" s="1">
        <f>IFERROR(__xludf.DUMMYFUNCTION("""COMPUTED_VALUE"""),3450.0)</f>
        <v>3450</v>
      </c>
      <c r="D433" s="1">
        <f>IFERROR(__xludf.DUMMYFUNCTION("""COMPUTED_VALUE"""),3450.0)</f>
        <v>3450</v>
      </c>
      <c r="E433" s="1">
        <f>IFERROR(__xludf.DUMMYFUNCTION("""COMPUTED_VALUE"""),0.0)</f>
        <v>0</v>
      </c>
    </row>
    <row r="434">
      <c r="A434" s="1" t="str">
        <f>IFERROR(__xludf.DUMMYFUNCTION("""COMPUTED_VALUE"""),"HKTOGTAISEI5.5x9")</f>
        <v>HKTOGTAISEI5.5x9</v>
      </c>
      <c r="B434" s="1">
        <f>IFERROR(__xludf.DUMMYFUNCTION("""COMPUTED_VALUE"""),1274.0)</f>
        <v>1274</v>
      </c>
      <c r="C434" s="1">
        <f>IFERROR(__xludf.DUMMYFUNCTION("""COMPUTED_VALUE"""),1274.0)</f>
        <v>1274</v>
      </c>
      <c r="D434" s="1">
        <f>IFERROR(__xludf.DUMMYFUNCTION("""COMPUTED_VALUE"""),1274.0)</f>
        <v>1274</v>
      </c>
      <c r="E434" s="1">
        <f>IFERROR(__xludf.DUMMYFUNCTION("""COMPUTED_VALUE"""),0.0)</f>
        <v>0</v>
      </c>
    </row>
    <row r="435">
      <c r="A435" s="1" t="str">
        <f>IFERROR(__xludf.DUMMYFUNCTION("""COMPUTED_VALUE"""),"HKTTHU1210")</f>
        <v>HKTTHU1210</v>
      </c>
      <c r="B435" s="1">
        <f>IFERROR(__xludf.DUMMYFUNCTION("""COMPUTED_VALUE"""),699.0)</f>
        <v>699</v>
      </c>
      <c r="C435" s="1">
        <f>IFERROR(__xludf.DUMMYFUNCTION("""COMPUTED_VALUE"""),719.0)</f>
        <v>719</v>
      </c>
      <c r="D435" s="1">
        <f>IFERROR(__xludf.DUMMYFUNCTION("""COMPUTED_VALUE"""),699.0)</f>
        <v>699</v>
      </c>
      <c r="E435" s="1">
        <f>IFERROR(__xludf.DUMMYFUNCTION("""COMPUTED_VALUE"""),20.0)</f>
        <v>20</v>
      </c>
    </row>
    <row r="436">
      <c r="A436" s="1" t="str">
        <f>IFERROR(__xludf.DUMMYFUNCTION("""COMPUTED_VALUE"""),"HKTTHU1912")</f>
        <v>HKTTHU1912</v>
      </c>
      <c r="B436" s="1">
        <f>IFERROR(__xludf.DUMMYFUNCTION("""COMPUTED_VALUE"""),361.0)</f>
        <v>361</v>
      </c>
      <c r="C436" s="1">
        <f>IFERROR(__xludf.DUMMYFUNCTION("""COMPUTED_VALUE"""),366.0)</f>
        <v>366</v>
      </c>
      <c r="D436" s="1">
        <f>IFERROR(__xludf.DUMMYFUNCTION("""COMPUTED_VALUE"""),361.0)</f>
        <v>361</v>
      </c>
      <c r="E436" s="1">
        <f>IFERROR(__xludf.DUMMYFUNCTION("""COMPUTED_VALUE"""),5.0)</f>
        <v>5</v>
      </c>
    </row>
    <row r="437">
      <c r="A437" s="1" t="str">
        <f>IFERROR(__xludf.DUMMYFUNCTION("""COMPUTED_VALUE"""),"HKTTHU2816")</f>
        <v>HKTTHU2816</v>
      </c>
      <c r="B437" s="1">
        <f>IFERROR(__xludf.DUMMYFUNCTION("""COMPUTED_VALUE"""),386.0)</f>
        <v>386</v>
      </c>
      <c r="C437" s="1">
        <f>IFERROR(__xludf.DUMMYFUNCTION("""COMPUTED_VALUE"""),391.0)</f>
        <v>391</v>
      </c>
      <c r="D437" s="1">
        <f>IFERROR(__xludf.DUMMYFUNCTION("""COMPUTED_VALUE"""),386.0)</f>
        <v>386</v>
      </c>
      <c r="E437" s="1">
        <f>IFERROR(__xludf.DUMMYFUNCTION("""COMPUTED_VALUE"""),5.0)</f>
        <v>5</v>
      </c>
    </row>
    <row r="438">
      <c r="A438" s="1" t="str">
        <f>IFERROR(__xludf.DUMMYFUNCTION("""COMPUTED_VALUE"""),"HKTTHU3222")</f>
        <v>HKTTHU3222</v>
      </c>
      <c r="B438" s="1">
        <f>IFERROR(__xludf.DUMMYFUNCTION("""COMPUTED_VALUE"""),165.0)</f>
        <v>165</v>
      </c>
      <c r="C438" s="1">
        <f>IFERROR(__xludf.DUMMYFUNCTION("""COMPUTED_VALUE"""),170.0)</f>
        <v>170</v>
      </c>
      <c r="D438" s="1">
        <f>IFERROR(__xludf.DUMMYFUNCTION("""COMPUTED_VALUE"""),165.0)</f>
        <v>165</v>
      </c>
      <c r="E438" s="1">
        <f>IFERROR(__xludf.DUMMYFUNCTION("""COMPUTED_VALUE"""),5.0)</f>
        <v>5</v>
      </c>
    </row>
    <row r="439">
      <c r="A439" s="1" t="str">
        <f>IFERROR(__xludf.DUMMYFUNCTION("""COMPUTED_VALUE"""),"HKTTHU4228")</f>
        <v>HKTTHU4228</v>
      </c>
      <c r="B439" s="1">
        <f>IFERROR(__xludf.DUMMYFUNCTION("""COMPUTED_VALUE"""),302.0)</f>
        <v>302</v>
      </c>
      <c r="C439" s="1">
        <f>IFERROR(__xludf.DUMMYFUNCTION("""COMPUTED_VALUE"""),302.0)</f>
        <v>302</v>
      </c>
      <c r="D439" s="1">
        <f>IFERROR(__xludf.DUMMYFUNCTION("""COMPUTED_VALUE"""),302.0)</f>
        <v>302</v>
      </c>
      <c r="E439" s="1">
        <f>IFERROR(__xludf.DUMMYFUNCTION("""COMPUTED_VALUE"""),0.0)</f>
        <v>0</v>
      </c>
    </row>
    <row r="440">
      <c r="A440" s="1" t="str">
        <f>IFERROR(__xludf.DUMMYFUNCTION("""COMPUTED_VALUE"""),"HKTTHU4235")</f>
        <v>HKTTHU4235</v>
      </c>
      <c r="B440" s="1">
        <f>IFERROR(__xludf.DUMMYFUNCTION("""COMPUTED_VALUE"""),378.0)</f>
        <v>378</v>
      </c>
      <c r="C440" s="1">
        <f>IFERROR(__xludf.DUMMYFUNCTION("""COMPUTED_VALUE"""),378.0)</f>
        <v>378</v>
      </c>
      <c r="D440" s="1">
        <f>IFERROR(__xludf.DUMMYFUNCTION("""COMPUTED_VALUE"""),378.0)</f>
        <v>378</v>
      </c>
      <c r="E440" s="1">
        <f>IFERROR(__xludf.DUMMYFUNCTION("""COMPUTED_VALUE"""),0.0)</f>
        <v>0</v>
      </c>
    </row>
    <row r="441">
      <c r="A441" s="1" t="str">
        <f>IFERROR(__xludf.DUMMYFUNCTION("""COMPUTED_VALUE"""),"HKTTHU5442")</f>
        <v>HKTTHU5442</v>
      </c>
      <c r="B441" s="1">
        <f>IFERROR(__xludf.DUMMYFUNCTION("""COMPUTED_VALUE"""),163.0)</f>
        <v>163</v>
      </c>
      <c r="C441" s="1">
        <f>IFERROR(__xludf.DUMMYFUNCTION("""COMPUTED_VALUE"""),166.0)</f>
        <v>166</v>
      </c>
      <c r="D441" s="1">
        <f>IFERROR(__xludf.DUMMYFUNCTION("""COMPUTED_VALUE"""),163.0)</f>
        <v>163</v>
      </c>
      <c r="E441" s="1">
        <f>IFERROR(__xludf.DUMMYFUNCTION("""COMPUTED_VALUE"""),3.0)</f>
        <v>3</v>
      </c>
    </row>
    <row r="442">
      <c r="A442" s="1" t="str">
        <f>IFERROR(__xludf.DUMMYFUNCTION("""COMPUTED_VALUE"""),"HKTTHU6754")</f>
        <v>HKTTHU6754</v>
      </c>
      <c r="B442" s="1">
        <f>IFERROR(__xludf.DUMMYFUNCTION("""COMPUTED_VALUE"""),98.0)</f>
        <v>98</v>
      </c>
      <c r="C442" s="1">
        <f>IFERROR(__xludf.DUMMYFUNCTION("""COMPUTED_VALUE"""),98.0)</f>
        <v>98</v>
      </c>
      <c r="D442" s="1">
        <f>IFERROR(__xludf.DUMMYFUNCTION("""COMPUTED_VALUE"""),98.0)</f>
        <v>98</v>
      </c>
      <c r="E442" s="1">
        <f>IFERROR(__xludf.DUMMYFUNCTION("""COMPUTED_VALUE"""),0.0)</f>
        <v>0</v>
      </c>
    </row>
    <row r="443">
      <c r="A443" s="1" t="str">
        <f>IFERROR(__xludf.DUMMYFUNCTION("""COMPUTED_VALUE"""),"HKTTHU7642")</f>
        <v>HKTTHU7642</v>
      </c>
      <c r="B443" s="1">
        <f>IFERROR(__xludf.DUMMYFUNCTION("""COMPUTED_VALUE"""),99.0)</f>
        <v>99</v>
      </c>
      <c r="C443" s="1">
        <f>IFERROR(__xludf.DUMMYFUNCTION("""COMPUTED_VALUE"""),99.0)</f>
        <v>99</v>
      </c>
      <c r="D443" s="1">
        <f>IFERROR(__xludf.DUMMYFUNCTION("""COMPUTED_VALUE"""),99.0)</f>
        <v>99</v>
      </c>
      <c r="E443" s="1">
        <f>IFERROR(__xludf.DUMMYFUNCTION("""COMPUTED_VALUE"""),0.0)</f>
        <v>0</v>
      </c>
    </row>
    <row r="444">
      <c r="A444" s="1" t="str">
        <f>IFERROR(__xludf.DUMMYFUNCTION("""COMPUTED_VALUE"""),"HKTTHU7667")</f>
        <v>HKTTHU7667</v>
      </c>
      <c r="B444" s="1">
        <f>IFERROR(__xludf.DUMMYFUNCTION("""COMPUTED_VALUE"""),215.0)</f>
        <v>215</v>
      </c>
      <c r="C444" s="1">
        <f>IFERROR(__xludf.DUMMYFUNCTION("""COMPUTED_VALUE"""),215.0)</f>
        <v>215</v>
      </c>
      <c r="D444" s="1">
        <f>IFERROR(__xludf.DUMMYFUNCTION("""COMPUTED_VALUE"""),215.0)</f>
        <v>215</v>
      </c>
      <c r="E444" s="1">
        <f>IFERROR(__xludf.DUMMYFUNCTION("""COMPUTED_VALUE"""),0.0)</f>
        <v>0</v>
      </c>
    </row>
    <row r="445">
      <c r="A445" s="1" t="str">
        <f>IFERROR(__xludf.DUMMYFUNCTION("""COMPUTED_VALUE"""),"HKTTPL")</f>
        <v>HKTTPL</v>
      </c>
      <c r="B445" s="1">
        <f>IFERROR(__xludf.DUMMYFUNCTION("""COMPUTED_VALUE"""),1.0)</f>
        <v>1</v>
      </c>
      <c r="C445" s="1">
        <f>IFERROR(__xludf.DUMMYFUNCTION("""COMPUTED_VALUE"""),5.0)</f>
        <v>5</v>
      </c>
      <c r="D445" s="1">
        <f>IFERROR(__xludf.DUMMYFUNCTION("""COMPUTED_VALUE"""),5.0)</f>
        <v>5</v>
      </c>
      <c r="E445" s="1">
        <f>IFERROR(__xludf.DUMMYFUNCTION("""COMPUTED_VALUE"""),0.0)</f>
        <v>0</v>
      </c>
    </row>
    <row r="446">
      <c r="A446" s="1" t="str">
        <f>IFERROR(__xludf.DUMMYFUNCTION("""COMPUTED_VALUE"""),"HKTTPP")</f>
        <v>HKTTPP</v>
      </c>
      <c r="B446" s="1">
        <f>IFERROR(__xludf.DUMMYFUNCTION("""COMPUTED_VALUE"""),2.0)</f>
        <v>2</v>
      </c>
      <c r="C446" s="1">
        <f>IFERROR(__xludf.DUMMYFUNCTION("""COMPUTED_VALUE"""),2.0)</f>
        <v>2</v>
      </c>
      <c r="D446" s="1">
        <f>IFERROR(__xludf.DUMMYFUNCTION("""COMPUTED_VALUE"""),2.0)</f>
        <v>2</v>
      </c>
      <c r="E446" s="1">
        <f>IFERROR(__xludf.DUMMYFUNCTION("""COMPUTED_VALUE"""),0.0)</f>
        <v>0</v>
      </c>
    </row>
    <row r="447">
      <c r="A447" s="1" t="str">
        <f>IFERROR(__xludf.DUMMYFUNCTION("""COMPUTED_VALUE"""),"HKTTPT")</f>
        <v>HKTTPT</v>
      </c>
      <c r="B447" s="1">
        <f>IFERROR(__xludf.DUMMYFUNCTION("""COMPUTED_VALUE"""),2.0)</f>
        <v>2</v>
      </c>
      <c r="C447" s="1">
        <f>IFERROR(__xludf.DUMMYFUNCTION("""COMPUTED_VALUE"""),2.0)</f>
        <v>2</v>
      </c>
      <c r="D447" s="1">
        <f>IFERROR(__xludf.DUMMYFUNCTION("""COMPUTED_VALUE"""),2.0)</f>
        <v>2</v>
      </c>
      <c r="E447" s="1">
        <f>IFERROR(__xludf.DUMMYFUNCTION("""COMPUTED_VALUE"""),0.0)</f>
        <v>0</v>
      </c>
    </row>
    <row r="448">
      <c r="A448" s="1" t="str">
        <f>IFERROR(__xludf.DUMMYFUNCTION("""COMPUTED_VALUE"""),"HKTU35")</f>
        <v>HKTU35</v>
      </c>
      <c r="B448" s="1">
        <f>IFERROR(__xludf.DUMMYFUNCTION("""COMPUTED_VALUE"""),1.0)</f>
        <v>1</v>
      </c>
      <c r="C448" s="1">
        <f>IFERROR(__xludf.DUMMYFUNCTION("""COMPUTED_VALUE"""),1.0)</f>
        <v>1</v>
      </c>
      <c r="D448" s="1">
        <f>IFERROR(__xludf.DUMMYFUNCTION("""COMPUTED_VALUE"""),1.0)</f>
        <v>1</v>
      </c>
      <c r="E448" s="1">
        <f>IFERROR(__xludf.DUMMYFUNCTION("""COMPUTED_VALUE"""),0.0)</f>
        <v>0</v>
      </c>
    </row>
    <row r="449">
      <c r="A449" s="1" t="str">
        <f>IFERROR(__xludf.DUMMYFUNCTION("""COMPUTED_VALUE"""),"HKTU45")</f>
        <v>HKTU45</v>
      </c>
      <c r="B449" s="1">
        <f>IFERROR(__xludf.DUMMYFUNCTION("""COMPUTED_VALUE"""),8.0)</f>
        <v>8</v>
      </c>
      <c r="C449" s="1">
        <f>IFERROR(__xludf.DUMMYFUNCTION("""COMPUTED_VALUE"""),8.0)</f>
        <v>8</v>
      </c>
      <c r="D449" s="1">
        <f>IFERROR(__xludf.DUMMYFUNCTION("""COMPUTED_VALUE"""),8.0)</f>
        <v>8</v>
      </c>
      <c r="E449" s="1">
        <f>IFERROR(__xludf.DUMMYFUNCTION("""COMPUTED_VALUE"""),0.0)</f>
        <v>0</v>
      </c>
    </row>
    <row r="450">
      <c r="A450" s="1" t="str">
        <f>IFERROR(__xludf.DUMMYFUNCTION("""COMPUTED_VALUE"""),"HKTYGAS")</f>
        <v>HKTYGAS</v>
      </c>
      <c r="B450" s="1">
        <f>IFERROR(__xludf.DUMMYFUNCTION("""COMPUTED_VALUE"""),10123.0)</f>
        <v>10123</v>
      </c>
      <c r="C450" s="1">
        <f>IFERROR(__xludf.DUMMYFUNCTION("""COMPUTED_VALUE"""),10193.0)</f>
        <v>10193</v>
      </c>
      <c r="D450" s="1">
        <f>IFERROR(__xludf.DUMMYFUNCTION("""COMPUTED_VALUE"""),10123.0)</f>
        <v>10123</v>
      </c>
      <c r="E450" s="1">
        <f>IFERROR(__xludf.DUMMYFUNCTION("""COMPUTED_VALUE"""),70.0)</f>
        <v>70</v>
      </c>
    </row>
    <row r="451">
      <c r="A451" s="1" t="str">
        <f>IFERROR(__xludf.DUMMYFUNCTION("""COMPUTED_VALUE"""),"HKVBCG")</f>
        <v>HKVBCG</v>
      </c>
      <c r="B451" s="1">
        <f>IFERROR(__xludf.DUMMYFUNCTION("""COMPUTED_VALUE"""),200.0)</f>
        <v>200</v>
      </c>
      <c r="C451" s="1">
        <f>IFERROR(__xludf.DUMMYFUNCTION("""COMPUTED_VALUE"""),200.0)</f>
        <v>200</v>
      </c>
      <c r="D451" s="1">
        <f>IFERROR(__xludf.DUMMYFUNCTION("""COMPUTED_VALUE"""),200.0)</f>
        <v>200</v>
      </c>
      <c r="E451" s="1">
        <f>IFERROR(__xludf.DUMMYFUNCTION("""COMPUTED_VALUE"""),0.0)</f>
        <v>0</v>
      </c>
    </row>
    <row r="452">
      <c r="A452" s="1" t="str">
        <f>IFERROR(__xludf.DUMMYFUNCTION("""COMPUTED_VALUE"""),"HKVBCG22T")</f>
        <v>HKVBCG22T</v>
      </c>
      <c r="B452" s="1">
        <f>IFERROR(__xludf.DUMMYFUNCTION("""COMPUTED_VALUE"""),108.0)</f>
        <v>108</v>
      </c>
      <c r="C452" s="1">
        <f>IFERROR(__xludf.DUMMYFUNCTION("""COMPUTED_VALUE"""),112.0)</f>
        <v>112</v>
      </c>
      <c r="D452" s="1">
        <f>IFERROR(__xludf.DUMMYFUNCTION("""COMPUTED_VALUE"""),108.0)</f>
        <v>108</v>
      </c>
      <c r="E452" s="1">
        <f>IFERROR(__xludf.DUMMYFUNCTION("""COMPUTED_VALUE"""),4.0)</f>
        <v>4</v>
      </c>
    </row>
    <row r="453">
      <c r="A453" s="1" t="str">
        <f>IFERROR(__xludf.DUMMYFUNCTION("""COMPUTED_VALUE"""),"HKVBCG73T")</f>
        <v>HKVBCG73T</v>
      </c>
      <c r="B453" s="1">
        <f>IFERROR(__xludf.DUMMYFUNCTION("""COMPUTED_VALUE"""),162.0)</f>
        <v>162</v>
      </c>
      <c r="C453" s="1">
        <f>IFERROR(__xludf.DUMMYFUNCTION("""COMPUTED_VALUE"""),182.0)</f>
        <v>182</v>
      </c>
      <c r="D453" s="1">
        <f>IFERROR(__xludf.DUMMYFUNCTION("""COMPUTED_VALUE"""),162.0)</f>
        <v>162</v>
      </c>
      <c r="E453" s="1">
        <f>IFERROR(__xludf.DUMMYFUNCTION("""COMPUTED_VALUE"""),20.0)</f>
        <v>20</v>
      </c>
    </row>
    <row r="454">
      <c r="A454" s="1" t="str">
        <f>IFERROR(__xludf.DUMMYFUNCTION("""COMPUTED_VALUE"""),"HKVPBAM")</f>
        <v>HKVPBAM</v>
      </c>
      <c r="B454" s="1">
        <f>IFERROR(__xludf.DUMMYFUNCTION("""COMPUTED_VALUE"""),15.0)</f>
        <v>15</v>
      </c>
      <c r="C454" s="1">
        <f>IFERROR(__xludf.DUMMYFUNCTION("""COMPUTED_VALUE"""),15.0)</f>
        <v>15</v>
      </c>
      <c r="D454" s="1">
        <f>IFERROR(__xludf.DUMMYFUNCTION("""COMPUTED_VALUE"""),15.0)</f>
        <v>15</v>
      </c>
      <c r="E454" s="1">
        <f>IFERROR(__xludf.DUMMYFUNCTION("""COMPUTED_VALUE"""),0.0)</f>
        <v>0</v>
      </c>
    </row>
    <row r="455">
      <c r="A455" s="1" t="str">
        <f>IFERROR(__xludf.DUMMYFUNCTION("""COMPUTED_VALUE"""),"HKVTLT02INOX")</f>
        <v>HKVTLT02INOX</v>
      </c>
      <c r="B455" s="1">
        <f>IFERROR(__xludf.DUMMYFUNCTION("""COMPUTED_VALUE"""),1.0)</f>
        <v>1</v>
      </c>
      <c r="C455" s="1">
        <f>IFERROR(__xludf.DUMMYFUNCTION("""COMPUTED_VALUE"""),1.0)</f>
        <v>1</v>
      </c>
      <c r="D455" s="1">
        <f>IFERROR(__xludf.DUMMYFUNCTION("""COMPUTED_VALUE"""),1.0)</f>
        <v>1</v>
      </c>
      <c r="E455" s="1">
        <f>IFERROR(__xludf.DUMMYFUNCTION("""COMPUTED_VALUE"""),0.0)</f>
        <v>0</v>
      </c>
    </row>
    <row r="456">
      <c r="A456" s="1" t="str">
        <f>IFERROR(__xludf.DUMMYFUNCTION("""COMPUTED_VALUE"""),"HKXB10")</f>
        <v>HKXB10</v>
      </c>
      <c r="B456" s="1">
        <f>IFERROR(__xludf.DUMMYFUNCTION("""COMPUTED_VALUE"""),100.0)</f>
        <v>100</v>
      </c>
      <c r="C456" s="1">
        <f>IFERROR(__xludf.DUMMYFUNCTION("""COMPUTED_VALUE"""),100.0)</f>
        <v>100</v>
      </c>
      <c r="D456" s="1">
        <f>IFERROR(__xludf.DUMMYFUNCTION("""COMPUTED_VALUE"""),100.0)</f>
        <v>100</v>
      </c>
      <c r="E456" s="1">
        <f>IFERROR(__xludf.DUMMYFUNCTION("""COMPUTED_VALUE"""),0.0)</f>
        <v>0</v>
      </c>
    </row>
    <row r="457">
      <c r="A457" s="1" t="str">
        <f>IFERROR(__xludf.DUMMYFUNCTION("""COMPUTED_VALUE"""),"HKXB15")</f>
        <v>HKXB15</v>
      </c>
      <c r="B457" s="1">
        <f>IFERROR(__xludf.DUMMYFUNCTION("""COMPUTED_VALUE"""),300.0)</f>
        <v>300</v>
      </c>
      <c r="C457" s="1">
        <f>IFERROR(__xludf.DUMMYFUNCTION("""COMPUTED_VALUE"""),400.0)</f>
        <v>400</v>
      </c>
      <c r="D457" s="1">
        <f>IFERROR(__xludf.DUMMYFUNCTION("""COMPUTED_VALUE"""),300.0)</f>
        <v>300</v>
      </c>
      <c r="E457" s="1">
        <f>IFERROR(__xludf.DUMMYFUNCTION("""COMPUTED_VALUE"""),100.0)</f>
        <v>100</v>
      </c>
    </row>
    <row r="458">
      <c r="A458" s="1" t="str">
        <f>IFERROR(__xludf.DUMMYFUNCTION("""COMPUTED_VALUE"""),"HKXB20")</f>
        <v>HKXB20</v>
      </c>
      <c r="B458" s="1">
        <f>IFERROR(__xludf.DUMMYFUNCTION("""COMPUTED_VALUE"""),200.0)</f>
        <v>200</v>
      </c>
      <c r="C458" s="1">
        <f>IFERROR(__xludf.DUMMYFUNCTION("""COMPUTED_VALUE"""),200.0)</f>
        <v>200</v>
      </c>
      <c r="D458" s="1">
        <f>IFERROR(__xludf.DUMMYFUNCTION("""COMPUTED_VALUE"""),200.0)</f>
        <v>200</v>
      </c>
      <c r="E458" s="1">
        <f>IFERROR(__xludf.DUMMYFUNCTION("""COMPUTED_VALUE"""),0.0)</f>
        <v>0</v>
      </c>
    </row>
    <row r="459">
      <c r="A459" s="1" t="str">
        <f>IFERROR(__xludf.DUMMYFUNCTION("""COMPUTED_VALUE"""),"HKXB25")</f>
        <v>HKXB25</v>
      </c>
      <c r="B459" s="1">
        <f>IFERROR(__xludf.DUMMYFUNCTION("""COMPUTED_VALUE"""),150.0)</f>
        <v>150</v>
      </c>
      <c r="C459" s="1">
        <f>IFERROR(__xludf.DUMMYFUNCTION("""COMPUTED_VALUE"""),150.0)</f>
        <v>150</v>
      </c>
      <c r="D459" s="1">
        <f>IFERROR(__xludf.DUMMYFUNCTION("""COMPUTED_VALUE"""),150.0)</f>
        <v>150</v>
      </c>
      <c r="E459" s="1">
        <f>IFERROR(__xludf.DUMMYFUNCTION("""COMPUTED_VALUE"""),0.0)</f>
        <v>0</v>
      </c>
    </row>
    <row r="460">
      <c r="A460" s="1" t="str">
        <f>IFERROR(__xludf.DUMMYFUNCTION("""COMPUTED_VALUE"""),"HKXBD15")</f>
        <v>HKXBD15</v>
      </c>
      <c r="B460" s="1">
        <f>IFERROR(__xludf.DUMMYFUNCTION("""COMPUTED_VALUE"""),450.0)</f>
        <v>450</v>
      </c>
      <c r="C460" s="1">
        <f>IFERROR(__xludf.DUMMYFUNCTION("""COMPUTED_VALUE"""),450.0)</f>
        <v>450</v>
      </c>
      <c r="D460" s="1">
        <f>IFERROR(__xludf.DUMMYFUNCTION("""COMPUTED_VALUE"""),450.0)</f>
        <v>450</v>
      </c>
      <c r="E460" s="1">
        <f>IFERROR(__xludf.DUMMYFUNCTION("""COMPUTED_VALUE"""),0.0)</f>
        <v>0</v>
      </c>
    </row>
    <row r="461">
      <c r="A461" s="1" t="str">
        <f>IFERROR(__xludf.DUMMYFUNCTION("""COMPUTED_VALUE"""),"HKXFBaDD MDI")</f>
        <v>HKXFBaDD MDI</v>
      </c>
      <c r="B461" s="1">
        <f>IFERROR(__xludf.DUMMYFUNCTION("""COMPUTED_VALUE"""),500.0)</f>
        <v>500</v>
      </c>
      <c r="C461" s="1">
        <f>IFERROR(__xludf.DUMMYFUNCTION("""COMPUTED_VALUE"""),500.0)</f>
        <v>500</v>
      </c>
      <c r="D461" s="1">
        <f>IFERROR(__xludf.DUMMYFUNCTION("""COMPUTED_VALUE"""),500.0)</f>
        <v>500</v>
      </c>
      <c r="E461" s="1">
        <f>IFERROR(__xludf.DUMMYFUNCTION("""COMPUTED_VALUE"""),0.0)</f>
        <v>0</v>
      </c>
    </row>
    <row r="462">
      <c r="A462" s="1" t="str">
        <f>IFERROR(__xludf.DUMMYFUNCTION("""COMPUTED_VALUE"""),"HKXFBaDDMR200")</f>
        <v>HKXFBaDDMR200</v>
      </c>
      <c r="B462" s="1">
        <f>IFERROR(__xludf.DUMMYFUNCTION("""COMPUTED_VALUE"""),143.0)</f>
        <v>143</v>
      </c>
      <c r="C462" s="1">
        <f>IFERROR(__xludf.DUMMYFUNCTION("""COMPUTED_VALUE"""),143.0)</f>
        <v>143</v>
      </c>
      <c r="D462" s="1">
        <f>IFERROR(__xludf.DUMMYFUNCTION("""COMPUTED_VALUE"""),143.0)</f>
        <v>143</v>
      </c>
      <c r="E462" s="1">
        <f>IFERROR(__xludf.DUMMYFUNCTION("""COMPUTED_VALUE"""),0.0)</f>
        <v>0</v>
      </c>
    </row>
    <row r="463">
      <c r="A463" s="1" t="str">
        <f>IFERROR(__xludf.DUMMYFUNCTION("""COMPUTED_VALUE"""),"HKXFOriDX (NM)")</f>
        <v>HKXFOriDX (NM)</v>
      </c>
      <c r="B463" s="1">
        <f>IFERROR(__xludf.DUMMYFUNCTION("""COMPUTED_VALUE"""),688.0)</f>
        <v>688</v>
      </c>
      <c r="C463" s="1">
        <f>IFERROR(__xludf.DUMMYFUNCTION("""COMPUTED_VALUE"""),688.0)</f>
        <v>688</v>
      </c>
      <c r="D463" s="1">
        <f>IFERROR(__xludf.DUMMYFUNCTION("""COMPUTED_VALUE"""),688.0)</f>
        <v>688</v>
      </c>
      <c r="E463" s="1">
        <f>IFERROR(__xludf.DUMMYFUNCTION("""COMPUTED_VALUE"""),0.0)</f>
        <v>0</v>
      </c>
    </row>
    <row r="464">
      <c r="A464" s="1" t="str">
        <f>IFERROR(__xludf.DUMMYFUNCTION("""COMPUTED_VALUE"""),"HKZC122D")</f>
        <v>HKZC122D</v>
      </c>
      <c r="B464" s="1">
        <f>IFERROR(__xludf.DUMMYFUNCTION("""COMPUTED_VALUE"""),181.0)</f>
        <v>181</v>
      </c>
      <c r="C464" s="1">
        <f>IFERROR(__xludf.DUMMYFUNCTION("""COMPUTED_VALUE"""),181.0)</f>
        <v>181</v>
      </c>
      <c r="D464" s="1">
        <f>IFERROR(__xludf.DUMMYFUNCTION("""COMPUTED_VALUE"""),181.0)</f>
        <v>181</v>
      </c>
      <c r="E464" s="1">
        <f>IFERROR(__xludf.DUMMYFUNCTION("""COMPUTED_VALUE"""),0.0)</f>
        <v>0</v>
      </c>
    </row>
    <row r="465">
      <c r="A465" s="1" t="str">
        <f>IFERROR(__xludf.DUMMYFUNCTION("""COMPUTED_VALUE"""),"HKZC162D")</f>
        <v>HKZC162D</v>
      </c>
      <c r="B465" s="1">
        <f>IFERROR(__xludf.DUMMYFUNCTION("""COMPUTED_VALUE"""),13.0)</f>
        <v>13</v>
      </c>
      <c r="C465" s="1">
        <f>IFERROR(__xludf.DUMMYFUNCTION("""COMPUTED_VALUE"""),13.0)</f>
        <v>13</v>
      </c>
      <c r="D465" s="1">
        <f>IFERROR(__xludf.DUMMYFUNCTION("""COMPUTED_VALUE"""),13.0)</f>
        <v>13</v>
      </c>
      <c r="E465" s="1">
        <f>IFERROR(__xludf.DUMMYFUNCTION("""COMPUTED_VALUE"""),0.0)</f>
        <v>0</v>
      </c>
    </row>
    <row r="466">
      <c r="A466" s="1" t="str">
        <f>IFERROR(__xludf.DUMMYFUNCTION("""COMPUTED_VALUE"""),"HKZC192D")</f>
        <v>HKZC192D</v>
      </c>
      <c r="B466" s="1">
        <f>IFERROR(__xludf.DUMMYFUNCTION("""COMPUTED_VALUE"""),89.0)</f>
        <v>89</v>
      </c>
      <c r="C466" s="1">
        <f>IFERROR(__xludf.DUMMYFUNCTION("""COMPUTED_VALUE"""),89.0)</f>
        <v>89</v>
      </c>
      <c r="D466" s="1">
        <f>IFERROR(__xludf.DUMMYFUNCTION("""COMPUTED_VALUE"""),89.0)</f>
        <v>89</v>
      </c>
      <c r="E466" s="1">
        <f>IFERROR(__xludf.DUMMYFUNCTION("""COMPUTED_VALUE"""),0.0)</f>
        <v>0</v>
      </c>
    </row>
    <row r="467">
      <c r="A467" s="1" t="str">
        <f>IFERROR(__xludf.DUMMYFUNCTION("""COMPUTED_VALUE"""),"HKZCN121D")</f>
        <v>HKZCN121D</v>
      </c>
      <c r="B467" s="1">
        <f>IFERROR(__xludf.DUMMYFUNCTION("""COMPUTED_VALUE"""),5.0)</f>
        <v>5</v>
      </c>
      <c r="C467" s="1">
        <f>IFERROR(__xludf.DUMMYFUNCTION("""COMPUTED_VALUE"""),5.0)</f>
        <v>5</v>
      </c>
      <c r="D467" s="1">
        <f>IFERROR(__xludf.DUMMYFUNCTION("""COMPUTED_VALUE"""),5.0)</f>
        <v>5</v>
      </c>
      <c r="E467" s="1">
        <f>IFERROR(__xludf.DUMMYFUNCTION("""COMPUTED_VALUE"""),0.0)</f>
        <v>0</v>
      </c>
    </row>
    <row r="468">
      <c r="A468" s="1" t="str">
        <f>IFERROR(__xludf.DUMMYFUNCTION("""COMPUTED_VALUE"""),"HKZCN161D")</f>
        <v>HKZCN161D</v>
      </c>
      <c r="B468" s="1">
        <f>IFERROR(__xludf.DUMMYFUNCTION("""COMPUTED_VALUE"""),44.0)</f>
        <v>44</v>
      </c>
      <c r="C468" s="1">
        <f>IFERROR(__xludf.DUMMYFUNCTION("""COMPUTED_VALUE"""),44.0)</f>
        <v>44</v>
      </c>
      <c r="D468" s="1">
        <f>IFERROR(__xludf.DUMMYFUNCTION("""COMPUTED_VALUE"""),44.0)</f>
        <v>44</v>
      </c>
      <c r="E468" s="1">
        <f>IFERROR(__xludf.DUMMYFUNCTION("""COMPUTED_VALUE"""),0.0)</f>
        <v>0</v>
      </c>
    </row>
    <row r="469">
      <c r="A469" s="1" t="str">
        <f>IFERROR(__xludf.DUMMYFUNCTION("""COMPUTED_VALUE"""),"HKZCN19")</f>
        <v>HKZCN19</v>
      </c>
      <c r="B469" s="1">
        <f>IFERROR(__xludf.DUMMYFUNCTION("""COMPUTED_VALUE"""),4.0)</f>
        <v>4</v>
      </c>
      <c r="C469" s="1">
        <f>IFERROR(__xludf.DUMMYFUNCTION("""COMPUTED_VALUE"""),4.0)</f>
        <v>4</v>
      </c>
      <c r="D469" s="1">
        <f>IFERROR(__xludf.DUMMYFUNCTION("""COMPUTED_VALUE"""),4.0)</f>
        <v>4</v>
      </c>
      <c r="E469" s="1">
        <f>IFERROR(__xludf.DUMMYFUNCTION("""COMPUTED_VALUE"""),0.0)</f>
        <v>0</v>
      </c>
    </row>
    <row r="470">
      <c r="A470" s="1" t="str">
        <f>IFERROR(__xludf.DUMMYFUNCTION("""COMPUTED_VALUE"""),"HKZCT10")</f>
        <v>HKZCT10</v>
      </c>
      <c r="B470" s="1">
        <f>IFERROR(__xludf.DUMMYFUNCTION("""COMPUTED_VALUE"""),101.0)</f>
        <v>101</v>
      </c>
      <c r="C470" s="1">
        <f>IFERROR(__xludf.DUMMYFUNCTION("""COMPUTED_VALUE"""),101.0)</f>
        <v>101</v>
      </c>
      <c r="D470" s="1">
        <f>IFERROR(__xludf.DUMMYFUNCTION("""COMPUTED_VALUE"""),101.0)</f>
        <v>101</v>
      </c>
      <c r="E470" s="1">
        <f>IFERROR(__xludf.DUMMYFUNCTION("""COMPUTED_VALUE"""),0.0)</f>
        <v>0</v>
      </c>
    </row>
    <row r="471">
      <c r="A471" s="1" t="str">
        <f>IFERROR(__xludf.DUMMYFUNCTION("""COMPUTED_VALUE"""),"HKZCT12")</f>
        <v>HKZCT12</v>
      </c>
      <c r="B471" s="1">
        <f>IFERROR(__xludf.DUMMYFUNCTION("""COMPUTED_VALUE"""),526.0)</f>
        <v>526</v>
      </c>
      <c r="C471" s="1">
        <f>IFERROR(__xludf.DUMMYFUNCTION("""COMPUTED_VALUE"""),526.0)</f>
        <v>526</v>
      </c>
      <c r="D471" s="1">
        <f>IFERROR(__xludf.DUMMYFUNCTION("""COMPUTED_VALUE"""),526.0)</f>
        <v>526</v>
      </c>
      <c r="E471" s="1">
        <f>IFERROR(__xludf.DUMMYFUNCTION("""COMPUTED_VALUE"""),0.0)</f>
        <v>0</v>
      </c>
    </row>
    <row r="472">
      <c r="A472" s="1" t="str">
        <f>IFERROR(__xludf.DUMMYFUNCTION("""COMPUTED_VALUE"""),"HKZCT16")</f>
        <v>HKZCT16</v>
      </c>
      <c r="B472" s="1">
        <f>IFERROR(__xludf.DUMMYFUNCTION("""COMPUTED_VALUE"""),124.0)</f>
        <v>124</v>
      </c>
      <c r="C472" s="1">
        <f>IFERROR(__xludf.DUMMYFUNCTION("""COMPUTED_VALUE"""),124.0)</f>
        <v>124</v>
      </c>
      <c r="D472" s="1">
        <f>IFERROR(__xludf.DUMMYFUNCTION("""COMPUTED_VALUE"""),124.0)</f>
        <v>124</v>
      </c>
      <c r="E472" s="1">
        <f>IFERROR(__xludf.DUMMYFUNCTION("""COMPUTED_VALUE"""),0.0)</f>
        <v>0</v>
      </c>
    </row>
    <row r="473">
      <c r="A473" s="1" t="str">
        <f>IFERROR(__xludf.DUMMYFUNCTION("""COMPUTED_VALUE"""),"HKZCT19")</f>
        <v>HKZCT19</v>
      </c>
      <c r="B473" s="1">
        <f>IFERROR(__xludf.DUMMYFUNCTION("""COMPUTED_VALUE"""),488.0)</f>
        <v>488</v>
      </c>
      <c r="C473" s="1">
        <f>IFERROR(__xludf.DUMMYFUNCTION("""COMPUTED_VALUE"""),488.0)</f>
        <v>488</v>
      </c>
      <c r="D473" s="1">
        <f>IFERROR(__xludf.DUMMYFUNCTION("""COMPUTED_VALUE"""),488.0)</f>
        <v>488</v>
      </c>
      <c r="E473" s="1">
        <f>IFERROR(__xludf.DUMMYFUNCTION("""COMPUTED_VALUE"""),0.0)</f>
        <v>0</v>
      </c>
    </row>
    <row r="474">
      <c r="A474" s="1" t="str">
        <f>IFERROR(__xludf.DUMMYFUNCTION("""COMPUTED_VALUE"""),"HKZCTO6")</f>
        <v>HKZCTO6</v>
      </c>
      <c r="B474" s="1">
        <f>IFERROR(__xludf.DUMMYFUNCTION("""COMPUTED_VALUE"""),250.0)</f>
        <v>250</v>
      </c>
      <c r="C474" s="1">
        <f>IFERROR(__xludf.DUMMYFUNCTION("""COMPUTED_VALUE"""),280.0)</f>
        <v>280</v>
      </c>
      <c r="D474" s="1">
        <f>IFERROR(__xludf.DUMMYFUNCTION("""COMPUTED_VALUE"""),250.0)</f>
        <v>250</v>
      </c>
      <c r="E474" s="1">
        <f>IFERROR(__xludf.DUMMYFUNCTION("""COMPUTED_VALUE"""),30.0)</f>
        <v>30</v>
      </c>
    </row>
    <row r="475">
      <c r="A475" s="1" t="str">
        <f>IFERROR(__xludf.DUMMYFUNCTION("""COMPUTED_VALUE"""),"HKZTNC")</f>
        <v>HKZTNC</v>
      </c>
      <c r="B475" s="1">
        <f>IFERROR(__xludf.DUMMYFUNCTION("""COMPUTED_VALUE"""),360.0)</f>
        <v>360</v>
      </c>
      <c r="C475" s="1">
        <f>IFERROR(__xludf.DUMMYFUNCTION("""COMPUTED_VALUE"""),360.0)</f>
        <v>360</v>
      </c>
      <c r="D475" s="1">
        <f>IFERROR(__xludf.DUMMYFUNCTION("""COMPUTED_VALUE"""),360.0)</f>
        <v>360</v>
      </c>
      <c r="E475" s="1">
        <f>IFERROR(__xludf.DUMMYFUNCTION("""COMPUTED_VALUE"""),0.0)</f>
        <v>0</v>
      </c>
    </row>
    <row r="476">
      <c r="A476" s="1" t="str">
        <f>IFERROR(__xludf.DUMMYFUNCTION("""COMPUTED_VALUE"""),"JC06350IA15M")</f>
        <v>JC06350IA15M</v>
      </c>
      <c r="B476" s="1">
        <f>IFERROR(__xludf.DUMMYFUNCTION("""COMPUTED_VALUE"""),304.0)</f>
        <v>304</v>
      </c>
      <c r="C476" s="1">
        <f>IFERROR(__xludf.DUMMYFUNCTION("""COMPUTED_VALUE"""),621.0)</f>
        <v>621</v>
      </c>
      <c r="D476" s="1">
        <f>IFERROR(__xludf.DUMMYFUNCTION("""COMPUTED_VALUE"""),304.0)</f>
        <v>304</v>
      </c>
      <c r="E476" s="1">
        <f>IFERROR(__xludf.DUMMYFUNCTION("""COMPUTED_VALUE"""),317.0)</f>
        <v>317</v>
      </c>
    </row>
    <row r="477">
      <c r="A477" s="1" t="str">
        <f>IFERROR(__xludf.DUMMYFUNCTION("""COMPUTED_VALUE"""),"JC15880HA15M")</f>
        <v>JC15880HA15M</v>
      </c>
      <c r="B477" s="1">
        <f>IFERROR(__xludf.DUMMYFUNCTION("""COMPUTED_VALUE"""),53.0)</f>
        <v>53</v>
      </c>
      <c r="C477" s="1">
        <f>IFERROR(__xludf.DUMMYFUNCTION("""COMPUTED_VALUE"""),53.0)</f>
        <v>53</v>
      </c>
      <c r="D477" s="1">
        <f>IFERROR(__xludf.DUMMYFUNCTION("""COMPUTED_VALUE"""),53.0)</f>
        <v>53</v>
      </c>
      <c r="E477" s="1">
        <f>IFERROR(__xludf.DUMMYFUNCTION("""COMPUTED_VALUE"""),0.0)</f>
        <v>0</v>
      </c>
    </row>
    <row r="478">
      <c r="A478" s="1" t="str">
        <f>IFERROR(__xludf.DUMMYFUNCTION("""COMPUTED_VALUE"""),"JC19050HA15M")</f>
        <v>JC19050HA15M</v>
      </c>
      <c r="B478" s="1">
        <f>IFERROR(__xludf.DUMMYFUNCTION("""COMPUTED_VALUE"""),182.0)</f>
        <v>182</v>
      </c>
      <c r="C478" s="1">
        <f>IFERROR(__xludf.DUMMYFUNCTION("""COMPUTED_VALUE"""),182.0)</f>
        <v>182</v>
      </c>
      <c r="D478" s="1">
        <f>IFERROR(__xludf.DUMMYFUNCTION("""COMPUTED_VALUE"""),182.0)</f>
        <v>182</v>
      </c>
      <c r="E478" s="1">
        <f>IFERROR(__xludf.DUMMYFUNCTION("""COMPUTED_VALUE"""),0.0)</f>
        <v>0</v>
      </c>
    </row>
    <row r="479">
      <c r="A479" s="1" t="str">
        <f>IFERROR(__xludf.DUMMYFUNCTION("""COMPUTED_VALUE"""),"KD3T2")</f>
        <v>KD3T2</v>
      </c>
      <c r="B479" s="1">
        <f>IFERROR(__xludf.DUMMYFUNCTION("""COMPUTED_VALUE"""),2.0)</f>
        <v>2</v>
      </c>
      <c r="C479" s="1">
        <f>IFERROR(__xludf.DUMMYFUNCTION("""COMPUTED_VALUE"""),2.0)</f>
        <v>2</v>
      </c>
      <c r="D479" s="1">
        <f>IFERROR(__xludf.DUMMYFUNCTION("""COMPUTED_VALUE"""),2.0)</f>
        <v>2</v>
      </c>
      <c r="E479" s="1">
        <f>IFERROR(__xludf.DUMMYFUNCTION("""COMPUTED_VALUE"""),0.0)</f>
        <v>0</v>
      </c>
    </row>
    <row r="480">
      <c r="A480" s="1" t="str">
        <f>IFERROR(__xludf.DUMMYFUNCTION("""COMPUTED_VALUE"""),"KDT12")</f>
        <v>KDT12</v>
      </c>
      <c r="B480" s="1">
        <f>IFERROR(__xludf.DUMMYFUNCTION("""COMPUTED_VALUE"""),22.0)</f>
        <v>22</v>
      </c>
      <c r="C480" s="1">
        <f>IFERROR(__xludf.DUMMYFUNCTION("""COMPUTED_VALUE"""),22.0)</f>
        <v>22</v>
      </c>
      <c r="D480" s="1">
        <f>IFERROR(__xludf.DUMMYFUNCTION("""COMPUTED_VALUE"""),22.0)</f>
        <v>22</v>
      </c>
      <c r="E480" s="1">
        <f>IFERROR(__xludf.DUMMYFUNCTION("""COMPUTED_VALUE"""),0.0)</f>
        <v>0</v>
      </c>
    </row>
    <row r="481">
      <c r="A481" s="1" t="str">
        <f>IFERROR(__xludf.DUMMYFUNCTION("""COMPUTED_VALUE"""),"LQNHO")</f>
        <v>LQNHO</v>
      </c>
      <c r="B481" s="1">
        <f>IFERROR(__xludf.DUMMYFUNCTION("""COMPUTED_VALUE"""),41.0)</f>
        <v>41</v>
      </c>
      <c r="C481" s="1">
        <f>IFERROR(__xludf.DUMMYFUNCTION("""COMPUTED_VALUE"""),41.0)</f>
        <v>41</v>
      </c>
      <c r="D481" s="1">
        <f>IFERROR(__xludf.DUMMYFUNCTION("""COMPUTED_VALUE"""),41.0)</f>
        <v>41</v>
      </c>
      <c r="E481" s="1">
        <f>IFERROR(__xludf.DUMMYFUNCTION("""COMPUTED_VALUE"""),0.0)</f>
        <v>0</v>
      </c>
    </row>
    <row r="482">
      <c r="A482" s="1" t="str">
        <f>IFERROR(__xludf.DUMMYFUNCTION("""COMPUTED_VALUE"""),"LQTO")</f>
        <v>LQTO</v>
      </c>
      <c r="B482" s="1">
        <f>IFERROR(__xludf.DUMMYFUNCTION("""COMPUTED_VALUE"""),10.0)</f>
        <v>10</v>
      </c>
      <c r="C482" s="1">
        <f>IFERROR(__xludf.DUMMYFUNCTION("""COMPUTED_VALUE"""),10.0)</f>
        <v>10</v>
      </c>
      <c r="D482" s="1">
        <f>IFERROR(__xludf.DUMMYFUNCTION("""COMPUTED_VALUE"""),10.0)</f>
        <v>10</v>
      </c>
      <c r="E482" s="1">
        <f>IFERROR(__xludf.DUMMYFUNCTION("""COMPUTED_VALUE"""),0.0)</f>
        <v>0</v>
      </c>
    </row>
    <row r="483">
      <c r="A483" s="1" t="str">
        <f>IFERROR(__xludf.DUMMYFUNCTION("""COMPUTED_VALUE"""),"LWC1588081")</f>
        <v>LWC1588081</v>
      </c>
      <c r="B483" s="1">
        <f>IFERROR(__xludf.DUMMYFUNCTION("""COMPUTED_VALUE"""),159.4)</f>
        <v>159.4</v>
      </c>
      <c r="C483" s="1">
        <f>IFERROR(__xludf.DUMMYFUNCTION("""COMPUTED_VALUE"""),159.4)</f>
        <v>159.4</v>
      </c>
      <c r="D483" s="1">
        <f>IFERROR(__xludf.DUMMYFUNCTION("""COMPUTED_VALUE"""),159.4)</f>
        <v>159.4</v>
      </c>
      <c r="E483" s="1">
        <f>IFERROR(__xludf.DUMMYFUNCTION("""COMPUTED_VALUE"""),0.0)</f>
        <v>0</v>
      </c>
    </row>
    <row r="484">
      <c r="A484" s="1" t="str">
        <f>IFERROR(__xludf.DUMMYFUNCTION("""COMPUTED_VALUE"""),"LWC158810")</f>
        <v>LWC158810</v>
      </c>
      <c r="B484" s="1">
        <f>IFERROR(__xludf.DUMMYFUNCTION("""COMPUTED_VALUE"""),299.6)</f>
        <v>299.6</v>
      </c>
      <c r="C484" s="1">
        <f>IFERROR(__xludf.DUMMYFUNCTION("""COMPUTED_VALUE"""),748.7)</f>
        <v>748.7</v>
      </c>
      <c r="D484" s="1">
        <f>IFERROR(__xludf.DUMMYFUNCTION("""COMPUTED_VALUE"""),299.6)</f>
        <v>299.6</v>
      </c>
      <c r="E484" s="1">
        <f>IFERROR(__xludf.DUMMYFUNCTION("""COMPUTED_VALUE"""),449.1)</f>
        <v>449.1</v>
      </c>
    </row>
    <row r="485">
      <c r="A485" s="1" t="str">
        <f>IFERROR(__xludf.DUMMYFUNCTION("""COMPUTED_VALUE"""),"MAUGĐĐV114x50")</f>
        <v>MAUGĐĐV114x50</v>
      </c>
      <c r="B485" s="1">
        <f>IFERROR(__xludf.DUMMYFUNCTION("""COMPUTED_VALUE"""),4.0)</f>
        <v>4</v>
      </c>
      <c r="C485" s="1">
        <f>IFERROR(__xludf.DUMMYFUNCTION("""COMPUTED_VALUE"""),4.0)</f>
        <v>4</v>
      </c>
      <c r="D485" s="1">
        <f>IFERROR(__xludf.DUMMYFUNCTION("""COMPUTED_VALUE"""),4.0)</f>
        <v>4</v>
      </c>
      <c r="E485" s="1">
        <f>IFERROR(__xludf.DUMMYFUNCTION("""COMPUTED_VALUE"""),0.0)</f>
        <v>0</v>
      </c>
    </row>
    <row r="486">
      <c r="A486" s="1" t="str">
        <f>IFERROR(__xludf.DUMMYFUNCTION("""COMPUTED_VALUE"""),"MAUGĐĐV140x50")</f>
        <v>MAUGĐĐV140x50</v>
      </c>
      <c r="B486" s="1">
        <f>IFERROR(__xludf.DUMMYFUNCTION("""COMPUTED_VALUE"""),2.0)</f>
        <v>2</v>
      </c>
      <c r="C486" s="1">
        <f>IFERROR(__xludf.DUMMYFUNCTION("""COMPUTED_VALUE"""),2.0)</f>
        <v>2</v>
      </c>
      <c r="D486" s="1">
        <f>IFERROR(__xludf.DUMMYFUNCTION("""COMPUTED_VALUE"""),2.0)</f>
        <v>2</v>
      </c>
      <c r="E486" s="1">
        <f>IFERROR(__xludf.DUMMYFUNCTION("""COMPUTED_VALUE"""),0.0)</f>
        <v>0</v>
      </c>
    </row>
    <row r="487">
      <c r="A487" s="1" t="str">
        <f>IFERROR(__xludf.DUMMYFUNCTION("""COMPUTED_VALUE"""),"MAUGĐĐV170x50")</f>
        <v>MAUGĐĐV170x50</v>
      </c>
      <c r="B487" s="1">
        <f>IFERROR(__xludf.DUMMYFUNCTION("""COMPUTED_VALUE"""),2.0)</f>
        <v>2</v>
      </c>
      <c r="C487" s="1">
        <f>IFERROR(__xludf.DUMMYFUNCTION("""COMPUTED_VALUE"""),2.0)</f>
        <v>2</v>
      </c>
      <c r="D487" s="1">
        <f>IFERROR(__xludf.DUMMYFUNCTION("""COMPUTED_VALUE"""),2.0)</f>
        <v>2</v>
      </c>
      <c r="E487" s="1">
        <f>IFERROR(__xludf.DUMMYFUNCTION("""COMPUTED_VALUE"""),0.0)</f>
        <v>0</v>
      </c>
    </row>
    <row r="488">
      <c r="A488" s="1" t="str">
        <f>IFERROR(__xludf.DUMMYFUNCTION("""COMPUTED_VALUE"""),"MAUGĐĐV221x50")</f>
        <v>MAUGĐĐV221x50</v>
      </c>
      <c r="B488" s="1">
        <f>IFERROR(__xludf.DUMMYFUNCTION("""COMPUTED_VALUE"""),2.0)</f>
        <v>2</v>
      </c>
      <c r="C488" s="1">
        <f>IFERROR(__xludf.DUMMYFUNCTION("""COMPUTED_VALUE"""),2.0)</f>
        <v>2</v>
      </c>
      <c r="D488" s="1">
        <f>IFERROR(__xludf.DUMMYFUNCTION("""COMPUTED_VALUE"""),2.0)</f>
        <v>2</v>
      </c>
      <c r="E488" s="1">
        <f>IFERROR(__xludf.DUMMYFUNCTION("""COMPUTED_VALUE"""),0.0)</f>
        <v>0</v>
      </c>
    </row>
    <row r="489">
      <c r="A489" s="1" t="str">
        <f>IFERROR(__xludf.DUMMYFUNCTION("""COMPUTED_VALUE"""),"MAUGĐĐV280x50")</f>
        <v>MAUGĐĐV280x50</v>
      </c>
      <c r="B489" s="1">
        <f>IFERROR(__xludf.DUMMYFUNCTION("""COMPUTED_VALUE"""),2.0)</f>
        <v>2</v>
      </c>
      <c r="C489" s="1">
        <f>IFERROR(__xludf.DUMMYFUNCTION("""COMPUTED_VALUE"""),2.0)</f>
        <v>2</v>
      </c>
      <c r="D489" s="1">
        <f>IFERROR(__xludf.DUMMYFUNCTION("""COMPUTED_VALUE"""),2.0)</f>
        <v>2</v>
      </c>
      <c r="E489" s="1">
        <f>IFERROR(__xludf.DUMMYFUNCTION("""COMPUTED_VALUE"""),0.0)</f>
        <v>0</v>
      </c>
    </row>
    <row r="490">
      <c r="A490" s="1" t="str">
        <f>IFERROR(__xludf.DUMMYFUNCTION("""COMPUTED_VALUE"""),"MAUGĐĐV28x50")</f>
        <v>MAUGĐĐV28x50</v>
      </c>
      <c r="B490" s="1">
        <f>IFERROR(__xludf.DUMMYFUNCTION("""COMPUTED_VALUE"""),3.0)</f>
        <v>3</v>
      </c>
      <c r="C490" s="1">
        <f>IFERROR(__xludf.DUMMYFUNCTION("""COMPUTED_VALUE"""),3.0)</f>
        <v>3</v>
      </c>
      <c r="D490" s="1">
        <f>IFERROR(__xludf.DUMMYFUNCTION("""COMPUTED_VALUE"""),3.0)</f>
        <v>3</v>
      </c>
      <c r="E490" s="1">
        <f>IFERROR(__xludf.DUMMYFUNCTION("""COMPUTED_VALUE"""),0.0)</f>
        <v>0</v>
      </c>
    </row>
    <row r="491">
      <c r="A491" s="1" t="str">
        <f>IFERROR(__xludf.DUMMYFUNCTION("""COMPUTED_VALUE"""),"MAUGĐĐV30x50")</f>
        <v>MAUGĐĐV30x50</v>
      </c>
      <c r="B491" s="1">
        <f>IFERROR(__xludf.DUMMYFUNCTION("""COMPUTED_VALUE"""),4.0)</f>
        <v>4</v>
      </c>
      <c r="C491" s="1">
        <f>IFERROR(__xludf.DUMMYFUNCTION("""COMPUTED_VALUE"""),4.0)</f>
        <v>4</v>
      </c>
      <c r="D491" s="1">
        <f>IFERROR(__xludf.DUMMYFUNCTION("""COMPUTED_VALUE"""),4.0)</f>
        <v>4</v>
      </c>
      <c r="E491" s="1">
        <f>IFERROR(__xludf.DUMMYFUNCTION("""COMPUTED_VALUE"""),0.0)</f>
        <v>0</v>
      </c>
    </row>
    <row r="492">
      <c r="A492" s="1" t="str">
        <f>IFERROR(__xludf.DUMMYFUNCTION("""COMPUTED_VALUE"""),"MAUGĐĐV330x50")</f>
        <v>MAUGĐĐV330x50</v>
      </c>
      <c r="B492" s="1">
        <f>IFERROR(__xludf.DUMMYFUNCTION("""COMPUTED_VALUE"""),2.0)</f>
        <v>2</v>
      </c>
      <c r="C492" s="1">
        <f>IFERROR(__xludf.DUMMYFUNCTION("""COMPUTED_VALUE"""),2.0)</f>
        <v>2</v>
      </c>
      <c r="D492" s="1">
        <f>IFERROR(__xludf.DUMMYFUNCTION("""COMPUTED_VALUE"""),2.0)</f>
        <v>2</v>
      </c>
      <c r="E492" s="1">
        <f>IFERROR(__xludf.DUMMYFUNCTION("""COMPUTED_VALUE"""),0.0)</f>
        <v>0</v>
      </c>
    </row>
    <row r="493">
      <c r="A493" s="1" t="str">
        <f>IFERROR(__xludf.DUMMYFUNCTION("""COMPUTED_VALUE"""),"MAUGĐĐV40x50")</f>
        <v>MAUGĐĐV40x50</v>
      </c>
      <c r="B493" s="1">
        <f>IFERROR(__xludf.DUMMYFUNCTION("""COMPUTED_VALUE"""),2.0)</f>
        <v>2</v>
      </c>
      <c r="C493" s="1">
        <f>IFERROR(__xludf.DUMMYFUNCTION("""COMPUTED_VALUE"""),2.0)</f>
        <v>2</v>
      </c>
      <c r="D493" s="1">
        <f>IFERROR(__xludf.DUMMYFUNCTION("""COMPUTED_VALUE"""),2.0)</f>
        <v>2</v>
      </c>
      <c r="E493" s="1">
        <f>IFERROR(__xludf.DUMMYFUNCTION("""COMPUTED_VALUE"""),0.0)</f>
        <v>0</v>
      </c>
    </row>
    <row r="494">
      <c r="A494" s="1" t="str">
        <f>IFERROR(__xludf.DUMMYFUNCTION("""COMPUTED_VALUE"""),"MAUGĐĐV50x50")</f>
        <v>MAUGĐĐV50x50</v>
      </c>
      <c r="B494" s="1">
        <f>IFERROR(__xludf.DUMMYFUNCTION("""COMPUTED_VALUE"""),1.0)</f>
        <v>1</v>
      </c>
      <c r="C494" s="1">
        <f>IFERROR(__xludf.DUMMYFUNCTION("""COMPUTED_VALUE"""),1.0)</f>
        <v>1</v>
      </c>
      <c r="D494" s="1">
        <f>IFERROR(__xludf.DUMMYFUNCTION("""COMPUTED_VALUE"""),1.0)</f>
        <v>1</v>
      </c>
      <c r="E494" s="1">
        <f>IFERROR(__xludf.DUMMYFUNCTION("""COMPUTED_VALUE"""),0.0)</f>
        <v>0</v>
      </c>
    </row>
    <row r="495">
      <c r="A495" s="1" t="str">
        <f>IFERROR(__xludf.DUMMYFUNCTION("""COMPUTED_VALUE"""),"MAUGĐĐV60x50")</f>
        <v>MAUGĐĐV60x50</v>
      </c>
      <c r="B495" s="1">
        <f>IFERROR(__xludf.DUMMYFUNCTION("""COMPUTED_VALUE"""),3.0)</f>
        <v>3</v>
      </c>
      <c r="C495" s="1">
        <f>IFERROR(__xludf.DUMMYFUNCTION("""COMPUTED_VALUE"""),3.0)</f>
        <v>3</v>
      </c>
      <c r="D495" s="1">
        <f>IFERROR(__xludf.DUMMYFUNCTION("""COMPUTED_VALUE"""),3.0)</f>
        <v>3</v>
      </c>
      <c r="E495" s="1">
        <f>IFERROR(__xludf.DUMMYFUNCTION("""COMPUTED_VALUE"""),0.0)</f>
        <v>0</v>
      </c>
    </row>
    <row r="496">
      <c r="A496" s="1" t="str">
        <f>IFERROR(__xludf.DUMMYFUNCTION("""COMPUTED_VALUE"""),"MAUGĐĐV80x50")</f>
        <v>MAUGĐĐV80x50</v>
      </c>
      <c r="B496" s="1">
        <f>IFERROR(__xludf.DUMMYFUNCTION("""COMPUTED_VALUE"""),4.0)</f>
        <v>4</v>
      </c>
      <c r="C496" s="1">
        <f>IFERROR(__xludf.DUMMYFUNCTION("""COMPUTED_VALUE"""),4.0)</f>
        <v>4</v>
      </c>
      <c r="D496" s="1">
        <f>IFERROR(__xludf.DUMMYFUNCTION("""COMPUTED_VALUE"""),4.0)</f>
        <v>4</v>
      </c>
      <c r="E496" s="1">
        <f>IFERROR(__xludf.DUMMYFUNCTION("""COMPUTED_VALUE"""),0.0)</f>
        <v>0</v>
      </c>
    </row>
    <row r="497">
      <c r="A497" s="1" t="str">
        <f>IFERROR(__xludf.DUMMYFUNCTION("""COMPUTED_VALUE"""),"MAUGĐĐV89x50")</f>
        <v>MAUGĐĐV89x50</v>
      </c>
      <c r="B497" s="1">
        <f>IFERROR(__xludf.DUMMYFUNCTION("""COMPUTED_VALUE"""),2.0)</f>
        <v>2</v>
      </c>
      <c r="C497" s="1">
        <f>IFERROR(__xludf.DUMMYFUNCTION("""COMPUTED_VALUE"""),2.0)</f>
        <v>2</v>
      </c>
      <c r="D497" s="1">
        <f>IFERROR(__xludf.DUMMYFUNCTION("""COMPUTED_VALUE"""),2.0)</f>
        <v>2</v>
      </c>
      <c r="E497" s="1">
        <f>IFERROR(__xludf.DUMMYFUNCTION("""COMPUTED_VALUE"""),0.0)</f>
        <v>0</v>
      </c>
    </row>
    <row r="498">
      <c r="A498" s="1" t="str">
        <f>IFERROR(__xludf.DUMMYFUNCTION("""COMPUTED_VALUE"""),"MAUHL0635081")</f>
        <v>MAUHL0635081</v>
      </c>
      <c r="B498" s="1">
        <f>IFERROR(__xludf.DUMMYFUNCTION("""COMPUTED_VALUE"""),99.0)</f>
        <v>99</v>
      </c>
      <c r="C498" s="1">
        <f>IFERROR(__xludf.DUMMYFUNCTION("""COMPUTED_VALUE"""),102.0)</f>
        <v>102</v>
      </c>
      <c r="D498" s="1">
        <f>IFERROR(__xludf.DUMMYFUNCTION("""COMPUTED_VALUE"""),99.0)</f>
        <v>99</v>
      </c>
      <c r="E498" s="1">
        <f>IFERROR(__xludf.DUMMYFUNCTION("""COMPUTED_VALUE"""),3.0)</f>
        <v>3</v>
      </c>
    </row>
    <row r="499">
      <c r="A499" s="1" t="str">
        <f>IFERROR(__xludf.DUMMYFUNCTION("""COMPUTED_VALUE"""),"MAUHL0952081")</f>
        <v>MAUHL0952081</v>
      </c>
      <c r="B499" s="1">
        <f>IFERROR(__xludf.DUMMYFUNCTION("""COMPUTED_VALUE"""),98.0)</f>
        <v>98</v>
      </c>
      <c r="C499" s="1">
        <f>IFERROR(__xludf.DUMMYFUNCTION("""COMPUTED_VALUE"""),101.0)</f>
        <v>101</v>
      </c>
      <c r="D499" s="1">
        <f>IFERROR(__xludf.DUMMYFUNCTION("""COMPUTED_VALUE"""),98.0)</f>
        <v>98</v>
      </c>
      <c r="E499" s="1">
        <f>IFERROR(__xludf.DUMMYFUNCTION("""COMPUTED_VALUE"""),3.0)</f>
        <v>3</v>
      </c>
    </row>
    <row r="500">
      <c r="A500" s="1" t="str">
        <f>IFERROR(__xludf.DUMMYFUNCTION("""COMPUTED_VALUE"""),"MAUHL1270081")</f>
        <v>MAUHL1270081</v>
      </c>
      <c r="B500" s="1">
        <f>IFERROR(__xludf.DUMMYFUNCTION("""COMPUTED_VALUE"""),170.0)</f>
        <v>170</v>
      </c>
      <c r="C500" s="1">
        <f>IFERROR(__xludf.DUMMYFUNCTION("""COMPUTED_VALUE"""),174.0)</f>
        <v>174</v>
      </c>
      <c r="D500" s="1">
        <f>IFERROR(__xludf.DUMMYFUNCTION("""COMPUTED_VALUE"""),170.0)</f>
        <v>170</v>
      </c>
      <c r="E500" s="1">
        <f>IFERROR(__xludf.DUMMYFUNCTION("""COMPUTED_VALUE"""),4.0)</f>
        <v>4</v>
      </c>
    </row>
    <row r="501">
      <c r="A501" s="1" t="str">
        <f>IFERROR(__xludf.DUMMYFUNCTION("""COMPUTED_VALUE"""),"MAUHL1588100")</f>
        <v>MAUHL1588100</v>
      </c>
      <c r="B501" s="1">
        <f>IFERROR(__xludf.DUMMYFUNCTION("""COMPUTED_VALUE"""),227.0)</f>
        <v>227</v>
      </c>
      <c r="C501" s="1">
        <f>IFERROR(__xludf.DUMMYFUNCTION("""COMPUTED_VALUE"""),227.0)</f>
        <v>227</v>
      </c>
      <c r="D501" s="1">
        <f>IFERROR(__xludf.DUMMYFUNCTION("""COMPUTED_VALUE"""),227.0)</f>
        <v>227</v>
      </c>
      <c r="E501" s="1">
        <f>IFERROR(__xludf.DUMMYFUNCTION("""COMPUTED_VALUE"""),0.0)</f>
        <v>0</v>
      </c>
    </row>
    <row r="502">
      <c r="A502" s="1" t="str">
        <f>IFERROR(__xludf.DUMMYFUNCTION("""COMPUTED_VALUE"""),"MAUHL1905102")</f>
        <v>MAUHL1905102</v>
      </c>
      <c r="B502" s="1">
        <f>IFERROR(__xludf.DUMMYFUNCTION("""COMPUTED_VALUE"""),281.0)</f>
        <v>281</v>
      </c>
      <c r="C502" s="1">
        <f>IFERROR(__xludf.DUMMYFUNCTION("""COMPUTED_VALUE"""),283.0)</f>
        <v>283</v>
      </c>
      <c r="D502" s="1">
        <f>IFERROR(__xludf.DUMMYFUNCTION("""COMPUTED_VALUE"""),281.0)</f>
        <v>281</v>
      </c>
      <c r="E502" s="1">
        <f>IFERROR(__xludf.DUMMYFUNCTION("""COMPUTED_VALUE"""),2.0)</f>
        <v>2</v>
      </c>
    </row>
    <row r="503">
      <c r="A503" s="1" t="str">
        <f>IFERROR(__xludf.DUMMYFUNCTION("""COMPUTED_VALUE"""),"MAUHL2540100")</f>
        <v>MAUHL2540100</v>
      </c>
      <c r="B503" s="1">
        <f>IFERROR(__xludf.DUMMYFUNCTION("""COMPUTED_VALUE"""),142.0)</f>
        <v>142</v>
      </c>
      <c r="C503" s="1">
        <f>IFERROR(__xludf.DUMMYFUNCTION("""COMPUTED_VALUE"""),160.0)</f>
        <v>160</v>
      </c>
      <c r="D503" s="1">
        <f>IFERROR(__xludf.DUMMYFUNCTION("""COMPUTED_VALUE"""),142.0)</f>
        <v>142</v>
      </c>
      <c r="E503" s="1">
        <f>IFERROR(__xludf.DUMMYFUNCTION("""COMPUTED_VALUE"""),18.0)</f>
        <v>18</v>
      </c>
    </row>
    <row r="504">
      <c r="A504" s="1" t="str">
        <f>IFERROR(__xludf.DUMMYFUNCTION("""COMPUTED_VALUE"""),"MAUHL2858100")</f>
        <v>MAUHL2858100</v>
      </c>
      <c r="B504" s="1">
        <f>IFERROR(__xludf.DUMMYFUNCTION("""COMPUTED_VALUE"""),49.0)</f>
        <v>49</v>
      </c>
      <c r="C504" s="1">
        <f>IFERROR(__xludf.DUMMYFUNCTION("""COMPUTED_VALUE"""),56.0)</f>
        <v>56</v>
      </c>
      <c r="D504" s="1">
        <f>IFERROR(__xludf.DUMMYFUNCTION("""COMPUTED_VALUE"""),49.0)</f>
        <v>49</v>
      </c>
      <c r="E504" s="1">
        <f>IFERROR(__xludf.DUMMYFUNCTION("""COMPUTED_VALUE"""),7.0)</f>
        <v>7</v>
      </c>
    </row>
    <row r="505">
      <c r="A505" s="1" t="str">
        <f>IFERROR(__xludf.DUMMYFUNCTION("""COMPUTED_VALUE"""),"MAUHL3175100")</f>
        <v>MAUHL3175100</v>
      </c>
      <c r="B505" s="1">
        <f>IFERROR(__xludf.DUMMYFUNCTION("""COMPUTED_VALUE"""),171.0)</f>
        <v>171</v>
      </c>
      <c r="C505" s="1">
        <f>IFERROR(__xludf.DUMMYFUNCTION("""COMPUTED_VALUE"""),189.0)</f>
        <v>189</v>
      </c>
      <c r="D505" s="1">
        <f>IFERROR(__xludf.DUMMYFUNCTION("""COMPUTED_VALUE"""),171.0)</f>
        <v>171</v>
      </c>
      <c r="E505" s="1">
        <f>IFERROR(__xludf.DUMMYFUNCTION("""COMPUTED_VALUE"""),18.0)</f>
        <v>18</v>
      </c>
    </row>
    <row r="506">
      <c r="A506" s="1" t="str">
        <f>IFERROR(__xludf.DUMMYFUNCTION("""COMPUTED_VALUE"""),"MAUHL3493120")</f>
        <v>MAUHL3493120</v>
      </c>
      <c r="B506" s="1">
        <f>IFERROR(__xludf.DUMMYFUNCTION("""COMPUTED_VALUE"""),101.0)</f>
        <v>101</v>
      </c>
      <c r="C506" s="1">
        <f>IFERROR(__xludf.DUMMYFUNCTION("""COMPUTED_VALUE"""),101.0)</f>
        <v>101</v>
      </c>
      <c r="D506" s="1">
        <f>IFERROR(__xludf.DUMMYFUNCTION("""COMPUTED_VALUE"""),101.0)</f>
        <v>101</v>
      </c>
      <c r="E506" s="1">
        <f>IFERROR(__xludf.DUMMYFUNCTION("""COMPUTED_VALUE"""),0.0)</f>
        <v>0</v>
      </c>
    </row>
    <row r="507">
      <c r="A507" s="1" t="str">
        <f>IFERROR(__xludf.DUMMYFUNCTION("""COMPUTED_VALUE"""),"MAUHL3810120")</f>
        <v>MAUHL3810120</v>
      </c>
      <c r="B507" s="1">
        <f>IFERROR(__xludf.DUMMYFUNCTION("""COMPUTED_VALUE"""),68.0)</f>
        <v>68</v>
      </c>
      <c r="C507" s="1">
        <f>IFERROR(__xludf.DUMMYFUNCTION("""COMPUTED_VALUE"""),85.0)</f>
        <v>85</v>
      </c>
      <c r="D507" s="1">
        <f>IFERROR(__xludf.DUMMYFUNCTION("""COMPUTED_VALUE"""),68.0)</f>
        <v>68</v>
      </c>
      <c r="E507" s="1">
        <f>IFERROR(__xludf.DUMMYFUNCTION("""COMPUTED_VALUE"""),17.0)</f>
        <v>17</v>
      </c>
    </row>
    <row r="508">
      <c r="A508" s="1" t="str">
        <f>IFERROR(__xludf.DUMMYFUNCTION("""COMPUTED_VALUE"""),"MAUHL4128122")</f>
        <v>MAUHL4128122</v>
      </c>
      <c r="B508" s="1">
        <f>IFERROR(__xludf.DUMMYFUNCTION("""COMPUTED_VALUE"""),153.0)</f>
        <v>153</v>
      </c>
      <c r="C508" s="1">
        <f>IFERROR(__xludf.DUMMYFUNCTION("""COMPUTED_VALUE"""),159.0)</f>
        <v>159</v>
      </c>
      <c r="D508" s="1">
        <f>IFERROR(__xludf.DUMMYFUNCTION("""COMPUTED_VALUE"""),153.0)</f>
        <v>153</v>
      </c>
      <c r="E508" s="1">
        <f>IFERROR(__xludf.DUMMYFUNCTION("""COMPUTED_VALUE"""),6.0)</f>
        <v>6</v>
      </c>
    </row>
    <row r="509">
      <c r="A509" s="1" t="str">
        <f>IFERROR(__xludf.DUMMYFUNCTION("""COMPUTED_VALUE"""),"MAUHL4128140")</f>
        <v>MAUHL4128140</v>
      </c>
      <c r="B509" s="1">
        <f>IFERROR(__xludf.DUMMYFUNCTION("""COMPUTED_VALUE"""),41.0)</f>
        <v>41</v>
      </c>
      <c r="C509" s="1">
        <f>IFERROR(__xludf.DUMMYFUNCTION("""COMPUTED_VALUE"""),51.0)</f>
        <v>51</v>
      </c>
      <c r="D509" s="1">
        <f>IFERROR(__xludf.DUMMYFUNCTION("""COMPUTED_VALUE"""),41.0)</f>
        <v>41</v>
      </c>
      <c r="E509" s="1">
        <f>IFERROR(__xludf.DUMMYFUNCTION("""COMPUTED_VALUE"""),10.0)</f>
        <v>10</v>
      </c>
    </row>
    <row r="510">
      <c r="A510" s="1" t="str">
        <f>IFERROR(__xludf.DUMMYFUNCTION("""COMPUTED_VALUE"""),"MAULUONXK0612")</f>
        <v>MAULUONXK0612</v>
      </c>
      <c r="B510" s="1">
        <f>IFERROR(__xludf.DUMMYFUNCTION("""COMPUTED_VALUE"""),0.07)</f>
        <v>0.07</v>
      </c>
      <c r="C510" s="1">
        <f>IFERROR(__xludf.DUMMYFUNCTION("""COMPUTED_VALUE"""),0.07)</f>
        <v>0.07</v>
      </c>
      <c r="D510" s="1">
        <f>IFERROR(__xludf.DUMMYFUNCTION("""COMPUTED_VALUE"""),0.07)</f>
        <v>0.07</v>
      </c>
      <c r="E510" s="1">
        <f>IFERROR(__xludf.DUMMYFUNCTION("""COMPUTED_VALUE"""),0.0)</f>
        <v>0</v>
      </c>
    </row>
    <row r="511">
      <c r="A511" s="1" t="str">
        <f>IFERROR(__xludf.DUMMYFUNCTION("""COMPUTED_VALUE"""),"MAUOAC06x19")</f>
        <v>MAUOAC06x19</v>
      </c>
      <c r="B511" s="1">
        <f>IFERROR(__xludf.DUMMYFUNCTION("""COMPUTED_VALUE"""),2.0)</f>
        <v>2</v>
      </c>
      <c r="C511" s="1">
        <f>IFERROR(__xludf.DUMMYFUNCTION("""COMPUTED_VALUE"""),2.0)</f>
        <v>2</v>
      </c>
      <c r="D511" s="1">
        <f>IFERROR(__xludf.DUMMYFUNCTION("""COMPUTED_VALUE"""),2.0)</f>
        <v>2</v>
      </c>
      <c r="E511" s="1">
        <f>IFERROR(__xludf.DUMMYFUNCTION("""COMPUTED_VALUE"""),0.0)</f>
        <v>0</v>
      </c>
    </row>
    <row r="512">
      <c r="A512" s="1" t="str">
        <f>IFERROR(__xludf.DUMMYFUNCTION("""COMPUTED_VALUE"""),"MAUOAC12X19")</f>
        <v>MAUOAC12X19</v>
      </c>
      <c r="B512" s="1">
        <f>IFERROR(__xludf.DUMMYFUNCTION("""COMPUTED_VALUE"""),2.0)</f>
        <v>2</v>
      </c>
      <c r="C512" s="1">
        <f>IFERROR(__xludf.DUMMYFUNCTION("""COMPUTED_VALUE"""),2.0)</f>
        <v>2</v>
      </c>
      <c r="D512" s="1">
        <f>IFERROR(__xludf.DUMMYFUNCTION("""COMPUTED_VALUE"""),2.0)</f>
        <v>2</v>
      </c>
      <c r="E512" s="1">
        <f>IFERROR(__xludf.DUMMYFUNCTION("""COMPUTED_VALUE"""),0.0)</f>
        <v>0</v>
      </c>
    </row>
    <row r="513">
      <c r="A513" s="1" t="str">
        <f>IFERROR(__xludf.DUMMYFUNCTION("""COMPUTED_VALUE"""),"MAUOAC15x19")</f>
        <v>MAUOAC15x19</v>
      </c>
      <c r="B513" s="1">
        <f>IFERROR(__xludf.DUMMYFUNCTION("""COMPUTED_VALUE"""),2.0)</f>
        <v>2</v>
      </c>
      <c r="C513" s="1">
        <f>IFERROR(__xludf.DUMMYFUNCTION("""COMPUTED_VALUE"""),2.0)</f>
        <v>2</v>
      </c>
      <c r="D513" s="1">
        <f>IFERROR(__xludf.DUMMYFUNCTION("""COMPUTED_VALUE"""),2.0)</f>
        <v>2</v>
      </c>
      <c r="E513" s="1">
        <f>IFERROR(__xludf.DUMMYFUNCTION("""COMPUTED_VALUE"""),0.0)</f>
        <v>0</v>
      </c>
    </row>
    <row r="514">
      <c r="A514" s="1" t="str">
        <f>IFERROR(__xludf.DUMMYFUNCTION("""COMPUTED_VALUE"""),"MAUOAC22x13")</f>
        <v>MAUOAC22x13</v>
      </c>
      <c r="B514" s="1">
        <f>IFERROR(__xludf.DUMMYFUNCTION("""COMPUTED_VALUE"""),3.0)</f>
        <v>3</v>
      </c>
      <c r="C514" s="1">
        <f>IFERROR(__xludf.DUMMYFUNCTION("""COMPUTED_VALUE"""),3.0)</f>
        <v>3</v>
      </c>
      <c r="D514" s="1">
        <f>IFERROR(__xludf.DUMMYFUNCTION("""COMPUTED_VALUE"""),3.0)</f>
        <v>3</v>
      </c>
      <c r="E514" s="1">
        <f>IFERROR(__xludf.DUMMYFUNCTION("""COMPUTED_VALUE"""),0.0)</f>
        <v>0</v>
      </c>
    </row>
    <row r="515">
      <c r="A515" s="1" t="str">
        <f>IFERROR(__xludf.DUMMYFUNCTION("""COMPUTED_VALUE"""),"MAUOAE006X19")</f>
        <v>MAUOAE006X19</v>
      </c>
      <c r="B515" s="1">
        <f>IFERROR(__xludf.DUMMYFUNCTION("""COMPUTED_VALUE"""),35.0)</f>
        <v>35</v>
      </c>
      <c r="C515" s="1">
        <f>IFERROR(__xludf.DUMMYFUNCTION("""COMPUTED_VALUE"""),35.0)</f>
        <v>35</v>
      </c>
      <c r="D515" s="1">
        <f>IFERROR(__xludf.DUMMYFUNCTION("""COMPUTED_VALUE"""),35.0)</f>
        <v>35</v>
      </c>
      <c r="E515" s="1">
        <f>IFERROR(__xludf.DUMMYFUNCTION("""COMPUTED_VALUE"""),0.0)</f>
        <v>0</v>
      </c>
    </row>
    <row r="516">
      <c r="A516" s="1" t="str">
        <f>IFERROR(__xludf.DUMMYFUNCTION("""COMPUTED_VALUE"""),"MAUOAE006x19C0")</f>
        <v>MAUOAE006x19C0</v>
      </c>
      <c r="B516" s="1">
        <f>IFERROR(__xludf.DUMMYFUNCTION("""COMPUTED_VALUE"""),5.0)</f>
        <v>5</v>
      </c>
      <c r="C516" s="1">
        <f>IFERROR(__xludf.DUMMYFUNCTION("""COMPUTED_VALUE"""),5.0)</f>
        <v>5</v>
      </c>
      <c r="D516" s="1">
        <f>IFERROR(__xludf.DUMMYFUNCTION("""COMPUTED_VALUE"""),5.0)</f>
        <v>5</v>
      </c>
      <c r="E516" s="1">
        <f>IFERROR(__xludf.DUMMYFUNCTION("""COMPUTED_VALUE"""),0.0)</f>
        <v>0</v>
      </c>
    </row>
    <row r="517">
      <c r="A517" s="1" t="str">
        <f>IFERROR(__xludf.DUMMYFUNCTION("""COMPUTED_VALUE"""),"MAUOAE010X19")</f>
        <v>MAUOAE010X19</v>
      </c>
      <c r="B517" s="1">
        <f>IFERROR(__xludf.DUMMYFUNCTION("""COMPUTED_VALUE"""),64.0)</f>
        <v>64</v>
      </c>
      <c r="C517" s="1">
        <f>IFERROR(__xludf.DUMMYFUNCTION("""COMPUTED_VALUE"""),64.0)</f>
        <v>64</v>
      </c>
      <c r="D517" s="1">
        <f>IFERROR(__xludf.DUMMYFUNCTION("""COMPUTED_VALUE"""),64.0)</f>
        <v>64</v>
      </c>
      <c r="E517" s="1">
        <f>IFERROR(__xludf.DUMMYFUNCTION("""COMPUTED_VALUE"""),0.0)</f>
        <v>0</v>
      </c>
    </row>
    <row r="518">
      <c r="A518" s="1" t="str">
        <f>IFERROR(__xludf.DUMMYFUNCTION("""COMPUTED_VALUE"""),"MAUOAE010X19C0")</f>
        <v>MAUOAE010X19C0</v>
      </c>
      <c r="B518" s="1">
        <f>IFERROR(__xludf.DUMMYFUNCTION("""COMPUTED_VALUE"""),41.0)</f>
        <v>41</v>
      </c>
      <c r="C518" s="1">
        <f>IFERROR(__xludf.DUMMYFUNCTION("""COMPUTED_VALUE"""),41.0)</f>
        <v>41</v>
      </c>
      <c r="D518" s="1">
        <f>IFERROR(__xludf.DUMMYFUNCTION("""COMPUTED_VALUE"""),41.0)</f>
        <v>41</v>
      </c>
      <c r="E518" s="1">
        <f>IFERROR(__xludf.DUMMYFUNCTION("""COMPUTED_VALUE"""),0.0)</f>
        <v>0</v>
      </c>
    </row>
    <row r="519">
      <c r="A519" s="1" t="str">
        <f>IFERROR(__xludf.DUMMYFUNCTION("""COMPUTED_VALUE"""),"MAUOAE013X19")</f>
        <v>MAUOAE013X19</v>
      </c>
      <c r="B519" s="1">
        <f>IFERROR(__xludf.DUMMYFUNCTION("""COMPUTED_VALUE"""),58.0)</f>
        <v>58</v>
      </c>
      <c r="C519" s="1">
        <f>IFERROR(__xludf.DUMMYFUNCTION("""COMPUTED_VALUE"""),58.0)</f>
        <v>58</v>
      </c>
      <c r="D519" s="1">
        <f>IFERROR(__xludf.DUMMYFUNCTION("""COMPUTED_VALUE"""),58.0)</f>
        <v>58</v>
      </c>
      <c r="E519" s="1">
        <f>IFERROR(__xludf.DUMMYFUNCTION("""COMPUTED_VALUE"""),0.0)</f>
        <v>0</v>
      </c>
    </row>
    <row r="520">
      <c r="A520" s="1" t="str">
        <f>IFERROR(__xludf.DUMMYFUNCTION("""COMPUTED_VALUE"""),"MAUOAE013x19C0")</f>
        <v>MAUOAE013x19C0</v>
      </c>
      <c r="B520" s="1">
        <f>IFERROR(__xludf.DUMMYFUNCTION("""COMPUTED_VALUE"""),36.0)</f>
        <v>36</v>
      </c>
      <c r="C520" s="1">
        <f>IFERROR(__xludf.DUMMYFUNCTION("""COMPUTED_VALUE"""),36.0)</f>
        <v>36</v>
      </c>
      <c r="D520" s="1">
        <f>IFERROR(__xludf.DUMMYFUNCTION("""COMPUTED_VALUE"""),36.0)</f>
        <v>36</v>
      </c>
      <c r="E520" s="1">
        <f>IFERROR(__xludf.DUMMYFUNCTION("""COMPUTED_VALUE"""),0.0)</f>
        <v>0</v>
      </c>
    </row>
    <row r="521">
      <c r="A521" s="1" t="str">
        <f>IFERROR(__xludf.DUMMYFUNCTION("""COMPUTED_VALUE"""),"MAUOAE013X25")</f>
        <v>MAUOAE013X25</v>
      </c>
      <c r="B521" s="1">
        <f>IFERROR(__xludf.DUMMYFUNCTION("""COMPUTED_VALUE"""),28.0)</f>
        <v>28</v>
      </c>
      <c r="C521" s="1">
        <f>IFERROR(__xludf.DUMMYFUNCTION("""COMPUTED_VALUE"""),28.0)</f>
        <v>28</v>
      </c>
      <c r="D521" s="1">
        <f>IFERROR(__xludf.DUMMYFUNCTION("""COMPUTED_VALUE"""),28.0)</f>
        <v>28</v>
      </c>
      <c r="E521" s="1">
        <f>IFERROR(__xludf.DUMMYFUNCTION("""COMPUTED_VALUE"""),0.0)</f>
        <v>0</v>
      </c>
    </row>
    <row r="522">
      <c r="A522" s="1" t="str">
        <f>IFERROR(__xludf.DUMMYFUNCTION("""COMPUTED_VALUE"""),"MAUOAE016X19")</f>
        <v>MAUOAE016X19</v>
      </c>
      <c r="B522" s="1">
        <f>IFERROR(__xludf.DUMMYFUNCTION("""COMPUTED_VALUE"""),81.0)</f>
        <v>81</v>
      </c>
      <c r="C522" s="1">
        <f>IFERROR(__xludf.DUMMYFUNCTION("""COMPUTED_VALUE"""),81.0)</f>
        <v>81</v>
      </c>
      <c r="D522" s="1">
        <f>IFERROR(__xludf.DUMMYFUNCTION("""COMPUTED_VALUE"""),81.0)</f>
        <v>81</v>
      </c>
      <c r="E522" s="1">
        <f>IFERROR(__xludf.DUMMYFUNCTION("""COMPUTED_VALUE"""),0.0)</f>
        <v>0</v>
      </c>
    </row>
    <row r="523">
      <c r="A523" s="1" t="str">
        <f>IFERROR(__xludf.DUMMYFUNCTION("""COMPUTED_VALUE"""),"MAUOAE016X19C0")</f>
        <v>MAUOAE016X19C0</v>
      </c>
      <c r="B523" s="1">
        <f>IFERROR(__xludf.DUMMYFUNCTION("""COMPUTED_VALUE"""),47.0)</f>
        <v>47</v>
      </c>
      <c r="C523" s="1">
        <f>IFERROR(__xludf.DUMMYFUNCTION("""COMPUTED_VALUE"""),47.0)</f>
        <v>47</v>
      </c>
      <c r="D523" s="1">
        <f>IFERROR(__xludf.DUMMYFUNCTION("""COMPUTED_VALUE"""),47.0)</f>
        <v>47</v>
      </c>
      <c r="E523" s="1">
        <f>IFERROR(__xludf.DUMMYFUNCTION("""COMPUTED_VALUE"""),0.0)</f>
        <v>0</v>
      </c>
    </row>
    <row r="524">
      <c r="A524" s="1" t="str">
        <f>IFERROR(__xludf.DUMMYFUNCTION("""COMPUTED_VALUE"""),"MAUOAE016X25")</f>
        <v>MAUOAE016X25</v>
      </c>
      <c r="B524" s="1">
        <f>IFERROR(__xludf.DUMMYFUNCTION("""COMPUTED_VALUE"""),28.0)</f>
        <v>28</v>
      </c>
      <c r="C524" s="1">
        <f>IFERROR(__xludf.DUMMYFUNCTION("""COMPUTED_VALUE"""),28.0)</f>
        <v>28</v>
      </c>
      <c r="D524" s="1">
        <f>IFERROR(__xludf.DUMMYFUNCTION("""COMPUTED_VALUE"""),28.0)</f>
        <v>28</v>
      </c>
      <c r="E524" s="1">
        <f>IFERROR(__xludf.DUMMYFUNCTION("""COMPUTED_VALUE"""),0.0)</f>
        <v>0</v>
      </c>
    </row>
    <row r="525">
      <c r="A525" s="1" t="str">
        <f>IFERROR(__xludf.DUMMYFUNCTION("""COMPUTED_VALUE"""),"MAUOAE016x25C0")</f>
        <v>MAUOAE016x25C0</v>
      </c>
      <c r="B525" s="1">
        <f>IFERROR(__xludf.DUMMYFUNCTION("""COMPUTED_VALUE"""),3.0)</f>
        <v>3</v>
      </c>
      <c r="C525" s="1">
        <f>IFERROR(__xludf.DUMMYFUNCTION("""COMPUTED_VALUE"""),3.0)</f>
        <v>3</v>
      </c>
      <c r="D525" s="1">
        <f>IFERROR(__xludf.DUMMYFUNCTION("""COMPUTED_VALUE"""),3.0)</f>
        <v>3</v>
      </c>
      <c r="E525" s="1">
        <f>IFERROR(__xludf.DUMMYFUNCTION("""COMPUTED_VALUE"""),0.0)</f>
        <v>0</v>
      </c>
    </row>
    <row r="526">
      <c r="A526" s="1" t="str">
        <f>IFERROR(__xludf.DUMMYFUNCTION("""COMPUTED_VALUE"""),"MAUOAE019X19")</f>
        <v>MAUOAE019X19</v>
      </c>
      <c r="B526" s="1">
        <f>IFERROR(__xludf.DUMMYFUNCTION("""COMPUTED_VALUE"""),63.0)</f>
        <v>63</v>
      </c>
      <c r="C526" s="1">
        <f>IFERROR(__xludf.DUMMYFUNCTION("""COMPUTED_VALUE"""),63.0)</f>
        <v>63</v>
      </c>
      <c r="D526" s="1">
        <f>IFERROR(__xludf.DUMMYFUNCTION("""COMPUTED_VALUE"""),63.0)</f>
        <v>63</v>
      </c>
      <c r="E526" s="1">
        <f>IFERROR(__xludf.DUMMYFUNCTION("""COMPUTED_VALUE"""),0.0)</f>
        <v>0</v>
      </c>
    </row>
    <row r="527">
      <c r="A527" s="1" t="str">
        <f>IFERROR(__xludf.DUMMYFUNCTION("""COMPUTED_VALUE"""),"MAUOAE019x19C0")</f>
        <v>MAUOAE019x19C0</v>
      </c>
      <c r="B527" s="1">
        <f>IFERROR(__xludf.DUMMYFUNCTION("""COMPUTED_VALUE"""),5.0)</f>
        <v>5</v>
      </c>
      <c r="C527" s="1">
        <f>IFERROR(__xludf.DUMMYFUNCTION("""COMPUTED_VALUE"""),5.0)</f>
        <v>5</v>
      </c>
      <c r="D527" s="1">
        <f>IFERROR(__xludf.DUMMYFUNCTION("""COMPUTED_VALUE"""),5.0)</f>
        <v>5</v>
      </c>
      <c r="E527" s="1">
        <f>IFERROR(__xludf.DUMMYFUNCTION("""COMPUTED_VALUE"""),0.0)</f>
        <v>0</v>
      </c>
    </row>
    <row r="528">
      <c r="A528" s="1" t="str">
        <f>IFERROR(__xludf.DUMMYFUNCTION("""COMPUTED_VALUE"""),"MAUOAE019X25")</f>
        <v>MAUOAE019X25</v>
      </c>
      <c r="B528" s="1">
        <f>IFERROR(__xludf.DUMMYFUNCTION("""COMPUTED_VALUE"""),28.0)</f>
        <v>28</v>
      </c>
      <c r="C528" s="1">
        <f>IFERROR(__xludf.DUMMYFUNCTION("""COMPUTED_VALUE"""),28.0)</f>
        <v>28</v>
      </c>
      <c r="D528" s="1">
        <f>IFERROR(__xludf.DUMMYFUNCTION("""COMPUTED_VALUE"""),28.0)</f>
        <v>28</v>
      </c>
      <c r="E528" s="1">
        <f>IFERROR(__xludf.DUMMYFUNCTION("""COMPUTED_VALUE"""),0.0)</f>
        <v>0</v>
      </c>
    </row>
    <row r="529">
      <c r="A529" s="1" t="str">
        <f>IFERROR(__xludf.DUMMYFUNCTION("""COMPUTED_VALUE"""),"MAUOAE019x25C0")</f>
        <v>MAUOAE019x25C0</v>
      </c>
      <c r="B529" s="1">
        <f>IFERROR(__xludf.DUMMYFUNCTION("""COMPUTED_VALUE"""),1.0)</f>
        <v>1</v>
      </c>
      <c r="C529" s="1">
        <f>IFERROR(__xludf.DUMMYFUNCTION("""COMPUTED_VALUE"""),1.0)</f>
        <v>1</v>
      </c>
      <c r="D529" s="1">
        <f>IFERROR(__xludf.DUMMYFUNCTION("""COMPUTED_VALUE"""),1.0)</f>
        <v>1</v>
      </c>
      <c r="E529" s="1">
        <f>IFERROR(__xludf.DUMMYFUNCTION("""COMPUTED_VALUE"""),0.0)</f>
        <v>0</v>
      </c>
    </row>
    <row r="530">
      <c r="A530" s="1" t="str">
        <f>IFERROR(__xludf.DUMMYFUNCTION("""COMPUTED_VALUE"""),"MAUOAE022x19C0")</f>
        <v>MAUOAE022x19C0</v>
      </c>
      <c r="B530" s="1">
        <f>IFERROR(__xludf.DUMMYFUNCTION("""COMPUTED_VALUE"""),1.0)</f>
        <v>1</v>
      </c>
      <c r="C530" s="1">
        <f>IFERROR(__xludf.DUMMYFUNCTION("""COMPUTED_VALUE"""),1.0)</f>
        <v>1</v>
      </c>
      <c r="D530" s="1">
        <f>IFERROR(__xludf.DUMMYFUNCTION("""COMPUTED_VALUE"""),1.0)</f>
        <v>1</v>
      </c>
      <c r="E530" s="1">
        <f>IFERROR(__xludf.DUMMYFUNCTION("""COMPUTED_VALUE"""),0.0)</f>
        <v>0</v>
      </c>
    </row>
    <row r="531">
      <c r="A531" s="1" t="str">
        <f>IFERROR(__xludf.DUMMYFUNCTION("""COMPUTED_VALUE"""),"MAUOAE022X25")</f>
        <v>MAUOAE022X25</v>
      </c>
      <c r="B531" s="1">
        <f>IFERROR(__xludf.DUMMYFUNCTION("""COMPUTED_VALUE"""),46.0)</f>
        <v>46</v>
      </c>
      <c r="C531" s="1">
        <f>IFERROR(__xludf.DUMMYFUNCTION("""COMPUTED_VALUE"""),46.0)</f>
        <v>46</v>
      </c>
      <c r="D531" s="1">
        <f>IFERROR(__xludf.DUMMYFUNCTION("""COMPUTED_VALUE"""),46.0)</f>
        <v>46</v>
      </c>
      <c r="E531" s="1">
        <f>IFERROR(__xludf.DUMMYFUNCTION("""COMPUTED_VALUE"""),0.0)</f>
        <v>0</v>
      </c>
    </row>
    <row r="532">
      <c r="A532" s="1" t="str">
        <f>IFERROR(__xludf.DUMMYFUNCTION("""COMPUTED_VALUE"""),"MAUOAE028x13")</f>
        <v>MAUOAE028x13</v>
      </c>
      <c r="B532" s="1">
        <f>IFERROR(__xludf.DUMMYFUNCTION("""COMPUTED_VALUE"""),36.0)</f>
        <v>36</v>
      </c>
      <c r="C532" s="1">
        <f>IFERROR(__xludf.DUMMYFUNCTION("""COMPUTED_VALUE"""),36.0)</f>
        <v>36</v>
      </c>
      <c r="D532" s="1">
        <f>IFERROR(__xludf.DUMMYFUNCTION("""COMPUTED_VALUE"""),36.0)</f>
        <v>36</v>
      </c>
      <c r="E532" s="1">
        <f>IFERROR(__xludf.DUMMYFUNCTION("""COMPUTED_VALUE"""),0.0)</f>
        <v>0</v>
      </c>
    </row>
    <row r="533">
      <c r="A533" s="1" t="str">
        <f>IFERROR(__xludf.DUMMYFUNCTION("""COMPUTED_VALUE"""),"MAUOAE028x13C0")</f>
        <v>MAUOAE028x13C0</v>
      </c>
      <c r="B533" s="1">
        <f>IFERROR(__xludf.DUMMYFUNCTION("""COMPUTED_VALUE"""),45.0)</f>
        <v>45</v>
      </c>
      <c r="C533" s="1">
        <f>IFERROR(__xludf.DUMMYFUNCTION("""COMPUTED_VALUE"""),45.0)</f>
        <v>45</v>
      </c>
      <c r="D533" s="1">
        <f>IFERROR(__xludf.DUMMYFUNCTION("""COMPUTED_VALUE"""),45.0)</f>
        <v>45</v>
      </c>
      <c r="E533" s="1">
        <f>IFERROR(__xludf.DUMMYFUNCTION("""COMPUTED_VALUE"""),0.0)</f>
        <v>0</v>
      </c>
    </row>
    <row r="534">
      <c r="A534" s="1" t="str">
        <f>IFERROR(__xludf.DUMMYFUNCTION("""COMPUTED_VALUE"""),"MAUOAE028x19C0")</f>
        <v>MAUOAE028x19C0</v>
      </c>
      <c r="B534" s="1">
        <f>IFERROR(__xludf.DUMMYFUNCTION("""COMPUTED_VALUE"""),2.0)</f>
        <v>2</v>
      </c>
      <c r="C534" s="1">
        <f>IFERROR(__xludf.DUMMYFUNCTION("""COMPUTED_VALUE"""),2.0)</f>
        <v>2</v>
      </c>
      <c r="D534" s="1">
        <f>IFERROR(__xludf.DUMMYFUNCTION("""COMPUTED_VALUE"""),2.0)</f>
        <v>2</v>
      </c>
      <c r="E534" s="1">
        <f>IFERROR(__xludf.DUMMYFUNCTION("""COMPUTED_VALUE"""),0.0)</f>
        <v>0</v>
      </c>
    </row>
    <row r="535">
      <c r="A535" s="1" t="str">
        <f>IFERROR(__xludf.DUMMYFUNCTION("""COMPUTED_VALUE"""),"MAUOAE028X25")</f>
        <v>MAUOAE028X25</v>
      </c>
      <c r="B535" s="1">
        <f>IFERROR(__xludf.DUMMYFUNCTION("""COMPUTED_VALUE"""),50.0)</f>
        <v>50</v>
      </c>
      <c r="C535" s="1">
        <f>IFERROR(__xludf.DUMMYFUNCTION("""COMPUTED_VALUE"""),50.0)</f>
        <v>50</v>
      </c>
      <c r="D535" s="1">
        <f>IFERROR(__xludf.DUMMYFUNCTION("""COMPUTED_VALUE"""),50.0)</f>
        <v>50</v>
      </c>
      <c r="E535" s="1">
        <f>IFERROR(__xludf.DUMMYFUNCTION("""COMPUTED_VALUE"""),0.0)</f>
        <v>0</v>
      </c>
    </row>
    <row r="536">
      <c r="A536" s="1" t="str">
        <f>IFERROR(__xludf.DUMMYFUNCTION("""COMPUTED_VALUE"""),"MAUOAE032x13C0")</f>
        <v>MAUOAE032x13C0</v>
      </c>
      <c r="B536" s="1">
        <f>IFERROR(__xludf.DUMMYFUNCTION("""COMPUTED_VALUE"""),5.0)</f>
        <v>5</v>
      </c>
      <c r="C536" s="1">
        <f>IFERROR(__xludf.DUMMYFUNCTION("""COMPUTED_VALUE"""),5.0)</f>
        <v>5</v>
      </c>
      <c r="D536" s="1">
        <f>IFERROR(__xludf.DUMMYFUNCTION("""COMPUTED_VALUE"""),5.0)</f>
        <v>5</v>
      </c>
      <c r="E536" s="1">
        <f>IFERROR(__xludf.DUMMYFUNCTION("""COMPUTED_VALUE"""),0.0)</f>
        <v>0</v>
      </c>
    </row>
    <row r="537">
      <c r="A537" s="1" t="str">
        <f>IFERROR(__xludf.DUMMYFUNCTION("""COMPUTED_VALUE"""),"MAUOAE035X13")</f>
        <v>MAUOAE035X13</v>
      </c>
      <c r="B537" s="1">
        <f>IFERROR(__xludf.DUMMYFUNCTION("""COMPUTED_VALUE"""),33.0)</f>
        <v>33</v>
      </c>
      <c r="C537" s="1">
        <f>IFERROR(__xludf.DUMMYFUNCTION("""COMPUTED_VALUE"""),33.0)</f>
        <v>33</v>
      </c>
      <c r="D537" s="1">
        <f>IFERROR(__xludf.DUMMYFUNCTION("""COMPUTED_VALUE"""),33.0)</f>
        <v>33</v>
      </c>
      <c r="E537" s="1">
        <f>IFERROR(__xludf.DUMMYFUNCTION("""COMPUTED_VALUE"""),0.0)</f>
        <v>0</v>
      </c>
    </row>
    <row r="538">
      <c r="A538" s="1" t="str">
        <f>IFERROR(__xludf.DUMMYFUNCTION("""COMPUTED_VALUE"""),"MAUOAE035x19C0")</f>
        <v>MAUOAE035x19C0</v>
      </c>
      <c r="B538" s="1">
        <f>IFERROR(__xludf.DUMMYFUNCTION("""COMPUTED_VALUE"""),4.0)</f>
        <v>4</v>
      </c>
      <c r="C538" s="1">
        <f>IFERROR(__xludf.DUMMYFUNCTION("""COMPUTED_VALUE"""),4.0)</f>
        <v>4</v>
      </c>
      <c r="D538" s="1">
        <f>IFERROR(__xludf.DUMMYFUNCTION("""COMPUTED_VALUE"""),4.0)</f>
        <v>4</v>
      </c>
      <c r="E538" s="1">
        <f>IFERROR(__xludf.DUMMYFUNCTION("""COMPUTED_VALUE"""),0.0)</f>
        <v>0</v>
      </c>
    </row>
    <row r="539">
      <c r="A539" s="1" t="str">
        <f>IFERROR(__xludf.DUMMYFUNCTION("""COMPUTED_VALUE"""),"MAUOAE042x13")</f>
        <v>MAUOAE042x13</v>
      </c>
      <c r="B539" s="1">
        <f>IFERROR(__xludf.DUMMYFUNCTION("""COMPUTED_VALUE"""),43.0)</f>
        <v>43</v>
      </c>
      <c r="C539" s="1">
        <f>IFERROR(__xludf.DUMMYFUNCTION("""COMPUTED_VALUE"""),43.0)</f>
        <v>43</v>
      </c>
      <c r="D539" s="1">
        <f>IFERROR(__xludf.DUMMYFUNCTION("""COMPUTED_VALUE"""),43.0)</f>
        <v>43</v>
      </c>
      <c r="E539" s="1">
        <f>IFERROR(__xludf.DUMMYFUNCTION("""COMPUTED_VALUE"""),0.0)</f>
        <v>0</v>
      </c>
    </row>
    <row r="540">
      <c r="A540" s="1" t="str">
        <f>IFERROR(__xludf.DUMMYFUNCTION("""COMPUTED_VALUE"""),"MAUOAE042x19C0")</f>
        <v>MAUOAE042x19C0</v>
      </c>
      <c r="B540" s="1">
        <f>IFERROR(__xludf.DUMMYFUNCTION("""COMPUTED_VALUE"""),4.0)</f>
        <v>4</v>
      </c>
      <c r="C540" s="1">
        <f>IFERROR(__xludf.DUMMYFUNCTION("""COMPUTED_VALUE"""),4.0)</f>
        <v>4</v>
      </c>
      <c r="D540" s="1">
        <f>IFERROR(__xludf.DUMMYFUNCTION("""COMPUTED_VALUE"""),4.0)</f>
        <v>4</v>
      </c>
      <c r="E540" s="1">
        <f>IFERROR(__xludf.DUMMYFUNCTION("""COMPUTED_VALUE"""),0.0)</f>
        <v>0</v>
      </c>
    </row>
    <row r="541">
      <c r="A541" s="1" t="str">
        <f>IFERROR(__xludf.DUMMYFUNCTION("""COMPUTED_VALUE"""),"MAUOAE042x25")</f>
        <v>MAUOAE042x25</v>
      </c>
      <c r="B541" s="1">
        <f>IFERROR(__xludf.DUMMYFUNCTION("""COMPUTED_VALUE"""),47.0)</f>
        <v>47</v>
      </c>
      <c r="C541" s="1">
        <f>IFERROR(__xludf.DUMMYFUNCTION("""COMPUTED_VALUE"""),47.0)</f>
        <v>47</v>
      </c>
      <c r="D541" s="1">
        <f>IFERROR(__xludf.DUMMYFUNCTION("""COMPUTED_VALUE"""),47.0)</f>
        <v>47</v>
      </c>
      <c r="E541" s="1">
        <f>IFERROR(__xludf.DUMMYFUNCTION("""COMPUTED_VALUE"""),0.0)</f>
        <v>0</v>
      </c>
    </row>
    <row r="542">
      <c r="A542" s="1" t="str">
        <f>IFERROR(__xludf.DUMMYFUNCTION("""COMPUTED_VALUE"""),"MAUOAE048x13C0")</f>
        <v>MAUOAE048x13C0</v>
      </c>
      <c r="B542" s="1">
        <f>IFERROR(__xludf.DUMMYFUNCTION("""COMPUTED_VALUE"""),5.0)</f>
        <v>5</v>
      </c>
      <c r="C542" s="1">
        <f>IFERROR(__xludf.DUMMYFUNCTION("""COMPUTED_VALUE"""),5.0)</f>
        <v>5</v>
      </c>
      <c r="D542" s="1">
        <f>IFERROR(__xludf.DUMMYFUNCTION("""COMPUTED_VALUE"""),5.0)</f>
        <v>5</v>
      </c>
      <c r="E542" s="1">
        <f>IFERROR(__xludf.DUMMYFUNCTION("""COMPUTED_VALUE"""),0.0)</f>
        <v>0</v>
      </c>
    </row>
    <row r="543">
      <c r="A543" s="1" t="str">
        <f>IFERROR(__xludf.DUMMYFUNCTION("""COMPUTED_VALUE"""),"MAUOAE060x13")</f>
        <v>MAUOAE060x13</v>
      </c>
      <c r="B543" s="1">
        <f>IFERROR(__xludf.DUMMYFUNCTION("""COMPUTED_VALUE"""),45.0)</f>
        <v>45</v>
      </c>
      <c r="C543" s="1">
        <f>IFERROR(__xludf.DUMMYFUNCTION("""COMPUTED_VALUE"""),46.0)</f>
        <v>46</v>
      </c>
      <c r="D543" s="1">
        <f>IFERROR(__xludf.DUMMYFUNCTION("""COMPUTED_VALUE"""),45.0)</f>
        <v>45</v>
      </c>
      <c r="E543" s="1">
        <f>IFERROR(__xludf.DUMMYFUNCTION("""COMPUTED_VALUE"""),1.0)</f>
        <v>1</v>
      </c>
    </row>
    <row r="544">
      <c r="A544" s="1" t="str">
        <f>IFERROR(__xludf.DUMMYFUNCTION("""COMPUTED_VALUE"""),"MAUOAFRV06X19")</f>
        <v>MAUOAFRV06X19</v>
      </c>
      <c r="B544" s="1">
        <f>IFERROR(__xludf.DUMMYFUNCTION("""COMPUTED_VALUE"""),22.0)</f>
        <v>22</v>
      </c>
      <c r="C544" s="1">
        <f>IFERROR(__xludf.DUMMYFUNCTION("""COMPUTED_VALUE"""),22.0)</f>
        <v>22</v>
      </c>
      <c r="D544" s="1">
        <f>IFERROR(__xludf.DUMMYFUNCTION("""COMPUTED_VALUE"""),22.0)</f>
        <v>22</v>
      </c>
      <c r="E544" s="1">
        <f>IFERROR(__xludf.DUMMYFUNCTION("""COMPUTED_VALUE"""),0.0)</f>
        <v>0</v>
      </c>
    </row>
    <row r="545">
      <c r="A545" s="1" t="str">
        <f>IFERROR(__xludf.DUMMYFUNCTION("""COMPUTED_VALUE"""),"MAUOAFRV10X13")</f>
        <v>MAUOAFRV10X13</v>
      </c>
      <c r="B545" s="1">
        <f>IFERROR(__xludf.DUMMYFUNCTION("""COMPUTED_VALUE"""),35.0)</f>
        <v>35</v>
      </c>
      <c r="C545" s="1">
        <f>IFERROR(__xludf.DUMMYFUNCTION("""COMPUTED_VALUE"""),35.0)</f>
        <v>35</v>
      </c>
      <c r="D545" s="1">
        <f>IFERROR(__xludf.DUMMYFUNCTION("""COMPUTED_VALUE"""),35.0)</f>
        <v>35</v>
      </c>
      <c r="E545" s="1">
        <f>IFERROR(__xludf.DUMMYFUNCTION("""COMPUTED_VALUE"""),0.0)</f>
        <v>0</v>
      </c>
    </row>
    <row r="546">
      <c r="A546" s="1" t="str">
        <f>IFERROR(__xludf.DUMMYFUNCTION("""COMPUTED_VALUE"""),"MAUOAFRV10X19")</f>
        <v>MAUOAFRV10X19</v>
      </c>
      <c r="B546" s="1">
        <f>IFERROR(__xludf.DUMMYFUNCTION("""COMPUTED_VALUE"""),70.0)</f>
        <v>70</v>
      </c>
      <c r="C546" s="1">
        <f>IFERROR(__xludf.DUMMYFUNCTION("""COMPUTED_VALUE"""),70.0)</f>
        <v>70</v>
      </c>
      <c r="D546" s="1">
        <f>IFERROR(__xludf.DUMMYFUNCTION("""COMPUTED_VALUE"""),70.0)</f>
        <v>70</v>
      </c>
      <c r="E546" s="1">
        <f>IFERROR(__xludf.DUMMYFUNCTION("""COMPUTED_VALUE"""),0.0)</f>
        <v>0</v>
      </c>
    </row>
    <row r="547">
      <c r="A547" s="1" t="str">
        <f>IFERROR(__xludf.DUMMYFUNCTION("""COMPUTED_VALUE"""),"MAUOAFRV10X25")</f>
        <v>MAUOAFRV10X25</v>
      </c>
      <c r="B547" s="1">
        <f>IFERROR(__xludf.DUMMYFUNCTION("""COMPUTED_VALUE"""),10.0)</f>
        <v>10</v>
      </c>
      <c r="C547" s="1">
        <f>IFERROR(__xludf.DUMMYFUNCTION("""COMPUTED_VALUE"""),10.0)</f>
        <v>10</v>
      </c>
      <c r="D547" s="1">
        <f>IFERROR(__xludf.DUMMYFUNCTION("""COMPUTED_VALUE"""),10.0)</f>
        <v>10</v>
      </c>
      <c r="E547" s="1">
        <f>IFERROR(__xludf.DUMMYFUNCTION("""COMPUTED_VALUE"""),0.0)</f>
        <v>0</v>
      </c>
    </row>
    <row r="548">
      <c r="A548" s="1" t="str">
        <f>IFERROR(__xludf.DUMMYFUNCTION("""COMPUTED_VALUE"""),"MAUOAFRV12X13")</f>
        <v>MAUOAFRV12X13</v>
      </c>
      <c r="B548" s="1">
        <f>IFERROR(__xludf.DUMMYFUNCTION("""COMPUTED_VALUE"""),31.0)</f>
        <v>31</v>
      </c>
      <c r="C548" s="1">
        <f>IFERROR(__xludf.DUMMYFUNCTION("""COMPUTED_VALUE"""),31.0)</f>
        <v>31</v>
      </c>
      <c r="D548" s="1">
        <f>IFERROR(__xludf.DUMMYFUNCTION("""COMPUTED_VALUE"""),31.0)</f>
        <v>31</v>
      </c>
      <c r="E548" s="1">
        <f>IFERROR(__xludf.DUMMYFUNCTION("""COMPUTED_VALUE"""),0.0)</f>
        <v>0</v>
      </c>
    </row>
    <row r="549">
      <c r="A549" s="1" t="str">
        <f>IFERROR(__xludf.DUMMYFUNCTION("""COMPUTED_VALUE"""),"MAUOAFRV12X19")</f>
        <v>MAUOAFRV12X19</v>
      </c>
      <c r="B549" s="1">
        <f>IFERROR(__xludf.DUMMYFUNCTION("""COMPUTED_VALUE"""),82.0)</f>
        <v>82</v>
      </c>
      <c r="C549" s="1">
        <f>IFERROR(__xludf.DUMMYFUNCTION("""COMPUTED_VALUE"""),82.0)</f>
        <v>82</v>
      </c>
      <c r="D549" s="1">
        <f>IFERROR(__xludf.DUMMYFUNCTION("""COMPUTED_VALUE"""),82.0)</f>
        <v>82</v>
      </c>
      <c r="E549" s="1">
        <f>IFERROR(__xludf.DUMMYFUNCTION("""COMPUTED_VALUE"""),0.0)</f>
        <v>0</v>
      </c>
    </row>
    <row r="550">
      <c r="A550" s="1" t="str">
        <f>IFERROR(__xludf.DUMMYFUNCTION("""COMPUTED_VALUE"""),"MAUOAFRV13X25")</f>
        <v>MAUOAFRV13X25</v>
      </c>
      <c r="B550" s="1">
        <f>IFERROR(__xludf.DUMMYFUNCTION("""COMPUTED_VALUE"""),29.0)</f>
        <v>29</v>
      </c>
      <c r="C550" s="1">
        <f>IFERROR(__xludf.DUMMYFUNCTION("""COMPUTED_VALUE"""),29.0)</f>
        <v>29</v>
      </c>
      <c r="D550" s="1">
        <f>IFERROR(__xludf.DUMMYFUNCTION("""COMPUTED_VALUE"""),29.0)</f>
        <v>29</v>
      </c>
      <c r="E550" s="1">
        <f>IFERROR(__xludf.DUMMYFUNCTION("""COMPUTED_VALUE"""),0.0)</f>
        <v>0</v>
      </c>
    </row>
    <row r="551">
      <c r="A551" s="1" t="str">
        <f>IFERROR(__xludf.DUMMYFUNCTION("""COMPUTED_VALUE"""),"MAUOAFRV15X19")</f>
        <v>MAUOAFRV15X19</v>
      </c>
      <c r="B551" s="1">
        <f>IFERROR(__xludf.DUMMYFUNCTION("""COMPUTED_VALUE"""),22.0)</f>
        <v>22</v>
      </c>
      <c r="C551" s="1">
        <f>IFERROR(__xludf.DUMMYFUNCTION("""COMPUTED_VALUE"""),22.0)</f>
        <v>22</v>
      </c>
      <c r="D551" s="1">
        <f>IFERROR(__xludf.DUMMYFUNCTION("""COMPUTED_VALUE"""),22.0)</f>
        <v>22</v>
      </c>
      <c r="E551" s="1">
        <f>IFERROR(__xludf.DUMMYFUNCTION("""COMPUTED_VALUE"""),0.0)</f>
        <v>0</v>
      </c>
    </row>
    <row r="552">
      <c r="A552" s="1" t="str">
        <f>IFERROR(__xludf.DUMMYFUNCTION("""COMPUTED_VALUE"""),"MAUOAFRV16X13")</f>
        <v>MAUOAFRV16X13</v>
      </c>
      <c r="B552" s="1">
        <f>IFERROR(__xludf.DUMMYFUNCTION("""COMPUTED_VALUE"""),1.0)</f>
        <v>1</v>
      </c>
      <c r="C552" s="1">
        <f>IFERROR(__xludf.DUMMYFUNCTION("""COMPUTED_VALUE"""),1.0)</f>
        <v>1</v>
      </c>
      <c r="D552" s="1">
        <f>IFERROR(__xludf.DUMMYFUNCTION("""COMPUTED_VALUE"""),1.0)</f>
        <v>1</v>
      </c>
      <c r="E552" s="1">
        <f>IFERROR(__xludf.DUMMYFUNCTION("""COMPUTED_VALUE"""),0.0)</f>
        <v>0</v>
      </c>
    </row>
    <row r="553">
      <c r="A553" s="1" t="str">
        <f>IFERROR(__xludf.DUMMYFUNCTION("""COMPUTED_VALUE"""),"MAUOAFRV16X25")</f>
        <v>MAUOAFRV16X25</v>
      </c>
      <c r="B553" s="1">
        <f>IFERROR(__xludf.DUMMYFUNCTION("""COMPUTED_VALUE"""),10.0)</f>
        <v>10</v>
      </c>
      <c r="C553" s="1">
        <f>IFERROR(__xludf.DUMMYFUNCTION("""COMPUTED_VALUE"""),10.0)</f>
        <v>10</v>
      </c>
      <c r="D553" s="1">
        <f>IFERROR(__xludf.DUMMYFUNCTION("""COMPUTED_VALUE"""),10.0)</f>
        <v>10</v>
      </c>
      <c r="E553" s="1">
        <f>IFERROR(__xludf.DUMMYFUNCTION("""COMPUTED_VALUE"""),0.0)</f>
        <v>0</v>
      </c>
    </row>
    <row r="554">
      <c r="A554" s="1" t="str">
        <f>IFERROR(__xludf.DUMMYFUNCTION("""COMPUTED_VALUE"""),"MAUOAFRV20X13")</f>
        <v>MAUOAFRV20X13</v>
      </c>
      <c r="B554" s="1">
        <f>IFERROR(__xludf.DUMMYFUNCTION("""COMPUTED_VALUE"""),47.0)</f>
        <v>47</v>
      </c>
      <c r="C554" s="1">
        <f>IFERROR(__xludf.DUMMYFUNCTION("""COMPUTED_VALUE"""),47.0)</f>
        <v>47</v>
      </c>
      <c r="D554" s="1">
        <f>IFERROR(__xludf.DUMMYFUNCTION("""COMPUTED_VALUE"""),47.0)</f>
        <v>47</v>
      </c>
      <c r="E554" s="1">
        <f>IFERROR(__xludf.DUMMYFUNCTION("""COMPUTED_VALUE"""),0.0)</f>
        <v>0</v>
      </c>
    </row>
    <row r="555">
      <c r="A555" s="1" t="str">
        <f>IFERROR(__xludf.DUMMYFUNCTION("""COMPUTED_VALUE"""),"MAUOAFRV20X19")</f>
        <v>MAUOAFRV20X19</v>
      </c>
      <c r="B555" s="1">
        <f>IFERROR(__xludf.DUMMYFUNCTION("""COMPUTED_VALUE"""),35.0)</f>
        <v>35</v>
      </c>
      <c r="C555" s="1">
        <f>IFERROR(__xludf.DUMMYFUNCTION("""COMPUTED_VALUE"""),35.0)</f>
        <v>35</v>
      </c>
      <c r="D555" s="1">
        <f>IFERROR(__xludf.DUMMYFUNCTION("""COMPUTED_VALUE"""),35.0)</f>
        <v>35</v>
      </c>
      <c r="E555" s="1">
        <f>IFERROR(__xludf.DUMMYFUNCTION("""COMPUTED_VALUE"""),0.0)</f>
        <v>0</v>
      </c>
    </row>
    <row r="556">
      <c r="A556" s="1" t="str">
        <f>IFERROR(__xludf.DUMMYFUNCTION("""COMPUTED_VALUE"""),"MAUOAFRV22X13")</f>
        <v>MAUOAFRV22X13</v>
      </c>
      <c r="B556" s="1">
        <f>IFERROR(__xludf.DUMMYFUNCTION("""COMPUTED_VALUE"""),34.0)</f>
        <v>34</v>
      </c>
      <c r="C556" s="1">
        <f>IFERROR(__xludf.DUMMYFUNCTION("""COMPUTED_VALUE"""),34.0)</f>
        <v>34</v>
      </c>
      <c r="D556" s="1">
        <f>IFERROR(__xludf.DUMMYFUNCTION("""COMPUTED_VALUE"""),34.0)</f>
        <v>34</v>
      </c>
      <c r="E556" s="1">
        <f>IFERROR(__xludf.DUMMYFUNCTION("""COMPUTED_VALUE"""),0.0)</f>
        <v>0</v>
      </c>
    </row>
    <row r="557">
      <c r="A557" s="1" t="str">
        <f>IFERROR(__xludf.DUMMYFUNCTION("""COMPUTED_VALUE"""),"MAUOAFRV22X19")</f>
        <v>MAUOAFRV22X19</v>
      </c>
      <c r="B557" s="1">
        <f>IFERROR(__xludf.DUMMYFUNCTION("""COMPUTED_VALUE"""),35.0)</f>
        <v>35</v>
      </c>
      <c r="C557" s="1">
        <f>IFERROR(__xludf.DUMMYFUNCTION("""COMPUTED_VALUE"""),35.0)</f>
        <v>35</v>
      </c>
      <c r="D557" s="1">
        <f>IFERROR(__xludf.DUMMYFUNCTION("""COMPUTED_VALUE"""),35.0)</f>
        <v>35</v>
      </c>
      <c r="E557" s="1">
        <f>IFERROR(__xludf.DUMMYFUNCTION("""COMPUTED_VALUE"""),0.0)</f>
        <v>0</v>
      </c>
    </row>
    <row r="558">
      <c r="A558" s="1" t="str">
        <f>IFERROR(__xludf.DUMMYFUNCTION("""COMPUTED_VALUE"""),"MAUOAFRV25X25")</f>
        <v>MAUOAFRV25X25</v>
      </c>
      <c r="B558" s="1">
        <f>IFERROR(__xludf.DUMMYFUNCTION("""COMPUTED_VALUE"""),8.0)</f>
        <v>8</v>
      </c>
      <c r="C558" s="1">
        <f>IFERROR(__xludf.DUMMYFUNCTION("""COMPUTED_VALUE"""),8.0)</f>
        <v>8</v>
      </c>
      <c r="D558" s="1">
        <f>IFERROR(__xludf.DUMMYFUNCTION("""COMPUTED_VALUE"""),8.0)</f>
        <v>8</v>
      </c>
      <c r="E558" s="1">
        <f>IFERROR(__xludf.DUMMYFUNCTION("""COMPUTED_VALUE"""),0.0)</f>
        <v>0</v>
      </c>
    </row>
    <row r="559">
      <c r="A559" s="1" t="str">
        <f>IFERROR(__xludf.DUMMYFUNCTION("""COMPUTED_VALUE"""),"MAUOAFRV28X13")</f>
        <v>MAUOAFRV28X13</v>
      </c>
      <c r="B559" s="1">
        <f>IFERROR(__xludf.DUMMYFUNCTION("""COMPUTED_VALUE"""),22.0)</f>
        <v>22</v>
      </c>
      <c r="C559" s="1">
        <f>IFERROR(__xludf.DUMMYFUNCTION("""COMPUTED_VALUE"""),22.0)</f>
        <v>22</v>
      </c>
      <c r="D559" s="1">
        <f>IFERROR(__xludf.DUMMYFUNCTION("""COMPUTED_VALUE"""),22.0)</f>
        <v>22</v>
      </c>
      <c r="E559" s="1">
        <f>IFERROR(__xludf.DUMMYFUNCTION("""COMPUTED_VALUE"""),0.0)</f>
        <v>0</v>
      </c>
    </row>
    <row r="560">
      <c r="A560" s="1" t="str">
        <f>IFERROR(__xludf.DUMMYFUNCTION("""COMPUTED_VALUE"""),"MAUOAFRV28X19")</f>
        <v>MAUOAFRV28X19</v>
      </c>
      <c r="B560" s="1">
        <f>IFERROR(__xludf.DUMMYFUNCTION("""COMPUTED_VALUE"""),30.0)</f>
        <v>30</v>
      </c>
      <c r="C560" s="1">
        <f>IFERROR(__xludf.DUMMYFUNCTION("""COMPUTED_VALUE"""),30.0)</f>
        <v>30</v>
      </c>
      <c r="D560" s="1">
        <f>IFERROR(__xludf.DUMMYFUNCTION("""COMPUTED_VALUE"""),30.0)</f>
        <v>30</v>
      </c>
      <c r="E560" s="1">
        <f>IFERROR(__xludf.DUMMYFUNCTION("""COMPUTED_VALUE"""),0.0)</f>
        <v>0</v>
      </c>
    </row>
    <row r="561">
      <c r="A561" s="1" t="str">
        <f>IFERROR(__xludf.DUMMYFUNCTION("""COMPUTED_VALUE"""),"MAUOAFRV32X25")</f>
        <v>MAUOAFRV32X25</v>
      </c>
      <c r="B561" s="1">
        <f>IFERROR(__xludf.DUMMYFUNCTION("""COMPUTED_VALUE"""),2.0)</f>
        <v>2</v>
      </c>
      <c r="C561" s="1">
        <f>IFERROR(__xludf.DUMMYFUNCTION("""COMPUTED_VALUE"""),2.0)</f>
        <v>2</v>
      </c>
      <c r="D561" s="1">
        <f>IFERROR(__xludf.DUMMYFUNCTION("""COMPUTED_VALUE"""),2.0)</f>
        <v>2</v>
      </c>
      <c r="E561" s="1">
        <f>IFERROR(__xludf.DUMMYFUNCTION("""COMPUTED_VALUE"""),0.0)</f>
        <v>0</v>
      </c>
    </row>
    <row r="562">
      <c r="A562" s="1" t="str">
        <f>IFERROR(__xludf.DUMMYFUNCTION("""COMPUTED_VALUE"""),"MAUOAFRV35X13")</f>
        <v>MAUOAFRV35X13</v>
      </c>
      <c r="B562" s="1">
        <f>IFERROR(__xludf.DUMMYFUNCTION("""COMPUTED_VALUE"""),33.0)</f>
        <v>33</v>
      </c>
      <c r="C562" s="1">
        <f>IFERROR(__xludf.DUMMYFUNCTION("""COMPUTED_VALUE"""),33.0)</f>
        <v>33</v>
      </c>
      <c r="D562" s="1">
        <f>IFERROR(__xludf.DUMMYFUNCTION("""COMPUTED_VALUE"""),33.0)</f>
        <v>33</v>
      </c>
      <c r="E562" s="1">
        <f>IFERROR(__xludf.DUMMYFUNCTION("""COMPUTED_VALUE"""),0.0)</f>
        <v>0</v>
      </c>
    </row>
    <row r="563">
      <c r="A563" s="1" t="str">
        <f>IFERROR(__xludf.DUMMYFUNCTION("""COMPUTED_VALUE"""),"MAUOAFRV35X19")</f>
        <v>MAUOAFRV35X19</v>
      </c>
      <c r="B563" s="1">
        <f>IFERROR(__xludf.DUMMYFUNCTION("""COMPUTED_VALUE"""),34.0)</f>
        <v>34</v>
      </c>
      <c r="C563" s="1">
        <f>IFERROR(__xludf.DUMMYFUNCTION("""COMPUTED_VALUE"""),34.0)</f>
        <v>34</v>
      </c>
      <c r="D563" s="1">
        <f>IFERROR(__xludf.DUMMYFUNCTION("""COMPUTED_VALUE"""),34.0)</f>
        <v>34</v>
      </c>
      <c r="E563" s="1">
        <f>IFERROR(__xludf.DUMMYFUNCTION("""COMPUTED_VALUE"""),0.0)</f>
        <v>0</v>
      </c>
    </row>
    <row r="564">
      <c r="A564" s="1" t="str">
        <f>IFERROR(__xludf.DUMMYFUNCTION("""COMPUTED_VALUE"""),"MAUOAFRV35X25")</f>
        <v>MAUOAFRV35X25</v>
      </c>
      <c r="B564" s="1">
        <f>IFERROR(__xludf.DUMMYFUNCTION("""COMPUTED_VALUE"""),2.0)</f>
        <v>2</v>
      </c>
      <c r="C564" s="1">
        <f>IFERROR(__xludf.DUMMYFUNCTION("""COMPUTED_VALUE"""),2.0)</f>
        <v>2</v>
      </c>
      <c r="D564" s="1">
        <f>IFERROR(__xludf.DUMMYFUNCTION("""COMPUTED_VALUE"""),2.0)</f>
        <v>2</v>
      </c>
      <c r="E564" s="1">
        <f>IFERROR(__xludf.DUMMYFUNCTION("""COMPUTED_VALUE"""),0.0)</f>
        <v>0</v>
      </c>
    </row>
    <row r="565">
      <c r="A565" s="1" t="str">
        <f>IFERROR(__xludf.DUMMYFUNCTION("""COMPUTED_VALUE"""),"MAUOAFRV42X19")</f>
        <v>MAUOAFRV42X19</v>
      </c>
      <c r="B565" s="1">
        <f>IFERROR(__xludf.DUMMYFUNCTION("""COMPUTED_VALUE"""),5.0)</f>
        <v>5</v>
      </c>
      <c r="C565" s="1">
        <f>IFERROR(__xludf.DUMMYFUNCTION("""COMPUTED_VALUE"""),5.0)</f>
        <v>5</v>
      </c>
      <c r="D565" s="1">
        <f>IFERROR(__xludf.DUMMYFUNCTION("""COMPUTED_VALUE"""),5.0)</f>
        <v>5</v>
      </c>
      <c r="E565" s="1">
        <f>IFERROR(__xludf.DUMMYFUNCTION("""COMPUTED_VALUE"""),0.0)</f>
        <v>0</v>
      </c>
    </row>
    <row r="566">
      <c r="A566" s="1" t="str">
        <f>IFERROR(__xludf.DUMMYFUNCTION("""COMPUTED_VALUE"""),"MAUOAFRV48X13")</f>
        <v>MAUOAFRV48X13</v>
      </c>
      <c r="B566" s="1">
        <f>IFERROR(__xludf.DUMMYFUNCTION("""COMPUTED_VALUE"""),39.0)</f>
        <v>39</v>
      </c>
      <c r="C566" s="1">
        <f>IFERROR(__xludf.DUMMYFUNCTION("""COMPUTED_VALUE"""),39.0)</f>
        <v>39</v>
      </c>
      <c r="D566" s="1">
        <f>IFERROR(__xludf.DUMMYFUNCTION("""COMPUTED_VALUE"""),39.0)</f>
        <v>39</v>
      </c>
      <c r="E566" s="1">
        <f>IFERROR(__xludf.DUMMYFUNCTION("""COMPUTED_VALUE"""),0.0)</f>
        <v>0</v>
      </c>
    </row>
    <row r="567">
      <c r="A567" s="1" t="str">
        <f>IFERROR(__xludf.DUMMYFUNCTION("""COMPUTED_VALUE"""),"MAUOAFRV60X10")</f>
        <v>MAUOAFRV60X10</v>
      </c>
      <c r="B567" s="1">
        <f>IFERROR(__xludf.DUMMYFUNCTION("""COMPUTED_VALUE"""),1.0)</f>
        <v>1</v>
      </c>
      <c r="C567" s="1">
        <f>IFERROR(__xludf.DUMMYFUNCTION("""COMPUTED_VALUE"""),1.0)</f>
        <v>1</v>
      </c>
      <c r="D567" s="1">
        <f>IFERROR(__xludf.DUMMYFUNCTION("""COMPUTED_VALUE"""),1.0)</f>
        <v>1</v>
      </c>
      <c r="E567" s="1">
        <f>IFERROR(__xludf.DUMMYFUNCTION("""COMPUTED_VALUE"""),0.0)</f>
        <v>0</v>
      </c>
    </row>
    <row r="568">
      <c r="A568" s="1" t="str">
        <f>IFERROR(__xludf.DUMMYFUNCTION("""COMPUTED_VALUE"""),"MAUOAFRV60X13")</f>
        <v>MAUOAFRV60X13</v>
      </c>
      <c r="B568" s="1">
        <f>IFERROR(__xludf.DUMMYFUNCTION("""COMPUTED_VALUE"""),35.0)</f>
        <v>35</v>
      </c>
      <c r="C568" s="1">
        <f>IFERROR(__xludf.DUMMYFUNCTION("""COMPUTED_VALUE"""),35.0)</f>
        <v>35</v>
      </c>
      <c r="D568" s="1">
        <f>IFERROR(__xludf.DUMMYFUNCTION("""COMPUTED_VALUE"""),35.0)</f>
        <v>35</v>
      </c>
      <c r="E568" s="1">
        <f>IFERROR(__xludf.DUMMYFUNCTION("""COMPUTED_VALUE"""),0.0)</f>
        <v>0</v>
      </c>
    </row>
    <row r="569">
      <c r="A569" s="1" t="str">
        <f>IFERROR(__xludf.DUMMYFUNCTION("""COMPUTED_VALUE"""),"MAUOAMC13X13")</f>
        <v>MAUOAMC13X13</v>
      </c>
      <c r="B569" s="1">
        <f>IFERROR(__xludf.DUMMYFUNCTION("""COMPUTED_VALUE"""),20.0)</f>
        <v>20</v>
      </c>
      <c r="C569" s="1">
        <f>IFERROR(__xludf.DUMMYFUNCTION("""COMPUTED_VALUE"""),20.0)</f>
        <v>20</v>
      </c>
      <c r="D569" s="1">
        <f>IFERROR(__xludf.DUMMYFUNCTION("""COMPUTED_VALUE"""),20.0)</f>
        <v>20</v>
      </c>
      <c r="E569" s="1">
        <f>IFERROR(__xludf.DUMMYFUNCTION("""COMPUTED_VALUE"""),0.0)</f>
        <v>0</v>
      </c>
    </row>
    <row r="570">
      <c r="A570" s="1" t="str">
        <f>IFERROR(__xludf.DUMMYFUNCTION("""COMPUTED_VALUE"""),"MAUOAMC13X19")</f>
        <v>MAUOAMC13X19</v>
      </c>
      <c r="B570" s="1">
        <f>IFERROR(__xludf.DUMMYFUNCTION("""COMPUTED_VALUE"""),3.0)</f>
        <v>3</v>
      </c>
      <c r="C570" s="1">
        <f>IFERROR(__xludf.DUMMYFUNCTION("""COMPUTED_VALUE"""),3.0)</f>
        <v>3</v>
      </c>
      <c r="D570" s="1">
        <f>IFERROR(__xludf.DUMMYFUNCTION("""COMPUTED_VALUE"""),3.0)</f>
        <v>3</v>
      </c>
      <c r="E570" s="1">
        <f>IFERROR(__xludf.DUMMYFUNCTION("""COMPUTED_VALUE"""),0.0)</f>
        <v>0</v>
      </c>
    </row>
    <row r="571">
      <c r="A571" s="1" t="str">
        <f>IFERROR(__xludf.DUMMYFUNCTION("""COMPUTED_VALUE"""),"MAUOAMC16X19")</f>
        <v>MAUOAMC16X19</v>
      </c>
      <c r="B571" s="1">
        <f>IFERROR(__xludf.DUMMYFUNCTION("""COMPUTED_VALUE"""),1.0)</f>
        <v>1</v>
      </c>
      <c r="C571" s="1">
        <f>IFERROR(__xludf.DUMMYFUNCTION("""COMPUTED_VALUE"""),1.0)</f>
        <v>1</v>
      </c>
      <c r="D571" s="1">
        <f>IFERROR(__xludf.DUMMYFUNCTION("""COMPUTED_VALUE"""),1.0)</f>
        <v>1</v>
      </c>
      <c r="E571" s="1">
        <f>IFERROR(__xludf.DUMMYFUNCTION("""COMPUTED_VALUE"""),0.0)</f>
        <v>0</v>
      </c>
    </row>
    <row r="572">
      <c r="A572" s="1" t="str">
        <f>IFERROR(__xludf.DUMMYFUNCTION("""COMPUTED_VALUE"""),"MAUOAMC19x19")</f>
        <v>MAUOAMC19x19</v>
      </c>
      <c r="B572" s="1">
        <f>IFERROR(__xludf.DUMMYFUNCTION("""COMPUTED_VALUE"""),17.0)</f>
        <v>17</v>
      </c>
      <c r="C572" s="1">
        <f>IFERROR(__xludf.DUMMYFUNCTION("""COMPUTED_VALUE"""),17.0)</f>
        <v>17</v>
      </c>
      <c r="D572" s="1">
        <f>IFERROR(__xludf.DUMMYFUNCTION("""COMPUTED_VALUE"""),17.0)</f>
        <v>17</v>
      </c>
      <c r="E572" s="1">
        <f>IFERROR(__xludf.DUMMYFUNCTION("""COMPUTED_VALUE"""),0.0)</f>
        <v>0</v>
      </c>
    </row>
    <row r="573">
      <c r="A573" s="1" t="str">
        <f>IFERROR(__xludf.DUMMYFUNCTION("""COMPUTED_VALUE"""),"MAUOAMC20x13")</f>
        <v>MAUOAMC20x13</v>
      </c>
      <c r="B573" s="1">
        <f>IFERROR(__xludf.DUMMYFUNCTION("""COMPUTED_VALUE"""),17.0)</f>
        <v>17</v>
      </c>
      <c r="C573" s="1">
        <f>IFERROR(__xludf.DUMMYFUNCTION("""COMPUTED_VALUE"""),17.0)</f>
        <v>17</v>
      </c>
      <c r="D573" s="1">
        <f>IFERROR(__xludf.DUMMYFUNCTION("""COMPUTED_VALUE"""),17.0)</f>
        <v>17</v>
      </c>
      <c r="E573" s="1">
        <f>IFERROR(__xludf.DUMMYFUNCTION("""COMPUTED_VALUE"""),0.0)</f>
        <v>0</v>
      </c>
    </row>
    <row r="574">
      <c r="A574" s="1" t="str">
        <f>IFERROR(__xludf.DUMMYFUNCTION("""COMPUTED_VALUE"""),"MAUOAMC22x19")</f>
        <v>MAUOAMC22x19</v>
      </c>
      <c r="B574" s="1">
        <f>IFERROR(__xludf.DUMMYFUNCTION("""COMPUTED_VALUE"""),17.0)</f>
        <v>17</v>
      </c>
      <c r="C574" s="1">
        <f>IFERROR(__xludf.DUMMYFUNCTION("""COMPUTED_VALUE"""),17.0)</f>
        <v>17</v>
      </c>
      <c r="D574" s="1">
        <f>IFERROR(__xludf.DUMMYFUNCTION("""COMPUTED_VALUE"""),17.0)</f>
        <v>17</v>
      </c>
      <c r="E574" s="1">
        <f>IFERROR(__xludf.DUMMYFUNCTION("""COMPUTED_VALUE"""),0.0)</f>
        <v>0</v>
      </c>
    </row>
    <row r="575">
      <c r="A575" s="1" t="str">
        <f>IFERROR(__xludf.DUMMYFUNCTION("""COMPUTED_VALUE"""),"MAUOAMC22x25")</f>
        <v>MAUOAMC22x25</v>
      </c>
      <c r="B575" s="1">
        <f>IFERROR(__xludf.DUMMYFUNCTION("""COMPUTED_VALUE"""),12.0)</f>
        <v>12</v>
      </c>
      <c r="C575" s="1">
        <f>IFERROR(__xludf.DUMMYFUNCTION("""COMPUTED_VALUE"""),12.0)</f>
        <v>12</v>
      </c>
      <c r="D575" s="1">
        <f>IFERROR(__xludf.DUMMYFUNCTION("""COMPUTED_VALUE"""),12.0)</f>
        <v>12</v>
      </c>
      <c r="E575" s="1">
        <f>IFERROR(__xludf.DUMMYFUNCTION("""COMPUTED_VALUE"""),0.0)</f>
        <v>0</v>
      </c>
    </row>
    <row r="576">
      <c r="A576" s="1" t="str">
        <f>IFERROR(__xludf.DUMMYFUNCTION("""COMPUTED_VALUE"""),"MAUOAMC28x10")</f>
        <v>MAUOAMC28x10</v>
      </c>
      <c r="B576" s="1">
        <f>IFERROR(__xludf.DUMMYFUNCTION("""COMPUTED_VALUE"""),14.0)</f>
        <v>14</v>
      </c>
      <c r="C576" s="1">
        <f>IFERROR(__xludf.DUMMYFUNCTION("""COMPUTED_VALUE"""),14.0)</f>
        <v>14</v>
      </c>
      <c r="D576" s="1">
        <f>IFERROR(__xludf.DUMMYFUNCTION("""COMPUTED_VALUE"""),14.0)</f>
        <v>14</v>
      </c>
      <c r="E576" s="1">
        <f>IFERROR(__xludf.DUMMYFUNCTION("""COMPUTED_VALUE"""),0.0)</f>
        <v>0</v>
      </c>
    </row>
    <row r="577">
      <c r="A577" s="1" t="str">
        <f>IFERROR(__xludf.DUMMYFUNCTION("""COMPUTED_VALUE"""),"MAUOAMC28X19")</f>
        <v>MAUOAMC28X19</v>
      </c>
      <c r="B577" s="1">
        <f>IFERROR(__xludf.DUMMYFUNCTION("""COMPUTED_VALUE"""),16.0)</f>
        <v>16</v>
      </c>
      <c r="C577" s="1">
        <f>IFERROR(__xludf.DUMMYFUNCTION("""COMPUTED_VALUE"""),16.0)</f>
        <v>16</v>
      </c>
      <c r="D577" s="1">
        <f>IFERROR(__xludf.DUMMYFUNCTION("""COMPUTED_VALUE"""),16.0)</f>
        <v>16</v>
      </c>
      <c r="E577" s="1">
        <f>IFERROR(__xludf.DUMMYFUNCTION("""COMPUTED_VALUE"""),0.0)</f>
        <v>0</v>
      </c>
    </row>
    <row r="578">
      <c r="A578" s="1" t="str">
        <f>IFERROR(__xludf.DUMMYFUNCTION("""COMPUTED_VALUE"""),"MAUOAMC28x25")</f>
        <v>MAUOAMC28x25</v>
      </c>
      <c r="B578" s="1">
        <f>IFERROR(__xludf.DUMMYFUNCTION("""COMPUTED_VALUE"""),12.0)</f>
        <v>12</v>
      </c>
      <c r="C578" s="1">
        <f>IFERROR(__xludf.DUMMYFUNCTION("""COMPUTED_VALUE"""),12.0)</f>
        <v>12</v>
      </c>
      <c r="D578" s="1">
        <f>IFERROR(__xludf.DUMMYFUNCTION("""COMPUTED_VALUE"""),12.0)</f>
        <v>12</v>
      </c>
      <c r="E578" s="1">
        <f>IFERROR(__xludf.DUMMYFUNCTION("""COMPUTED_VALUE"""),0.0)</f>
        <v>0</v>
      </c>
    </row>
    <row r="579">
      <c r="A579" s="1" t="str">
        <f>IFERROR(__xludf.DUMMYFUNCTION("""COMPUTED_VALUE"""),"MAUOAMC32X19")</f>
        <v>MAUOAMC32X19</v>
      </c>
      <c r="B579" s="1">
        <f>IFERROR(__xludf.DUMMYFUNCTION("""COMPUTED_VALUE"""),9.0)</f>
        <v>9</v>
      </c>
      <c r="C579" s="1">
        <f>IFERROR(__xludf.DUMMYFUNCTION("""COMPUTED_VALUE"""),9.0)</f>
        <v>9</v>
      </c>
      <c r="D579" s="1">
        <f>IFERROR(__xludf.DUMMYFUNCTION("""COMPUTED_VALUE"""),9.0)</f>
        <v>9</v>
      </c>
      <c r="E579" s="1">
        <f>IFERROR(__xludf.DUMMYFUNCTION("""COMPUTED_VALUE"""),0.0)</f>
        <v>0</v>
      </c>
    </row>
    <row r="580">
      <c r="A580" s="1" t="str">
        <f>IFERROR(__xludf.DUMMYFUNCTION("""COMPUTED_VALUE"""),"MAUOAMC35x10")</f>
        <v>MAUOAMC35x10</v>
      </c>
      <c r="B580" s="1">
        <f>IFERROR(__xludf.DUMMYFUNCTION("""COMPUTED_VALUE"""),9.0)</f>
        <v>9</v>
      </c>
      <c r="C580" s="1">
        <f>IFERROR(__xludf.DUMMYFUNCTION("""COMPUTED_VALUE"""),9.0)</f>
        <v>9</v>
      </c>
      <c r="D580" s="1">
        <f>IFERROR(__xludf.DUMMYFUNCTION("""COMPUTED_VALUE"""),9.0)</f>
        <v>9</v>
      </c>
      <c r="E580" s="1">
        <f>IFERROR(__xludf.DUMMYFUNCTION("""COMPUTED_VALUE"""),0.0)</f>
        <v>0</v>
      </c>
    </row>
    <row r="581">
      <c r="A581" s="1" t="str">
        <f>IFERROR(__xludf.DUMMYFUNCTION("""COMPUTED_VALUE"""),"MAUOAMC35X13")</f>
        <v>MAUOAMC35X13</v>
      </c>
      <c r="B581" s="1">
        <f>IFERROR(__xludf.DUMMYFUNCTION("""COMPUTED_VALUE"""),1.0)</f>
        <v>1</v>
      </c>
      <c r="C581" s="1">
        <f>IFERROR(__xludf.DUMMYFUNCTION("""COMPUTED_VALUE"""),1.0)</f>
        <v>1</v>
      </c>
      <c r="D581" s="1">
        <f>IFERROR(__xludf.DUMMYFUNCTION("""COMPUTED_VALUE"""),1.0)</f>
        <v>1</v>
      </c>
      <c r="E581" s="1">
        <f>IFERROR(__xludf.DUMMYFUNCTION("""COMPUTED_VALUE"""),0.0)</f>
        <v>0</v>
      </c>
    </row>
    <row r="582">
      <c r="A582" s="1" t="str">
        <f>IFERROR(__xludf.DUMMYFUNCTION("""COMPUTED_VALUE"""),"MAUOAMC35x25")</f>
        <v>MAUOAMC35x25</v>
      </c>
      <c r="B582" s="1">
        <f>IFERROR(__xludf.DUMMYFUNCTION("""COMPUTED_VALUE"""),13.0)</f>
        <v>13</v>
      </c>
      <c r="C582" s="1">
        <f>IFERROR(__xludf.DUMMYFUNCTION("""COMPUTED_VALUE"""),13.0)</f>
        <v>13</v>
      </c>
      <c r="D582" s="1">
        <f>IFERROR(__xludf.DUMMYFUNCTION("""COMPUTED_VALUE"""),13.0)</f>
        <v>13</v>
      </c>
      <c r="E582" s="1">
        <f>IFERROR(__xludf.DUMMYFUNCTION("""COMPUTED_VALUE"""),0.0)</f>
        <v>0</v>
      </c>
    </row>
    <row r="583">
      <c r="A583" s="1" t="str">
        <f>IFERROR(__xludf.DUMMYFUNCTION("""COMPUTED_VALUE"""),"MAUOAMC42x10")</f>
        <v>MAUOAMC42x10</v>
      </c>
      <c r="B583" s="1">
        <f>IFERROR(__xludf.DUMMYFUNCTION("""COMPUTED_VALUE"""),20.0)</f>
        <v>20</v>
      </c>
      <c r="C583" s="1">
        <f>IFERROR(__xludf.DUMMYFUNCTION("""COMPUTED_VALUE"""),20.0)</f>
        <v>20</v>
      </c>
      <c r="D583" s="1">
        <f>IFERROR(__xludf.DUMMYFUNCTION("""COMPUTED_VALUE"""),20.0)</f>
        <v>20</v>
      </c>
      <c r="E583" s="1">
        <f>IFERROR(__xludf.DUMMYFUNCTION("""COMPUTED_VALUE"""),0.0)</f>
        <v>0</v>
      </c>
    </row>
    <row r="584">
      <c r="A584" s="1" t="str">
        <f>IFERROR(__xludf.DUMMYFUNCTION("""COMPUTED_VALUE"""),"MAUOAMC42x13")</f>
        <v>MAUOAMC42x13</v>
      </c>
      <c r="B584" s="1">
        <f>IFERROR(__xludf.DUMMYFUNCTION("""COMPUTED_VALUE"""),3.0)</f>
        <v>3</v>
      </c>
      <c r="C584" s="1">
        <f>IFERROR(__xludf.DUMMYFUNCTION("""COMPUTED_VALUE"""),3.0)</f>
        <v>3</v>
      </c>
      <c r="D584" s="1">
        <f>IFERROR(__xludf.DUMMYFUNCTION("""COMPUTED_VALUE"""),3.0)</f>
        <v>3</v>
      </c>
      <c r="E584" s="1">
        <f>IFERROR(__xludf.DUMMYFUNCTION("""COMPUTED_VALUE"""),0.0)</f>
        <v>0</v>
      </c>
    </row>
    <row r="585">
      <c r="A585" s="1" t="str">
        <f>IFERROR(__xludf.DUMMYFUNCTION("""COMPUTED_VALUE"""),"MAUOAMC42X19")</f>
        <v>MAUOAMC42X19</v>
      </c>
      <c r="B585" s="1">
        <f>IFERROR(__xludf.DUMMYFUNCTION("""COMPUTED_VALUE"""),2.0)</f>
        <v>2</v>
      </c>
      <c r="C585" s="1">
        <f>IFERROR(__xludf.DUMMYFUNCTION("""COMPUTED_VALUE"""),2.0)</f>
        <v>2</v>
      </c>
      <c r="D585" s="1">
        <f>IFERROR(__xludf.DUMMYFUNCTION("""COMPUTED_VALUE"""),2.0)</f>
        <v>2</v>
      </c>
      <c r="E585" s="1">
        <f>IFERROR(__xludf.DUMMYFUNCTION("""COMPUTED_VALUE"""),0.0)</f>
        <v>0</v>
      </c>
    </row>
    <row r="586">
      <c r="A586" s="1" t="str">
        <f>IFERROR(__xludf.DUMMYFUNCTION("""COMPUTED_VALUE"""),"MAUOAMC42x25")</f>
        <v>MAUOAMC42x25</v>
      </c>
      <c r="B586" s="1">
        <f>IFERROR(__xludf.DUMMYFUNCTION("""COMPUTED_VALUE"""),5.0)</f>
        <v>5</v>
      </c>
      <c r="C586" s="1">
        <f>IFERROR(__xludf.DUMMYFUNCTION("""COMPUTED_VALUE"""),5.0)</f>
        <v>5</v>
      </c>
      <c r="D586" s="1">
        <f>IFERROR(__xludf.DUMMYFUNCTION("""COMPUTED_VALUE"""),5.0)</f>
        <v>5</v>
      </c>
      <c r="E586" s="1">
        <f>IFERROR(__xludf.DUMMYFUNCTION("""COMPUTED_VALUE"""),0.0)</f>
        <v>0</v>
      </c>
    </row>
    <row r="587">
      <c r="A587" s="1" t="str">
        <f>IFERROR(__xludf.DUMMYFUNCTION("""COMPUTED_VALUE"""),"MAUOAMC48x10")</f>
        <v>MAUOAMC48x10</v>
      </c>
      <c r="B587" s="1">
        <f>IFERROR(__xludf.DUMMYFUNCTION("""COMPUTED_VALUE"""),19.0)</f>
        <v>19</v>
      </c>
      <c r="C587" s="1">
        <f>IFERROR(__xludf.DUMMYFUNCTION("""COMPUTED_VALUE"""),19.0)</f>
        <v>19</v>
      </c>
      <c r="D587" s="1">
        <f>IFERROR(__xludf.DUMMYFUNCTION("""COMPUTED_VALUE"""),19.0)</f>
        <v>19</v>
      </c>
      <c r="E587" s="1">
        <f>IFERROR(__xludf.DUMMYFUNCTION("""COMPUTED_VALUE"""),0.0)</f>
        <v>0</v>
      </c>
    </row>
    <row r="588">
      <c r="A588" s="1" t="str">
        <f>IFERROR(__xludf.DUMMYFUNCTION("""COMPUTED_VALUE"""),"MAUOAMC48x13")</f>
        <v>MAUOAMC48x13</v>
      </c>
      <c r="B588" s="1">
        <f>IFERROR(__xludf.DUMMYFUNCTION("""COMPUTED_VALUE"""),4.0)</f>
        <v>4</v>
      </c>
      <c r="C588" s="1">
        <f>IFERROR(__xludf.DUMMYFUNCTION("""COMPUTED_VALUE"""),4.0)</f>
        <v>4</v>
      </c>
      <c r="D588" s="1">
        <f>IFERROR(__xludf.DUMMYFUNCTION("""COMPUTED_VALUE"""),4.0)</f>
        <v>4</v>
      </c>
      <c r="E588" s="1">
        <f>IFERROR(__xludf.DUMMYFUNCTION("""COMPUTED_VALUE"""),0.0)</f>
        <v>0</v>
      </c>
    </row>
    <row r="589">
      <c r="A589" s="1" t="str">
        <f>IFERROR(__xludf.DUMMYFUNCTION("""COMPUTED_VALUE"""),"MAUOGB100")</f>
        <v>MAUOGB100</v>
      </c>
      <c r="B589" s="1">
        <f>IFERROR(__xludf.DUMMYFUNCTION("""COMPUTED_VALUE"""),14.0)</f>
        <v>14</v>
      </c>
      <c r="C589" s="1">
        <f>IFERROR(__xludf.DUMMYFUNCTION("""COMPUTED_VALUE"""),14.0)</f>
        <v>14</v>
      </c>
      <c r="D589" s="1">
        <f>IFERROR(__xludf.DUMMYFUNCTION("""COMPUTED_VALUE"""),14.0)</f>
        <v>14</v>
      </c>
      <c r="E589" s="1">
        <f>IFERROR(__xludf.DUMMYFUNCTION("""COMPUTED_VALUE"""),0.0)</f>
        <v>0</v>
      </c>
    </row>
    <row r="590">
      <c r="A590" s="1" t="str">
        <f>IFERROR(__xludf.DUMMYFUNCTION("""COMPUTED_VALUE"""),"MAUOGB400")</f>
        <v>MAUOGB400</v>
      </c>
      <c r="B590" s="1">
        <f>IFERROR(__xludf.DUMMYFUNCTION("""COMPUTED_VALUE"""),1.0)</f>
        <v>1</v>
      </c>
      <c r="C590" s="1">
        <f>IFERROR(__xludf.DUMMYFUNCTION("""COMPUTED_VALUE"""),1.0)</f>
        <v>1</v>
      </c>
      <c r="D590" s="1">
        <f>IFERROR(__xludf.DUMMYFUNCTION("""COMPUTED_VALUE"""),1.0)</f>
        <v>1</v>
      </c>
      <c r="E590" s="1">
        <f>IFERROR(__xludf.DUMMYFUNCTION("""COMPUTED_VALUE"""),0.0)</f>
        <v>0</v>
      </c>
    </row>
    <row r="591">
      <c r="A591" s="1" t="str">
        <f>IFERROR(__xludf.DUMMYFUNCTION("""COMPUTED_VALUE"""),"MAUOGT100")</f>
        <v>MAUOGT100</v>
      </c>
      <c r="B591" s="1">
        <f>IFERROR(__xludf.DUMMYFUNCTION("""COMPUTED_VALUE"""),4.0)</f>
        <v>4</v>
      </c>
      <c r="C591" s="1">
        <f>IFERROR(__xludf.DUMMYFUNCTION("""COMPUTED_VALUE"""),5.0)</f>
        <v>5</v>
      </c>
      <c r="D591" s="1">
        <f>IFERROR(__xludf.DUMMYFUNCTION("""COMPUTED_VALUE"""),4.0)</f>
        <v>4</v>
      </c>
      <c r="E591" s="1">
        <f>IFERROR(__xludf.DUMMYFUNCTION("""COMPUTED_VALUE"""),1.0)</f>
        <v>1</v>
      </c>
    </row>
    <row r="592">
      <c r="A592" s="1" t="str">
        <f>IFERROR(__xludf.DUMMYFUNCTION("""COMPUTED_VALUE"""),"MAUOGT250")</f>
        <v>MAUOGT250</v>
      </c>
      <c r="B592" s="1">
        <f>IFERROR(__xludf.DUMMYFUNCTION("""COMPUTED_VALUE"""),3.0)</f>
        <v>3</v>
      </c>
      <c r="C592" s="1">
        <f>IFERROR(__xludf.DUMMYFUNCTION("""COMPUTED_VALUE"""),5.0)</f>
        <v>5</v>
      </c>
      <c r="D592" s="1">
        <f>IFERROR(__xludf.DUMMYFUNCTION("""COMPUTED_VALUE"""),3.0)</f>
        <v>3</v>
      </c>
      <c r="E592" s="1">
        <f>IFERROR(__xludf.DUMMYFUNCTION("""COMPUTED_VALUE"""),2.0)</f>
        <v>2</v>
      </c>
    </row>
    <row r="593">
      <c r="A593" s="1" t="str">
        <f>IFERROR(__xludf.DUMMYFUNCTION("""COMPUTED_VALUE"""),"MAUOSUP06X19")</f>
        <v>MAUOSUP06X19</v>
      </c>
      <c r="B593" s="1">
        <f>IFERROR(__xludf.DUMMYFUNCTION("""COMPUTED_VALUE"""),8.0)</f>
        <v>8</v>
      </c>
      <c r="C593" s="1">
        <f>IFERROR(__xludf.DUMMYFUNCTION("""COMPUTED_VALUE"""),40.0)</f>
        <v>40</v>
      </c>
      <c r="D593" s="1">
        <f>IFERROR(__xludf.DUMMYFUNCTION("""COMPUTED_VALUE"""),28.0)</f>
        <v>28</v>
      </c>
      <c r="E593" s="1">
        <f>IFERROR(__xludf.DUMMYFUNCTION("""COMPUTED_VALUE"""),12.0)</f>
        <v>12</v>
      </c>
    </row>
    <row r="594">
      <c r="A594" s="1" t="str">
        <f>IFERROR(__xludf.DUMMYFUNCTION("""COMPUTED_VALUE"""),"MAUOSUP06X19C0")</f>
        <v>MAUOSUP06X19C0</v>
      </c>
      <c r="B594" s="1">
        <f>IFERROR(__xludf.DUMMYFUNCTION("""COMPUTED_VALUE"""),10.0)</f>
        <v>10</v>
      </c>
      <c r="C594" s="1">
        <f>IFERROR(__xludf.DUMMYFUNCTION("""COMPUTED_VALUE"""),10.0)</f>
        <v>10</v>
      </c>
      <c r="D594" s="1">
        <f>IFERROR(__xludf.DUMMYFUNCTION("""COMPUTED_VALUE"""),10.0)</f>
        <v>10</v>
      </c>
      <c r="E594" s="1">
        <f>IFERROR(__xludf.DUMMYFUNCTION("""COMPUTED_VALUE"""),0.0)</f>
        <v>0</v>
      </c>
    </row>
    <row r="595">
      <c r="A595" s="1" t="str">
        <f>IFERROR(__xludf.DUMMYFUNCTION("""COMPUTED_VALUE"""),"MAUOSUP10x19")</f>
        <v>MAUOSUP10x19</v>
      </c>
      <c r="B595" s="1">
        <f>IFERROR(__xludf.DUMMYFUNCTION("""COMPUTED_VALUE"""),14.0)</f>
        <v>14</v>
      </c>
      <c r="C595" s="1">
        <f>IFERROR(__xludf.DUMMYFUNCTION("""COMPUTED_VALUE"""),41.0)</f>
        <v>41</v>
      </c>
      <c r="D595" s="1">
        <f>IFERROR(__xludf.DUMMYFUNCTION("""COMPUTED_VALUE"""),34.0)</f>
        <v>34</v>
      </c>
      <c r="E595" s="1">
        <f>IFERROR(__xludf.DUMMYFUNCTION("""COMPUTED_VALUE"""),7.0)</f>
        <v>7</v>
      </c>
    </row>
    <row r="596">
      <c r="A596" s="1" t="str">
        <f>IFERROR(__xludf.DUMMYFUNCTION("""COMPUTED_VALUE"""),"MAUOSUP10X19C0")</f>
        <v>MAUOSUP10X19C0</v>
      </c>
      <c r="B596" s="1">
        <f>IFERROR(__xludf.DUMMYFUNCTION("""COMPUTED_VALUE"""),7.0)</f>
        <v>7</v>
      </c>
      <c r="C596" s="1">
        <f>IFERROR(__xludf.DUMMYFUNCTION("""COMPUTED_VALUE"""),7.0)</f>
        <v>7</v>
      </c>
      <c r="D596" s="1">
        <f>IFERROR(__xludf.DUMMYFUNCTION("""COMPUTED_VALUE"""),7.0)</f>
        <v>7</v>
      </c>
      <c r="E596" s="1">
        <f>IFERROR(__xludf.DUMMYFUNCTION("""COMPUTED_VALUE"""),0.0)</f>
        <v>0</v>
      </c>
    </row>
    <row r="597">
      <c r="A597" s="1" t="str">
        <f>IFERROR(__xludf.DUMMYFUNCTION("""COMPUTED_VALUE"""),"MAUOSUP10x25")</f>
        <v>MAUOSUP10x25</v>
      </c>
      <c r="B597" s="1">
        <f>IFERROR(__xludf.DUMMYFUNCTION("""COMPUTED_VALUE"""),17.0)</f>
        <v>17</v>
      </c>
      <c r="C597" s="1">
        <f>IFERROR(__xludf.DUMMYFUNCTION("""COMPUTED_VALUE"""),25.0)</f>
        <v>25</v>
      </c>
      <c r="D597" s="1">
        <f>IFERROR(__xludf.DUMMYFUNCTION("""COMPUTED_VALUE"""),17.0)</f>
        <v>17</v>
      </c>
      <c r="E597" s="1">
        <f>IFERROR(__xludf.DUMMYFUNCTION("""COMPUTED_VALUE"""),8.0)</f>
        <v>8</v>
      </c>
    </row>
    <row r="598">
      <c r="A598" s="1" t="str">
        <f>IFERROR(__xludf.DUMMYFUNCTION("""COMPUTED_VALUE"""),"MAUOSUP13x19")</f>
        <v>MAUOSUP13x19</v>
      </c>
      <c r="B598" s="1">
        <f>IFERROR(__xludf.DUMMYFUNCTION("""COMPUTED_VALUE"""),6.0)</f>
        <v>6</v>
      </c>
      <c r="C598" s="1">
        <f>IFERROR(__xludf.DUMMYFUNCTION("""COMPUTED_VALUE"""),34.0)</f>
        <v>34</v>
      </c>
      <c r="D598" s="1">
        <f>IFERROR(__xludf.DUMMYFUNCTION("""COMPUTED_VALUE"""),26.0)</f>
        <v>26</v>
      </c>
      <c r="E598" s="1">
        <f>IFERROR(__xludf.DUMMYFUNCTION("""COMPUTED_VALUE"""),8.0)</f>
        <v>8</v>
      </c>
    </row>
    <row r="599">
      <c r="A599" s="1" t="str">
        <f>IFERROR(__xludf.DUMMYFUNCTION("""COMPUTED_VALUE"""),"MAUOSUP13x19C0")</f>
        <v>MAUOSUP13x19C0</v>
      </c>
      <c r="B599" s="1">
        <f>IFERROR(__xludf.DUMMYFUNCTION("""COMPUTED_VALUE"""),20.0)</f>
        <v>20</v>
      </c>
      <c r="C599" s="1">
        <f>IFERROR(__xludf.DUMMYFUNCTION("""COMPUTED_VALUE"""),20.0)</f>
        <v>20</v>
      </c>
      <c r="D599" s="1">
        <f>IFERROR(__xludf.DUMMYFUNCTION("""COMPUTED_VALUE"""),20.0)</f>
        <v>20</v>
      </c>
      <c r="E599" s="1">
        <f>IFERROR(__xludf.DUMMYFUNCTION("""COMPUTED_VALUE"""),0.0)</f>
        <v>0</v>
      </c>
    </row>
    <row r="600">
      <c r="A600" s="1" t="str">
        <f>IFERROR(__xludf.DUMMYFUNCTION("""COMPUTED_VALUE"""),"MAUOSUP13x25")</f>
        <v>MAUOSUP13x25</v>
      </c>
      <c r="B600" s="1">
        <f>IFERROR(__xludf.DUMMYFUNCTION("""COMPUTED_VALUE"""),16.0)</f>
        <v>16</v>
      </c>
      <c r="C600" s="1">
        <f>IFERROR(__xludf.DUMMYFUNCTION("""COMPUTED_VALUE"""),18.0)</f>
        <v>18</v>
      </c>
      <c r="D600" s="1">
        <f>IFERROR(__xludf.DUMMYFUNCTION("""COMPUTED_VALUE"""),16.0)</f>
        <v>16</v>
      </c>
      <c r="E600" s="1">
        <f>IFERROR(__xludf.DUMMYFUNCTION("""COMPUTED_VALUE"""),2.0)</f>
        <v>2</v>
      </c>
    </row>
    <row r="601">
      <c r="A601" s="1" t="str">
        <f>IFERROR(__xludf.DUMMYFUNCTION("""COMPUTED_VALUE"""),"MAUOSUP16x13")</f>
        <v>MAUOSUP16x13</v>
      </c>
      <c r="B601" s="1">
        <f>IFERROR(__xludf.DUMMYFUNCTION("""COMPUTED_VALUE"""),38.0)</f>
        <v>38</v>
      </c>
      <c r="C601" s="1">
        <f>IFERROR(__xludf.DUMMYFUNCTION("""COMPUTED_VALUE"""),84.0)</f>
        <v>84</v>
      </c>
      <c r="D601" s="1">
        <f>IFERROR(__xludf.DUMMYFUNCTION("""COMPUTED_VALUE"""),68.0)</f>
        <v>68</v>
      </c>
      <c r="E601" s="1">
        <f>IFERROR(__xludf.DUMMYFUNCTION("""COMPUTED_VALUE"""),16.0)</f>
        <v>16</v>
      </c>
    </row>
    <row r="602">
      <c r="A602" s="1" t="str">
        <f>IFERROR(__xludf.DUMMYFUNCTION("""COMPUTED_VALUE"""),"MAUOSUP16x19")</f>
        <v>MAUOSUP16x19</v>
      </c>
      <c r="B602" s="1">
        <f>IFERROR(__xludf.DUMMYFUNCTION("""COMPUTED_VALUE"""),24.0)</f>
        <v>24</v>
      </c>
      <c r="C602" s="1">
        <f>IFERROR(__xludf.DUMMYFUNCTION("""COMPUTED_VALUE"""),44.0)</f>
        <v>44</v>
      </c>
      <c r="D602" s="1">
        <f>IFERROR(__xludf.DUMMYFUNCTION("""COMPUTED_VALUE"""),44.0)</f>
        <v>44</v>
      </c>
      <c r="E602" s="1">
        <f>IFERROR(__xludf.DUMMYFUNCTION("""COMPUTED_VALUE"""),0.0)</f>
        <v>0</v>
      </c>
    </row>
    <row r="603">
      <c r="A603" s="1" t="str">
        <f>IFERROR(__xludf.DUMMYFUNCTION("""COMPUTED_VALUE"""),"MAUOSUP16x19C0")</f>
        <v>MAUOSUP16x19C0</v>
      </c>
      <c r="B603" s="1">
        <f>IFERROR(__xludf.DUMMYFUNCTION("""COMPUTED_VALUE"""),13.0)</f>
        <v>13</v>
      </c>
      <c r="C603" s="1">
        <f>IFERROR(__xludf.DUMMYFUNCTION("""COMPUTED_VALUE"""),13.0)</f>
        <v>13</v>
      </c>
      <c r="D603" s="1">
        <f>IFERROR(__xludf.DUMMYFUNCTION("""COMPUTED_VALUE"""),13.0)</f>
        <v>13</v>
      </c>
      <c r="E603" s="1">
        <f>IFERROR(__xludf.DUMMYFUNCTION("""COMPUTED_VALUE"""),0.0)</f>
        <v>0</v>
      </c>
    </row>
    <row r="604">
      <c r="A604" s="1" t="str">
        <f>IFERROR(__xludf.DUMMYFUNCTION("""COMPUTED_VALUE"""),"MAUOSUP16x25")</f>
        <v>MAUOSUP16x25</v>
      </c>
      <c r="B604" s="1">
        <f>IFERROR(__xludf.DUMMYFUNCTION("""COMPUTED_VALUE"""),21.0)</f>
        <v>21</v>
      </c>
      <c r="C604" s="1">
        <f>IFERROR(__xludf.DUMMYFUNCTION("""COMPUTED_VALUE"""),23.0)</f>
        <v>23</v>
      </c>
      <c r="D604" s="1">
        <f>IFERROR(__xludf.DUMMYFUNCTION("""COMPUTED_VALUE"""),21.0)</f>
        <v>21</v>
      </c>
      <c r="E604" s="1">
        <f>IFERROR(__xludf.DUMMYFUNCTION("""COMPUTED_VALUE"""),2.0)</f>
        <v>2</v>
      </c>
    </row>
    <row r="605">
      <c r="A605" s="1" t="str">
        <f>IFERROR(__xludf.DUMMYFUNCTION("""COMPUTED_VALUE"""),"MAUOSUP19x13")</f>
        <v>MAUOSUP19x13</v>
      </c>
      <c r="B605" s="1">
        <f>IFERROR(__xludf.DUMMYFUNCTION("""COMPUTED_VALUE"""),59.0)</f>
        <v>59</v>
      </c>
      <c r="C605" s="1">
        <f>IFERROR(__xludf.DUMMYFUNCTION("""COMPUTED_VALUE"""),59.0)</f>
        <v>59</v>
      </c>
      <c r="D605" s="1">
        <f>IFERROR(__xludf.DUMMYFUNCTION("""COMPUTED_VALUE"""),59.0)</f>
        <v>59</v>
      </c>
      <c r="E605" s="1">
        <f>IFERROR(__xludf.DUMMYFUNCTION("""COMPUTED_VALUE"""),0.0)</f>
        <v>0</v>
      </c>
    </row>
    <row r="606">
      <c r="A606" s="1" t="str">
        <f>IFERROR(__xludf.DUMMYFUNCTION("""COMPUTED_VALUE"""),"MAUOSUP19x19")</f>
        <v>MAUOSUP19x19</v>
      </c>
      <c r="B606" s="1">
        <f>IFERROR(__xludf.DUMMYFUNCTION("""COMPUTED_VALUE"""),26.0)</f>
        <v>26</v>
      </c>
      <c r="C606" s="1">
        <f>IFERROR(__xludf.DUMMYFUNCTION("""COMPUTED_VALUE"""),61.0)</f>
        <v>61</v>
      </c>
      <c r="D606" s="1">
        <f>IFERROR(__xludf.DUMMYFUNCTION("""COMPUTED_VALUE"""),46.0)</f>
        <v>46</v>
      </c>
      <c r="E606" s="1">
        <f>IFERROR(__xludf.DUMMYFUNCTION("""COMPUTED_VALUE"""),15.0)</f>
        <v>15</v>
      </c>
    </row>
    <row r="607">
      <c r="A607" s="1" t="str">
        <f>IFERROR(__xludf.DUMMYFUNCTION("""COMPUTED_VALUE"""),"MAUOSUP19X19C0")</f>
        <v>MAUOSUP19X19C0</v>
      </c>
      <c r="B607" s="1">
        <f>IFERROR(__xludf.DUMMYFUNCTION("""COMPUTED_VALUE"""),10.0)</f>
        <v>10</v>
      </c>
      <c r="C607" s="1">
        <f>IFERROR(__xludf.DUMMYFUNCTION("""COMPUTED_VALUE"""),10.0)</f>
        <v>10</v>
      </c>
      <c r="D607" s="1">
        <f>IFERROR(__xludf.DUMMYFUNCTION("""COMPUTED_VALUE"""),10.0)</f>
        <v>10</v>
      </c>
      <c r="E607" s="1">
        <f>IFERROR(__xludf.DUMMYFUNCTION("""COMPUTED_VALUE"""),0.0)</f>
        <v>0</v>
      </c>
    </row>
    <row r="608">
      <c r="A608" s="1" t="str">
        <f>IFERROR(__xludf.DUMMYFUNCTION("""COMPUTED_VALUE"""),"MAUOSUP19x25")</f>
        <v>MAUOSUP19x25</v>
      </c>
      <c r="B608" s="1">
        <f>IFERROR(__xludf.DUMMYFUNCTION("""COMPUTED_VALUE"""),18.0)</f>
        <v>18</v>
      </c>
      <c r="C608" s="1">
        <f>IFERROR(__xludf.DUMMYFUNCTION("""COMPUTED_VALUE"""),18.0)</f>
        <v>18</v>
      </c>
      <c r="D608" s="1">
        <f>IFERROR(__xludf.DUMMYFUNCTION("""COMPUTED_VALUE"""),18.0)</f>
        <v>18</v>
      </c>
      <c r="E608" s="1">
        <f>IFERROR(__xludf.DUMMYFUNCTION("""COMPUTED_VALUE"""),0.0)</f>
        <v>0</v>
      </c>
    </row>
    <row r="609">
      <c r="A609" s="1" t="str">
        <f>IFERROR(__xludf.DUMMYFUNCTION("""COMPUTED_VALUE"""),"MAUOSUP22x19")</f>
        <v>MAUOSUP22x19</v>
      </c>
      <c r="B609" s="1">
        <f>IFERROR(__xludf.DUMMYFUNCTION("""COMPUTED_VALUE"""),7.0)</f>
        <v>7</v>
      </c>
      <c r="C609" s="1">
        <f>IFERROR(__xludf.DUMMYFUNCTION("""COMPUTED_VALUE"""),27.0)</f>
        <v>27</v>
      </c>
      <c r="D609" s="1">
        <f>IFERROR(__xludf.DUMMYFUNCTION("""COMPUTED_VALUE"""),7.0)</f>
        <v>7</v>
      </c>
      <c r="E609" s="1">
        <f>IFERROR(__xludf.DUMMYFUNCTION("""COMPUTED_VALUE"""),20.0)</f>
        <v>20</v>
      </c>
    </row>
    <row r="610">
      <c r="A610" s="1" t="str">
        <f>IFERROR(__xludf.DUMMYFUNCTION("""COMPUTED_VALUE"""),"MAUOSUP22X19C0")</f>
        <v>MAUOSUP22X19C0</v>
      </c>
      <c r="B610" s="1">
        <f>IFERROR(__xludf.DUMMYFUNCTION("""COMPUTED_VALUE"""),10.0)</f>
        <v>10</v>
      </c>
      <c r="C610" s="1">
        <f>IFERROR(__xludf.DUMMYFUNCTION("""COMPUTED_VALUE"""),10.0)</f>
        <v>10</v>
      </c>
      <c r="D610" s="1">
        <f>IFERROR(__xludf.DUMMYFUNCTION("""COMPUTED_VALUE"""),10.0)</f>
        <v>10</v>
      </c>
      <c r="E610" s="1">
        <f>IFERROR(__xludf.DUMMYFUNCTION("""COMPUTED_VALUE"""),0.0)</f>
        <v>0</v>
      </c>
    </row>
    <row r="611">
      <c r="A611" s="1" t="str">
        <f>IFERROR(__xludf.DUMMYFUNCTION("""COMPUTED_VALUE"""),"MAUOSUP22x25")</f>
        <v>MAUOSUP22x25</v>
      </c>
      <c r="B611" s="1">
        <f>IFERROR(__xludf.DUMMYFUNCTION("""COMPUTED_VALUE"""),47.0)</f>
        <v>47</v>
      </c>
      <c r="C611" s="1">
        <f>IFERROR(__xludf.DUMMYFUNCTION("""COMPUTED_VALUE"""),66.0)</f>
        <v>66</v>
      </c>
      <c r="D611" s="1">
        <f>IFERROR(__xludf.DUMMYFUNCTION("""COMPUTED_VALUE"""),47.0)</f>
        <v>47</v>
      </c>
      <c r="E611" s="1">
        <f>IFERROR(__xludf.DUMMYFUNCTION("""COMPUTED_VALUE"""),19.0)</f>
        <v>19</v>
      </c>
    </row>
    <row r="612">
      <c r="A612" s="1" t="str">
        <f>IFERROR(__xludf.DUMMYFUNCTION("""COMPUTED_VALUE"""),"MAUOSUP25x13")</f>
        <v>MAUOSUP25x13</v>
      </c>
      <c r="B612" s="1">
        <f>IFERROR(__xludf.DUMMYFUNCTION("""COMPUTED_VALUE"""),20.0)</f>
        <v>20</v>
      </c>
      <c r="C612" s="1">
        <f>IFERROR(__xludf.DUMMYFUNCTION("""COMPUTED_VALUE"""),29.0)</f>
        <v>29</v>
      </c>
      <c r="D612" s="1">
        <f>IFERROR(__xludf.DUMMYFUNCTION("""COMPUTED_VALUE"""),20.0)</f>
        <v>20</v>
      </c>
      <c r="E612" s="1">
        <f>IFERROR(__xludf.DUMMYFUNCTION("""COMPUTED_VALUE"""),9.0)</f>
        <v>9</v>
      </c>
    </row>
    <row r="613">
      <c r="A613" s="1" t="str">
        <f>IFERROR(__xludf.DUMMYFUNCTION("""COMPUTED_VALUE"""),"MAUOSUP28x10")</f>
        <v>MAUOSUP28x10</v>
      </c>
      <c r="B613" s="1">
        <f>IFERROR(__xludf.DUMMYFUNCTION("""COMPUTED_VALUE"""),26.0)</f>
        <v>26</v>
      </c>
      <c r="C613" s="1">
        <f>IFERROR(__xludf.DUMMYFUNCTION("""COMPUTED_VALUE"""),49.0)</f>
        <v>49</v>
      </c>
      <c r="D613" s="1">
        <f>IFERROR(__xludf.DUMMYFUNCTION("""COMPUTED_VALUE"""),26.0)</f>
        <v>26</v>
      </c>
      <c r="E613" s="1">
        <f>IFERROR(__xludf.DUMMYFUNCTION("""COMPUTED_VALUE"""),23.0)</f>
        <v>23</v>
      </c>
    </row>
    <row r="614">
      <c r="A614" s="1" t="str">
        <f>IFERROR(__xludf.DUMMYFUNCTION("""COMPUTED_VALUE"""),"MAUOSUP28x13")</f>
        <v>MAUOSUP28x13</v>
      </c>
      <c r="B614" s="1">
        <f>IFERROR(__xludf.DUMMYFUNCTION("""COMPUTED_VALUE"""),21.0)</f>
        <v>21</v>
      </c>
      <c r="C614" s="1">
        <f>IFERROR(__xludf.DUMMYFUNCTION("""COMPUTED_VALUE"""),25.0)</f>
        <v>25</v>
      </c>
      <c r="D614" s="1">
        <f>IFERROR(__xludf.DUMMYFUNCTION("""COMPUTED_VALUE"""),21.0)</f>
        <v>21</v>
      </c>
      <c r="E614" s="1">
        <f>IFERROR(__xludf.DUMMYFUNCTION("""COMPUTED_VALUE"""),4.0)</f>
        <v>4</v>
      </c>
    </row>
    <row r="615">
      <c r="A615" s="1" t="str">
        <f>IFERROR(__xludf.DUMMYFUNCTION("""COMPUTED_VALUE"""),"MAUOSUP28X13C0")</f>
        <v>MAUOSUP28X13C0</v>
      </c>
      <c r="B615" s="1">
        <f>IFERROR(__xludf.DUMMYFUNCTION("""COMPUTED_VALUE"""),9.0)</f>
        <v>9</v>
      </c>
      <c r="C615" s="1">
        <f>IFERROR(__xludf.DUMMYFUNCTION("""COMPUTED_VALUE"""),9.0)</f>
        <v>9</v>
      </c>
      <c r="D615" s="1">
        <f>IFERROR(__xludf.DUMMYFUNCTION("""COMPUTED_VALUE"""),9.0)</f>
        <v>9</v>
      </c>
      <c r="E615" s="1">
        <f>IFERROR(__xludf.DUMMYFUNCTION("""COMPUTED_VALUE"""),0.0)</f>
        <v>0</v>
      </c>
    </row>
    <row r="616">
      <c r="A616" s="1" t="str">
        <f>IFERROR(__xludf.DUMMYFUNCTION("""COMPUTED_VALUE"""),"MAUOSUP28x19")</f>
        <v>MAUOSUP28x19</v>
      </c>
      <c r="B616" s="1">
        <f>IFERROR(__xludf.DUMMYFUNCTION("""COMPUTED_VALUE"""),12.0)</f>
        <v>12</v>
      </c>
      <c r="C616" s="1">
        <f>IFERROR(__xludf.DUMMYFUNCTION("""COMPUTED_VALUE"""),12.0)</f>
        <v>12</v>
      </c>
      <c r="D616" s="1">
        <f>IFERROR(__xludf.DUMMYFUNCTION("""COMPUTED_VALUE"""),12.0)</f>
        <v>12</v>
      </c>
      <c r="E616" s="1">
        <f>IFERROR(__xludf.DUMMYFUNCTION("""COMPUTED_VALUE"""),0.0)</f>
        <v>0</v>
      </c>
    </row>
    <row r="617">
      <c r="A617" s="1" t="str">
        <f>IFERROR(__xludf.DUMMYFUNCTION("""COMPUTED_VALUE"""),"MAUOSUP28X19C0")</f>
        <v>MAUOSUP28X19C0</v>
      </c>
      <c r="B617" s="1">
        <f>IFERROR(__xludf.DUMMYFUNCTION("""COMPUTED_VALUE"""),10.0)</f>
        <v>10</v>
      </c>
      <c r="C617" s="1">
        <f>IFERROR(__xludf.DUMMYFUNCTION("""COMPUTED_VALUE"""),10.0)</f>
        <v>10</v>
      </c>
      <c r="D617" s="1">
        <f>IFERROR(__xludf.DUMMYFUNCTION("""COMPUTED_VALUE"""),10.0)</f>
        <v>10</v>
      </c>
      <c r="E617" s="1">
        <f>IFERROR(__xludf.DUMMYFUNCTION("""COMPUTED_VALUE"""),0.0)</f>
        <v>0</v>
      </c>
    </row>
    <row r="618">
      <c r="A618" s="1" t="str">
        <f>IFERROR(__xludf.DUMMYFUNCTION("""COMPUTED_VALUE"""),"MAUOSUP28x25")</f>
        <v>MAUOSUP28x25</v>
      </c>
      <c r="B618" s="1">
        <f>IFERROR(__xludf.DUMMYFUNCTION("""COMPUTED_VALUE"""),1.0)</f>
        <v>1</v>
      </c>
      <c r="C618" s="1">
        <f>IFERROR(__xludf.DUMMYFUNCTION("""COMPUTED_VALUE"""),20.0)</f>
        <v>20</v>
      </c>
      <c r="D618" s="1">
        <f>IFERROR(__xludf.DUMMYFUNCTION("""COMPUTED_VALUE"""),1.0)</f>
        <v>1</v>
      </c>
      <c r="E618" s="1">
        <f>IFERROR(__xludf.DUMMYFUNCTION("""COMPUTED_VALUE"""),19.0)</f>
        <v>19</v>
      </c>
    </row>
    <row r="619">
      <c r="A619" s="1" t="str">
        <f>IFERROR(__xludf.DUMMYFUNCTION("""COMPUTED_VALUE"""),"MAUOSUP32x13")</f>
        <v>MAUOSUP32x13</v>
      </c>
      <c r="B619" s="1">
        <f>IFERROR(__xludf.DUMMYFUNCTION("""COMPUTED_VALUE"""),6.0)</f>
        <v>6</v>
      </c>
      <c r="C619" s="1">
        <f>IFERROR(__xludf.DUMMYFUNCTION("""COMPUTED_VALUE"""),14.0)</f>
        <v>14</v>
      </c>
      <c r="D619" s="1">
        <f>IFERROR(__xludf.DUMMYFUNCTION("""COMPUTED_VALUE"""),6.0)</f>
        <v>6</v>
      </c>
      <c r="E619" s="1">
        <f>IFERROR(__xludf.DUMMYFUNCTION("""COMPUTED_VALUE"""),8.0)</f>
        <v>8</v>
      </c>
    </row>
    <row r="620">
      <c r="A620" s="1" t="str">
        <f>IFERROR(__xludf.DUMMYFUNCTION("""COMPUTED_VALUE"""),"MAUOSUP32x38")</f>
        <v>MAUOSUP32x38</v>
      </c>
      <c r="B620" s="1">
        <f>IFERROR(__xludf.DUMMYFUNCTION("""COMPUTED_VALUE"""),2.0)</f>
        <v>2</v>
      </c>
      <c r="C620" s="1">
        <f>IFERROR(__xludf.DUMMYFUNCTION("""COMPUTED_VALUE"""),2.0)</f>
        <v>2</v>
      </c>
      <c r="D620" s="1">
        <f>IFERROR(__xludf.DUMMYFUNCTION("""COMPUTED_VALUE"""),2.0)</f>
        <v>2</v>
      </c>
      <c r="E620" s="1">
        <f>IFERROR(__xludf.DUMMYFUNCTION("""COMPUTED_VALUE"""),0.0)</f>
        <v>0</v>
      </c>
    </row>
    <row r="621">
      <c r="A621" s="1" t="str">
        <f>IFERROR(__xludf.DUMMYFUNCTION("""COMPUTED_VALUE"""),"MAUOSUP35x10")</f>
        <v>MAUOSUP35x10</v>
      </c>
      <c r="B621" s="1">
        <f>IFERROR(__xludf.DUMMYFUNCTION("""COMPUTED_VALUE"""),34.0)</f>
        <v>34</v>
      </c>
      <c r="C621" s="1">
        <f>IFERROR(__xludf.DUMMYFUNCTION("""COMPUTED_VALUE"""),60.0)</f>
        <v>60</v>
      </c>
      <c r="D621" s="1">
        <f>IFERROR(__xludf.DUMMYFUNCTION("""COMPUTED_VALUE"""),34.0)</f>
        <v>34</v>
      </c>
      <c r="E621" s="1">
        <f>IFERROR(__xludf.DUMMYFUNCTION("""COMPUTED_VALUE"""),26.0)</f>
        <v>26</v>
      </c>
    </row>
    <row r="622">
      <c r="A622" s="1" t="str">
        <f>IFERROR(__xludf.DUMMYFUNCTION("""COMPUTED_VALUE"""),"MAUOSUP35x13")</f>
        <v>MAUOSUP35x13</v>
      </c>
      <c r="B622" s="1">
        <f>IFERROR(__xludf.DUMMYFUNCTION("""COMPUTED_VALUE"""),18.0)</f>
        <v>18</v>
      </c>
      <c r="C622" s="1">
        <f>IFERROR(__xludf.DUMMYFUNCTION("""COMPUTED_VALUE"""),35.0)</f>
        <v>35</v>
      </c>
      <c r="D622" s="1">
        <f>IFERROR(__xludf.DUMMYFUNCTION("""COMPUTED_VALUE"""),18.0)</f>
        <v>18</v>
      </c>
      <c r="E622" s="1">
        <f>IFERROR(__xludf.DUMMYFUNCTION("""COMPUTED_VALUE"""),17.0)</f>
        <v>17</v>
      </c>
    </row>
    <row r="623">
      <c r="A623" s="1" t="str">
        <f>IFERROR(__xludf.DUMMYFUNCTION("""COMPUTED_VALUE"""),"MAUOSUP35X13C0")</f>
        <v>MAUOSUP35X13C0</v>
      </c>
      <c r="B623" s="1">
        <f>IFERROR(__xludf.DUMMYFUNCTION("""COMPUTED_VALUE"""),10.0)</f>
        <v>10</v>
      </c>
      <c r="C623" s="1">
        <f>IFERROR(__xludf.DUMMYFUNCTION("""COMPUTED_VALUE"""),10.0)</f>
        <v>10</v>
      </c>
      <c r="D623" s="1">
        <f>IFERROR(__xludf.DUMMYFUNCTION("""COMPUTED_VALUE"""),10.0)</f>
        <v>10</v>
      </c>
      <c r="E623" s="1">
        <f>IFERROR(__xludf.DUMMYFUNCTION("""COMPUTED_VALUE"""),0.0)</f>
        <v>0</v>
      </c>
    </row>
    <row r="624">
      <c r="A624" s="1" t="str">
        <f>IFERROR(__xludf.DUMMYFUNCTION("""COMPUTED_VALUE"""),"MAUOSUP38x13")</f>
        <v>MAUOSUP38x13</v>
      </c>
      <c r="B624" s="1">
        <f>IFERROR(__xludf.DUMMYFUNCTION("""COMPUTED_VALUE"""),20.0)</f>
        <v>20</v>
      </c>
      <c r="C624" s="1">
        <f>IFERROR(__xludf.DUMMYFUNCTION("""COMPUTED_VALUE"""),25.0)</f>
        <v>25</v>
      </c>
      <c r="D624" s="1">
        <f>IFERROR(__xludf.DUMMYFUNCTION("""COMPUTED_VALUE"""),20.0)</f>
        <v>20</v>
      </c>
      <c r="E624" s="1">
        <f>IFERROR(__xludf.DUMMYFUNCTION("""COMPUTED_VALUE"""),5.0)</f>
        <v>5</v>
      </c>
    </row>
    <row r="625">
      <c r="A625" s="1" t="str">
        <f>IFERROR(__xludf.DUMMYFUNCTION("""COMPUTED_VALUE"""),"MAUOSUP38x19")</f>
        <v>MAUOSUP38x19</v>
      </c>
      <c r="B625" s="1">
        <f>IFERROR(__xludf.DUMMYFUNCTION("""COMPUTED_VALUE"""),11.0)</f>
        <v>11</v>
      </c>
      <c r="C625" s="1">
        <f>IFERROR(__xludf.DUMMYFUNCTION("""COMPUTED_VALUE"""),25.0)</f>
        <v>25</v>
      </c>
      <c r="D625" s="1">
        <f>IFERROR(__xludf.DUMMYFUNCTION("""COMPUTED_VALUE"""),11.0)</f>
        <v>11</v>
      </c>
      <c r="E625" s="1">
        <f>IFERROR(__xludf.DUMMYFUNCTION("""COMPUTED_VALUE"""),14.0)</f>
        <v>14</v>
      </c>
    </row>
    <row r="626">
      <c r="A626" s="1" t="str">
        <f>IFERROR(__xludf.DUMMYFUNCTION("""COMPUTED_VALUE"""),"MAUOSUP38x25")</f>
        <v>MAUOSUP38x25</v>
      </c>
      <c r="B626" s="1">
        <f>IFERROR(__xludf.DUMMYFUNCTION("""COMPUTED_VALUE"""),1.0)</f>
        <v>1</v>
      </c>
      <c r="C626" s="1">
        <f>IFERROR(__xludf.DUMMYFUNCTION("""COMPUTED_VALUE"""),1.0)</f>
        <v>1</v>
      </c>
      <c r="D626" s="1">
        <f>IFERROR(__xludf.DUMMYFUNCTION("""COMPUTED_VALUE"""),1.0)</f>
        <v>1</v>
      </c>
      <c r="E626" s="1">
        <f>IFERROR(__xludf.DUMMYFUNCTION("""COMPUTED_VALUE"""),0.0)</f>
        <v>0</v>
      </c>
    </row>
    <row r="627">
      <c r="A627" s="1" t="str">
        <f>IFERROR(__xludf.DUMMYFUNCTION("""COMPUTED_VALUE"""),"MAUOSUP42x10")</f>
        <v>MAUOSUP42x10</v>
      </c>
      <c r="B627" s="1">
        <f>IFERROR(__xludf.DUMMYFUNCTION("""COMPUTED_VALUE"""),56.0)</f>
        <v>56</v>
      </c>
      <c r="C627" s="1">
        <f>IFERROR(__xludf.DUMMYFUNCTION("""COMPUTED_VALUE"""),72.0)</f>
        <v>72</v>
      </c>
      <c r="D627" s="1">
        <f>IFERROR(__xludf.DUMMYFUNCTION("""COMPUTED_VALUE"""),56.0)</f>
        <v>56</v>
      </c>
      <c r="E627" s="1">
        <f>IFERROR(__xludf.DUMMYFUNCTION("""COMPUTED_VALUE"""),16.0)</f>
        <v>16</v>
      </c>
    </row>
    <row r="628">
      <c r="A628" s="1" t="str">
        <f>IFERROR(__xludf.DUMMYFUNCTION("""COMPUTED_VALUE"""),"MAUOSUP42x13")</f>
        <v>MAUOSUP42x13</v>
      </c>
      <c r="B628" s="1">
        <f>IFERROR(__xludf.DUMMYFUNCTION("""COMPUTED_VALUE"""),14.0)</f>
        <v>14</v>
      </c>
      <c r="C628" s="1">
        <f>IFERROR(__xludf.DUMMYFUNCTION("""COMPUTED_VALUE"""),38.0)</f>
        <v>38</v>
      </c>
      <c r="D628" s="1">
        <f>IFERROR(__xludf.DUMMYFUNCTION("""COMPUTED_VALUE"""),14.0)</f>
        <v>14</v>
      </c>
      <c r="E628" s="1">
        <f>IFERROR(__xludf.DUMMYFUNCTION("""COMPUTED_VALUE"""),24.0)</f>
        <v>24</v>
      </c>
    </row>
    <row r="629">
      <c r="A629" s="1" t="str">
        <f>IFERROR(__xludf.DUMMYFUNCTION("""COMPUTED_VALUE"""),"MAUOSUP42x19")</f>
        <v>MAUOSUP42x19</v>
      </c>
      <c r="B629" s="1">
        <f>IFERROR(__xludf.DUMMYFUNCTION("""COMPUTED_VALUE"""),22.0)</f>
        <v>22</v>
      </c>
      <c r="C629" s="1">
        <f>IFERROR(__xludf.DUMMYFUNCTION("""COMPUTED_VALUE"""),46.0)</f>
        <v>46</v>
      </c>
      <c r="D629" s="1">
        <f>IFERROR(__xludf.DUMMYFUNCTION("""COMPUTED_VALUE"""),22.0)</f>
        <v>22</v>
      </c>
      <c r="E629" s="1">
        <f>IFERROR(__xludf.DUMMYFUNCTION("""COMPUTED_VALUE"""),24.0)</f>
        <v>24</v>
      </c>
    </row>
    <row r="630">
      <c r="A630" s="1" t="str">
        <f>IFERROR(__xludf.DUMMYFUNCTION("""COMPUTED_VALUE"""),"MAUOSUP48x10")</f>
        <v>MAUOSUP48x10</v>
      </c>
      <c r="B630" s="1">
        <f>IFERROR(__xludf.DUMMYFUNCTION("""COMPUTED_VALUE"""),40.0)</f>
        <v>40</v>
      </c>
      <c r="C630" s="1">
        <f>IFERROR(__xludf.DUMMYFUNCTION("""COMPUTED_VALUE"""),60.0)</f>
        <v>60</v>
      </c>
      <c r="D630" s="1">
        <f>IFERROR(__xludf.DUMMYFUNCTION("""COMPUTED_VALUE"""),40.0)</f>
        <v>40</v>
      </c>
      <c r="E630" s="1">
        <f>IFERROR(__xludf.DUMMYFUNCTION("""COMPUTED_VALUE"""),20.0)</f>
        <v>20</v>
      </c>
    </row>
    <row r="631">
      <c r="A631" s="1" t="str">
        <f>IFERROR(__xludf.DUMMYFUNCTION("""COMPUTED_VALUE"""),"MAUOSUP48x13")</f>
        <v>MAUOSUP48x13</v>
      </c>
      <c r="B631" s="1">
        <f>IFERROR(__xludf.DUMMYFUNCTION("""COMPUTED_VALUE"""),40.0)</f>
        <v>40</v>
      </c>
      <c r="C631" s="1">
        <f>IFERROR(__xludf.DUMMYFUNCTION("""COMPUTED_VALUE"""),64.0)</f>
        <v>64</v>
      </c>
      <c r="D631" s="1">
        <f>IFERROR(__xludf.DUMMYFUNCTION("""COMPUTED_VALUE"""),40.0)</f>
        <v>40</v>
      </c>
      <c r="E631" s="1">
        <f>IFERROR(__xludf.DUMMYFUNCTION("""COMPUTED_VALUE"""),24.0)</f>
        <v>24</v>
      </c>
    </row>
    <row r="632">
      <c r="A632" s="1" t="str">
        <f>IFERROR(__xludf.DUMMYFUNCTION("""COMPUTED_VALUE"""),"MAUOSUP48X13C0")</f>
        <v>MAUOSUP48X13C0</v>
      </c>
      <c r="B632" s="1">
        <f>IFERROR(__xludf.DUMMYFUNCTION("""COMPUTED_VALUE"""),9.0)</f>
        <v>9</v>
      </c>
      <c r="C632" s="1">
        <f>IFERROR(__xludf.DUMMYFUNCTION("""COMPUTED_VALUE"""),9.0)</f>
        <v>9</v>
      </c>
      <c r="D632" s="1">
        <f>IFERROR(__xludf.DUMMYFUNCTION("""COMPUTED_VALUE"""),9.0)</f>
        <v>9</v>
      </c>
      <c r="E632" s="1">
        <f>IFERROR(__xludf.DUMMYFUNCTION("""COMPUTED_VALUE"""),0.0)</f>
        <v>0</v>
      </c>
    </row>
    <row r="633">
      <c r="A633" s="1" t="str">
        <f>IFERROR(__xludf.DUMMYFUNCTION("""COMPUTED_VALUE"""),"MAUOSUP48x19")</f>
        <v>MAUOSUP48x19</v>
      </c>
      <c r="B633" s="1">
        <f>IFERROR(__xludf.DUMMYFUNCTION("""COMPUTED_VALUE"""),2.0)</f>
        <v>2</v>
      </c>
      <c r="C633" s="1">
        <f>IFERROR(__xludf.DUMMYFUNCTION("""COMPUTED_VALUE"""),2.0)</f>
        <v>2</v>
      </c>
      <c r="D633" s="1">
        <f>IFERROR(__xludf.DUMMYFUNCTION("""COMPUTED_VALUE"""),2.0)</f>
        <v>2</v>
      </c>
      <c r="E633" s="1">
        <f>IFERROR(__xludf.DUMMYFUNCTION("""COMPUTED_VALUE"""),0.0)</f>
        <v>0</v>
      </c>
    </row>
    <row r="634">
      <c r="A634" s="1" t="str">
        <f>IFERROR(__xludf.DUMMYFUNCTION("""COMPUTED_VALUE"""),"MAUOSUP48x38")</f>
        <v>MAUOSUP48x38</v>
      </c>
      <c r="B634" s="1">
        <f>IFERROR(__xludf.DUMMYFUNCTION("""COMPUTED_VALUE"""),1.0)</f>
        <v>1</v>
      </c>
      <c r="C634" s="1">
        <f>IFERROR(__xludf.DUMMYFUNCTION("""COMPUTED_VALUE"""),1.0)</f>
        <v>1</v>
      </c>
      <c r="D634" s="1">
        <f>IFERROR(__xludf.DUMMYFUNCTION("""COMPUTED_VALUE"""),1.0)</f>
        <v>1</v>
      </c>
      <c r="E634" s="1">
        <f>IFERROR(__xludf.DUMMYFUNCTION("""COMPUTED_VALUE"""),0.0)</f>
        <v>0</v>
      </c>
    </row>
    <row r="635">
      <c r="A635" s="1" t="str">
        <f>IFERROR(__xludf.DUMMYFUNCTION("""COMPUTED_VALUE"""),"MAUOSUP54x19")</f>
        <v>MAUOSUP54x19</v>
      </c>
      <c r="B635" s="1">
        <f>IFERROR(__xludf.DUMMYFUNCTION("""COMPUTED_VALUE"""),28.0)</f>
        <v>28</v>
      </c>
      <c r="C635" s="1">
        <f>IFERROR(__xludf.DUMMYFUNCTION("""COMPUTED_VALUE"""),42.0)</f>
        <v>42</v>
      </c>
      <c r="D635" s="1">
        <f>IFERROR(__xludf.DUMMYFUNCTION("""COMPUTED_VALUE"""),28.0)</f>
        <v>28</v>
      </c>
      <c r="E635" s="1">
        <f>IFERROR(__xludf.DUMMYFUNCTION("""COMPUTED_VALUE"""),14.0)</f>
        <v>14</v>
      </c>
    </row>
    <row r="636">
      <c r="A636" s="1" t="str">
        <f>IFERROR(__xludf.DUMMYFUNCTION("""COMPUTED_VALUE"""),"MAUOSUP60x10")</f>
        <v>MAUOSUP60x10</v>
      </c>
      <c r="B636" s="1">
        <f>IFERROR(__xludf.DUMMYFUNCTION("""COMPUTED_VALUE"""),14.0)</f>
        <v>14</v>
      </c>
      <c r="C636" s="1">
        <f>IFERROR(__xludf.DUMMYFUNCTION("""COMPUTED_VALUE"""),30.0)</f>
        <v>30</v>
      </c>
      <c r="D636" s="1">
        <f>IFERROR(__xludf.DUMMYFUNCTION("""COMPUTED_VALUE"""),14.0)</f>
        <v>14</v>
      </c>
      <c r="E636" s="1">
        <f>IFERROR(__xludf.DUMMYFUNCTION("""COMPUTED_VALUE"""),16.0)</f>
        <v>16</v>
      </c>
    </row>
    <row r="637">
      <c r="A637" s="1" t="str">
        <f>IFERROR(__xludf.DUMMYFUNCTION("""COMPUTED_VALUE"""),"MAUOSUP60x13")</f>
        <v>MAUOSUP60x13</v>
      </c>
      <c r="B637" s="1">
        <f>IFERROR(__xludf.DUMMYFUNCTION("""COMPUTED_VALUE"""),2.0)</f>
        <v>2</v>
      </c>
      <c r="C637" s="1">
        <f>IFERROR(__xludf.DUMMYFUNCTION("""COMPUTED_VALUE"""),39.0)</f>
        <v>39</v>
      </c>
      <c r="D637" s="1">
        <f>IFERROR(__xludf.DUMMYFUNCTION("""COMPUTED_VALUE"""),22.0)</f>
        <v>22</v>
      </c>
      <c r="E637" s="1">
        <f>IFERROR(__xludf.DUMMYFUNCTION("""COMPUTED_VALUE"""),17.0)</f>
        <v>17</v>
      </c>
    </row>
    <row r="638">
      <c r="A638" s="1" t="str">
        <f>IFERROR(__xludf.DUMMYFUNCTION("""COMPUTED_VALUE"""),"MAUOSUP60x38")</f>
        <v>MAUOSUP60x38</v>
      </c>
      <c r="B638" s="1">
        <f>IFERROR(__xludf.DUMMYFUNCTION("""COMPUTED_VALUE"""),1.0)</f>
        <v>1</v>
      </c>
      <c r="C638" s="1">
        <f>IFERROR(__xludf.DUMMYFUNCTION("""COMPUTED_VALUE"""),1.0)</f>
        <v>1</v>
      </c>
      <c r="D638" s="1">
        <f>IFERROR(__xludf.DUMMYFUNCTION("""COMPUTED_VALUE"""),1.0)</f>
        <v>1</v>
      </c>
      <c r="E638" s="1">
        <f>IFERROR(__xludf.DUMMYFUNCTION("""COMPUTED_VALUE"""),0.0)</f>
        <v>0</v>
      </c>
    </row>
    <row r="639">
      <c r="A639" s="1" t="str">
        <f>IFERROR(__xludf.DUMMYFUNCTION("""COMPUTED_VALUE"""),"MAUOSUP76x10")</f>
        <v>MAUOSUP76x10</v>
      </c>
      <c r="B639" s="1">
        <f>IFERROR(__xludf.DUMMYFUNCTION("""COMPUTED_VALUE"""),34.0)</f>
        <v>34</v>
      </c>
      <c r="C639" s="1">
        <f>IFERROR(__xludf.DUMMYFUNCTION("""COMPUTED_VALUE"""),34.0)</f>
        <v>34</v>
      </c>
      <c r="D639" s="1">
        <f>IFERROR(__xludf.DUMMYFUNCTION("""COMPUTED_VALUE"""),34.0)</f>
        <v>34</v>
      </c>
      <c r="E639" s="1">
        <f>IFERROR(__xludf.DUMMYFUNCTION("""COMPUTED_VALUE"""),0.0)</f>
        <v>0</v>
      </c>
    </row>
    <row r="640">
      <c r="A640" s="1" t="str">
        <f>IFERROR(__xludf.DUMMYFUNCTION("""COMPUTED_VALUE"""),"MAUOSUP89x10")</f>
        <v>MAUOSUP89x10</v>
      </c>
      <c r="B640" s="1">
        <f>IFERROR(__xludf.DUMMYFUNCTION("""COMPUTED_VALUE"""),49.0)</f>
        <v>49</v>
      </c>
      <c r="C640" s="1">
        <f>IFERROR(__xludf.DUMMYFUNCTION("""COMPUTED_VALUE"""),49.0)</f>
        <v>49</v>
      </c>
      <c r="D640" s="1">
        <f>IFERROR(__xludf.DUMMYFUNCTION("""COMPUTED_VALUE"""),49.0)</f>
        <v>49</v>
      </c>
      <c r="E640" s="1">
        <f>IFERROR(__xludf.DUMMYFUNCTION("""COMPUTED_VALUE"""),0.0)</f>
        <v>0</v>
      </c>
    </row>
    <row r="641">
      <c r="A641" s="1" t="str">
        <f>IFERROR(__xludf.DUMMYFUNCTION("""COMPUTED_VALUE"""),"MAUOSUPVN06X25")</f>
        <v>MAUOSUPVN06X25</v>
      </c>
      <c r="B641" s="1">
        <f>IFERROR(__xludf.DUMMYFUNCTION("""COMPUTED_VALUE"""),3.0)</f>
        <v>3</v>
      </c>
      <c r="C641" s="1">
        <f>IFERROR(__xludf.DUMMYFUNCTION("""COMPUTED_VALUE"""),3.0)</f>
        <v>3</v>
      </c>
      <c r="D641" s="1">
        <f>IFERROR(__xludf.DUMMYFUNCTION("""COMPUTED_VALUE"""),3.0)</f>
        <v>3</v>
      </c>
      <c r="E641" s="1">
        <f>IFERROR(__xludf.DUMMYFUNCTION("""COMPUTED_VALUE"""),0.0)</f>
        <v>0</v>
      </c>
    </row>
    <row r="642">
      <c r="A642" s="1" t="str">
        <f>IFERROR(__xludf.DUMMYFUNCTION("""COMPUTED_VALUE"""),"MAUOSUPVN10x13")</f>
        <v>MAUOSUPVN10x13</v>
      </c>
      <c r="B642" s="1">
        <f>IFERROR(__xludf.DUMMYFUNCTION("""COMPUTED_VALUE"""),30.0)</f>
        <v>30</v>
      </c>
      <c r="C642" s="1">
        <f>IFERROR(__xludf.DUMMYFUNCTION("""COMPUTED_VALUE"""),51.0)</f>
        <v>51</v>
      </c>
      <c r="D642" s="1">
        <f>IFERROR(__xludf.DUMMYFUNCTION("""COMPUTED_VALUE"""),30.0)</f>
        <v>30</v>
      </c>
      <c r="E642" s="1">
        <f>IFERROR(__xludf.DUMMYFUNCTION("""COMPUTED_VALUE"""),21.0)</f>
        <v>21</v>
      </c>
    </row>
    <row r="643">
      <c r="A643" s="1" t="str">
        <f>IFERROR(__xludf.DUMMYFUNCTION("""COMPUTED_VALUE"""),"MAUOSUPVN114x10")</f>
        <v>MAUOSUPVN114x10</v>
      </c>
      <c r="B643" s="1">
        <f>IFERROR(__xludf.DUMMYFUNCTION("""COMPUTED_VALUE"""),5.0)</f>
        <v>5</v>
      </c>
      <c r="C643" s="1">
        <f>IFERROR(__xludf.DUMMYFUNCTION("""COMPUTED_VALUE"""),5.0)</f>
        <v>5</v>
      </c>
      <c r="D643" s="1">
        <f>IFERROR(__xludf.DUMMYFUNCTION("""COMPUTED_VALUE"""),5.0)</f>
        <v>5</v>
      </c>
      <c r="E643" s="1">
        <f>IFERROR(__xludf.DUMMYFUNCTION("""COMPUTED_VALUE"""),0.0)</f>
        <v>0</v>
      </c>
    </row>
    <row r="644">
      <c r="A644" s="1" t="str">
        <f>IFERROR(__xludf.DUMMYFUNCTION("""COMPUTED_VALUE"""),"MAUOSUPVN114x32")</f>
        <v>MAUOSUPVN114x32</v>
      </c>
      <c r="B644" s="1">
        <f>IFERROR(__xludf.DUMMYFUNCTION("""COMPUTED_VALUE"""),8.0)</f>
        <v>8</v>
      </c>
      <c r="C644" s="1">
        <f>IFERROR(__xludf.DUMMYFUNCTION("""COMPUTED_VALUE"""),8.0)</f>
        <v>8</v>
      </c>
      <c r="D644" s="1">
        <f>IFERROR(__xludf.DUMMYFUNCTION("""COMPUTED_VALUE"""),8.0)</f>
        <v>8</v>
      </c>
      <c r="E644" s="1">
        <f>IFERROR(__xludf.DUMMYFUNCTION("""COMPUTED_VALUE"""),0.0)</f>
        <v>0</v>
      </c>
    </row>
    <row r="645">
      <c r="A645" s="1" t="str">
        <f>IFERROR(__xludf.DUMMYFUNCTION("""COMPUTED_VALUE"""),"MAUOSUPVN13x13")</f>
        <v>MAUOSUPVN13x13</v>
      </c>
      <c r="B645" s="1">
        <f>IFERROR(__xludf.DUMMYFUNCTION("""COMPUTED_VALUE"""),29.0)</f>
        <v>29</v>
      </c>
      <c r="C645" s="1">
        <f>IFERROR(__xludf.DUMMYFUNCTION("""COMPUTED_VALUE"""),54.0)</f>
        <v>54</v>
      </c>
      <c r="D645" s="1">
        <f>IFERROR(__xludf.DUMMYFUNCTION("""COMPUTED_VALUE"""),29.0)</f>
        <v>29</v>
      </c>
      <c r="E645" s="1">
        <f>IFERROR(__xludf.DUMMYFUNCTION("""COMPUTED_VALUE"""),25.0)</f>
        <v>25</v>
      </c>
    </row>
    <row r="646">
      <c r="A646" s="1" t="str">
        <f>IFERROR(__xludf.DUMMYFUNCTION("""COMPUTED_VALUE"""),"MAUOSUPVN13X25")</f>
        <v>MAUOSUPVN13X25</v>
      </c>
      <c r="B646" s="1">
        <f>IFERROR(__xludf.DUMMYFUNCTION("""COMPUTED_VALUE"""),3.0)</f>
        <v>3</v>
      </c>
      <c r="C646" s="1">
        <f>IFERROR(__xludf.DUMMYFUNCTION("""COMPUTED_VALUE"""),5.0)</f>
        <v>5</v>
      </c>
      <c r="D646" s="1">
        <f>IFERROR(__xludf.DUMMYFUNCTION("""COMPUTED_VALUE"""),3.0)</f>
        <v>3</v>
      </c>
      <c r="E646" s="1">
        <f>IFERROR(__xludf.DUMMYFUNCTION("""COMPUTED_VALUE"""),2.0)</f>
        <v>2</v>
      </c>
    </row>
    <row r="647">
      <c r="A647" s="1" t="str">
        <f>IFERROR(__xludf.DUMMYFUNCTION("""COMPUTED_VALUE"""),"MAUOSUPVN140x32")</f>
        <v>MAUOSUPVN140x32</v>
      </c>
      <c r="B647" s="1">
        <f>IFERROR(__xludf.DUMMYFUNCTION("""COMPUTED_VALUE"""),2.0)</f>
        <v>2</v>
      </c>
      <c r="C647" s="1">
        <f>IFERROR(__xludf.DUMMYFUNCTION("""COMPUTED_VALUE"""),2.0)</f>
        <v>2</v>
      </c>
      <c r="D647" s="1">
        <f>IFERROR(__xludf.DUMMYFUNCTION("""COMPUTED_VALUE"""),2.0)</f>
        <v>2</v>
      </c>
      <c r="E647" s="1">
        <f>IFERROR(__xludf.DUMMYFUNCTION("""COMPUTED_VALUE"""),0.0)</f>
        <v>0</v>
      </c>
    </row>
    <row r="648">
      <c r="A648" s="1" t="str">
        <f>IFERROR(__xludf.DUMMYFUNCTION("""COMPUTED_VALUE"""),"MAUOSUPVN16x13")</f>
        <v>MAUOSUPVN16x13</v>
      </c>
      <c r="B648" s="1">
        <f>IFERROR(__xludf.DUMMYFUNCTION("""COMPUTED_VALUE"""),30.0)</f>
        <v>30</v>
      </c>
      <c r="C648" s="1">
        <f>IFERROR(__xludf.DUMMYFUNCTION("""COMPUTED_VALUE"""),51.0)</f>
        <v>51</v>
      </c>
      <c r="D648" s="1">
        <f>IFERROR(__xludf.DUMMYFUNCTION("""COMPUTED_VALUE"""),30.0)</f>
        <v>30</v>
      </c>
      <c r="E648" s="1">
        <f>IFERROR(__xludf.DUMMYFUNCTION("""COMPUTED_VALUE"""),21.0)</f>
        <v>21</v>
      </c>
    </row>
    <row r="649">
      <c r="A649" s="1" t="str">
        <f>IFERROR(__xludf.DUMMYFUNCTION("""COMPUTED_VALUE"""),"MAUOSUPVN16x19")</f>
        <v>MAUOSUPVN16x19</v>
      </c>
      <c r="B649" s="1">
        <f>IFERROR(__xludf.DUMMYFUNCTION("""COMPUTED_VALUE"""),13.0)</f>
        <v>13</v>
      </c>
      <c r="C649" s="1">
        <f>IFERROR(__xludf.DUMMYFUNCTION("""COMPUTED_VALUE"""),13.0)</f>
        <v>13</v>
      </c>
      <c r="D649" s="1">
        <f>IFERROR(__xludf.DUMMYFUNCTION("""COMPUTED_VALUE"""),13.0)</f>
        <v>13</v>
      </c>
      <c r="E649" s="1">
        <f>IFERROR(__xludf.DUMMYFUNCTION("""COMPUTED_VALUE"""),0.0)</f>
        <v>0</v>
      </c>
    </row>
    <row r="650">
      <c r="A650" s="1" t="str">
        <f>IFERROR(__xludf.DUMMYFUNCTION("""COMPUTED_VALUE"""),"MAUOSUPVN16X32")</f>
        <v>MAUOSUPVN16X32</v>
      </c>
      <c r="B650" s="1">
        <f>IFERROR(__xludf.DUMMYFUNCTION("""COMPUTED_VALUE"""),7.0)</f>
        <v>7</v>
      </c>
      <c r="C650" s="1">
        <f>IFERROR(__xludf.DUMMYFUNCTION("""COMPUTED_VALUE"""),7.0)</f>
        <v>7</v>
      </c>
      <c r="D650" s="1">
        <f>IFERROR(__xludf.DUMMYFUNCTION("""COMPUTED_VALUE"""),7.0)</f>
        <v>7</v>
      </c>
      <c r="E650" s="1">
        <f>IFERROR(__xludf.DUMMYFUNCTION("""COMPUTED_VALUE"""),0.0)</f>
        <v>0</v>
      </c>
    </row>
    <row r="651">
      <c r="A651" s="1" t="str">
        <f>IFERROR(__xludf.DUMMYFUNCTION("""COMPUTED_VALUE"""),"MAUOSUPVN19x19")</f>
        <v>MAUOSUPVN19x19</v>
      </c>
      <c r="B651" s="1">
        <f>IFERROR(__xludf.DUMMYFUNCTION("""COMPUTED_VALUE"""),3.0)</f>
        <v>3</v>
      </c>
      <c r="C651" s="1">
        <f>IFERROR(__xludf.DUMMYFUNCTION("""COMPUTED_VALUE"""),12.0)</f>
        <v>12</v>
      </c>
      <c r="D651" s="1">
        <f>IFERROR(__xludf.DUMMYFUNCTION("""COMPUTED_VALUE"""),3.0)</f>
        <v>3</v>
      </c>
      <c r="E651" s="1">
        <f>IFERROR(__xludf.DUMMYFUNCTION("""COMPUTED_VALUE"""),9.0)</f>
        <v>9</v>
      </c>
    </row>
    <row r="652">
      <c r="A652" s="1" t="str">
        <f>IFERROR(__xludf.DUMMYFUNCTION("""COMPUTED_VALUE"""),"MAUOSUPVN19X32")</f>
        <v>MAUOSUPVN19X32</v>
      </c>
      <c r="B652" s="1">
        <f>IFERROR(__xludf.DUMMYFUNCTION("""COMPUTED_VALUE"""),3.0)</f>
        <v>3</v>
      </c>
      <c r="C652" s="1">
        <f>IFERROR(__xludf.DUMMYFUNCTION("""COMPUTED_VALUE"""),3.0)</f>
        <v>3</v>
      </c>
      <c r="D652" s="1">
        <f>IFERROR(__xludf.DUMMYFUNCTION("""COMPUTED_VALUE"""),3.0)</f>
        <v>3</v>
      </c>
      <c r="E652" s="1">
        <f>IFERROR(__xludf.DUMMYFUNCTION("""COMPUTED_VALUE"""),0.0)</f>
        <v>0</v>
      </c>
    </row>
    <row r="653">
      <c r="A653" s="1" t="str">
        <f>IFERROR(__xludf.DUMMYFUNCTION("""COMPUTED_VALUE"""),"MAUOSUPVN22x10")</f>
        <v>MAUOSUPVN22x10</v>
      </c>
      <c r="B653" s="1">
        <f>IFERROR(__xludf.DUMMYFUNCTION("""COMPUTED_VALUE"""),30.0)</f>
        <v>30</v>
      </c>
      <c r="C653" s="1">
        <f>IFERROR(__xludf.DUMMYFUNCTION("""COMPUTED_VALUE"""),51.0)</f>
        <v>51</v>
      </c>
      <c r="D653" s="1">
        <f>IFERROR(__xludf.DUMMYFUNCTION("""COMPUTED_VALUE"""),30.0)</f>
        <v>30</v>
      </c>
      <c r="E653" s="1">
        <f>IFERROR(__xludf.DUMMYFUNCTION("""COMPUTED_VALUE"""),21.0)</f>
        <v>21</v>
      </c>
    </row>
    <row r="654">
      <c r="A654" s="1" t="str">
        <f>IFERROR(__xludf.DUMMYFUNCTION("""COMPUTED_VALUE"""),"MAUOSUPVN22x13")</f>
        <v>MAUOSUPVN22x13</v>
      </c>
      <c r="B654" s="1">
        <f>IFERROR(__xludf.DUMMYFUNCTION("""COMPUTED_VALUE"""),28.0)</f>
        <v>28</v>
      </c>
      <c r="C654" s="1">
        <f>IFERROR(__xludf.DUMMYFUNCTION("""COMPUTED_VALUE"""),50.0)</f>
        <v>50</v>
      </c>
      <c r="D654" s="1">
        <f>IFERROR(__xludf.DUMMYFUNCTION("""COMPUTED_VALUE"""),28.0)</f>
        <v>28</v>
      </c>
      <c r="E654" s="1">
        <f>IFERROR(__xludf.DUMMYFUNCTION("""COMPUTED_VALUE"""),22.0)</f>
        <v>22</v>
      </c>
    </row>
    <row r="655">
      <c r="A655" s="1" t="str">
        <f>IFERROR(__xludf.DUMMYFUNCTION("""COMPUTED_VALUE"""),"MAUOSUPVN22x25")</f>
        <v>MAUOSUPVN22x25</v>
      </c>
      <c r="B655" s="1">
        <f>IFERROR(__xludf.DUMMYFUNCTION("""COMPUTED_VALUE"""),20.0)</f>
        <v>20</v>
      </c>
      <c r="C655" s="1">
        <f>IFERROR(__xludf.DUMMYFUNCTION("""COMPUTED_VALUE"""),29.0)</f>
        <v>29</v>
      </c>
      <c r="D655" s="1">
        <f>IFERROR(__xludf.DUMMYFUNCTION("""COMPUTED_VALUE"""),20.0)</f>
        <v>20</v>
      </c>
      <c r="E655" s="1">
        <f>IFERROR(__xludf.DUMMYFUNCTION("""COMPUTED_VALUE"""),9.0)</f>
        <v>9</v>
      </c>
    </row>
    <row r="656">
      <c r="A656" s="1" t="str">
        <f>IFERROR(__xludf.DUMMYFUNCTION("""COMPUTED_VALUE"""),"MAUOSUPVN22X32")</f>
        <v>MAUOSUPVN22X32</v>
      </c>
      <c r="B656" s="1">
        <f>IFERROR(__xludf.DUMMYFUNCTION("""COMPUTED_VALUE"""),5.0)</f>
        <v>5</v>
      </c>
      <c r="C656" s="1">
        <f>IFERROR(__xludf.DUMMYFUNCTION("""COMPUTED_VALUE"""),5.0)</f>
        <v>5</v>
      </c>
      <c r="D656" s="1">
        <f>IFERROR(__xludf.DUMMYFUNCTION("""COMPUTED_VALUE"""),5.0)</f>
        <v>5</v>
      </c>
      <c r="E656" s="1">
        <f>IFERROR(__xludf.DUMMYFUNCTION("""COMPUTED_VALUE"""),0.0)</f>
        <v>0</v>
      </c>
    </row>
    <row r="657">
      <c r="A657" s="1" t="str">
        <f>IFERROR(__xludf.DUMMYFUNCTION("""COMPUTED_VALUE"""),"MAUOSUPVN28x13")</f>
        <v>MAUOSUPVN28x13</v>
      </c>
      <c r="B657" s="1">
        <f>IFERROR(__xludf.DUMMYFUNCTION("""COMPUTED_VALUE"""),14.0)</f>
        <v>14</v>
      </c>
      <c r="C657" s="1">
        <f>IFERROR(__xludf.DUMMYFUNCTION("""COMPUTED_VALUE"""),22.0)</f>
        <v>22</v>
      </c>
      <c r="D657" s="1">
        <f>IFERROR(__xludf.DUMMYFUNCTION("""COMPUTED_VALUE"""),14.0)</f>
        <v>14</v>
      </c>
      <c r="E657" s="1">
        <f>IFERROR(__xludf.DUMMYFUNCTION("""COMPUTED_VALUE"""),8.0)</f>
        <v>8</v>
      </c>
    </row>
    <row r="658">
      <c r="A658" s="1" t="str">
        <f>IFERROR(__xludf.DUMMYFUNCTION("""COMPUTED_VALUE"""),"MAUOSUPVN28x25")</f>
        <v>MAUOSUPVN28x25</v>
      </c>
      <c r="B658" s="1">
        <f>IFERROR(__xludf.DUMMYFUNCTION("""COMPUTED_VALUE"""),96.0)</f>
        <v>96</v>
      </c>
      <c r="C658" s="1">
        <f>IFERROR(__xludf.DUMMYFUNCTION("""COMPUTED_VALUE"""),102.0)</f>
        <v>102</v>
      </c>
      <c r="D658" s="1">
        <f>IFERROR(__xludf.DUMMYFUNCTION("""COMPUTED_VALUE"""),96.0)</f>
        <v>96</v>
      </c>
      <c r="E658" s="1">
        <f>IFERROR(__xludf.DUMMYFUNCTION("""COMPUTED_VALUE"""),6.0)</f>
        <v>6</v>
      </c>
    </row>
    <row r="659">
      <c r="A659" s="1" t="str">
        <f>IFERROR(__xludf.DUMMYFUNCTION("""COMPUTED_VALUE"""),"MAUOSUPVN28X32")</f>
        <v>MAUOSUPVN28X32</v>
      </c>
      <c r="B659" s="1">
        <f>IFERROR(__xludf.DUMMYFUNCTION("""COMPUTED_VALUE"""),6.0)</f>
        <v>6</v>
      </c>
      <c r="C659" s="1">
        <f>IFERROR(__xludf.DUMMYFUNCTION("""COMPUTED_VALUE"""),6.0)</f>
        <v>6</v>
      </c>
      <c r="D659" s="1">
        <f>IFERROR(__xludf.DUMMYFUNCTION("""COMPUTED_VALUE"""),6.0)</f>
        <v>6</v>
      </c>
      <c r="E659" s="1">
        <f>IFERROR(__xludf.DUMMYFUNCTION("""COMPUTED_VALUE"""),0.0)</f>
        <v>0</v>
      </c>
    </row>
    <row r="660">
      <c r="A660" s="1" t="str">
        <f>IFERROR(__xludf.DUMMYFUNCTION("""COMPUTED_VALUE"""),"MAUOSUPVN35x25")</f>
        <v>MAUOSUPVN35x25</v>
      </c>
      <c r="B660" s="1">
        <f>IFERROR(__xludf.DUMMYFUNCTION("""COMPUTED_VALUE"""),20.0)</f>
        <v>20</v>
      </c>
      <c r="C660" s="1">
        <f>IFERROR(__xludf.DUMMYFUNCTION("""COMPUTED_VALUE"""),26.0)</f>
        <v>26</v>
      </c>
      <c r="D660" s="1">
        <f>IFERROR(__xludf.DUMMYFUNCTION("""COMPUTED_VALUE"""),20.0)</f>
        <v>20</v>
      </c>
      <c r="E660" s="1">
        <f>IFERROR(__xludf.DUMMYFUNCTION("""COMPUTED_VALUE"""),6.0)</f>
        <v>6</v>
      </c>
    </row>
    <row r="661">
      <c r="A661" s="1" t="str">
        <f>IFERROR(__xludf.DUMMYFUNCTION("""COMPUTED_VALUE"""),"MAUOSUPVN42x25")</f>
        <v>MAUOSUPVN42x25</v>
      </c>
      <c r="B661" s="1">
        <f>IFERROR(__xludf.DUMMYFUNCTION("""COMPUTED_VALUE"""),20.0)</f>
        <v>20</v>
      </c>
      <c r="C661" s="1">
        <f>IFERROR(__xludf.DUMMYFUNCTION("""COMPUTED_VALUE"""),26.0)</f>
        <v>26</v>
      </c>
      <c r="D661" s="1">
        <f>IFERROR(__xludf.DUMMYFUNCTION("""COMPUTED_VALUE"""),20.0)</f>
        <v>20</v>
      </c>
      <c r="E661" s="1">
        <f>IFERROR(__xludf.DUMMYFUNCTION("""COMPUTED_VALUE"""),6.0)</f>
        <v>6</v>
      </c>
    </row>
    <row r="662">
      <c r="A662" s="1" t="str">
        <f>IFERROR(__xludf.DUMMYFUNCTION("""COMPUTED_VALUE"""),"MAUOSUPVN42X32")</f>
        <v>MAUOSUPVN42X32</v>
      </c>
      <c r="B662" s="1">
        <f>IFERROR(__xludf.DUMMYFUNCTION("""COMPUTED_VALUE"""),7.0)</f>
        <v>7</v>
      </c>
      <c r="C662" s="1">
        <f>IFERROR(__xludf.DUMMYFUNCTION("""COMPUTED_VALUE"""),7.0)</f>
        <v>7</v>
      </c>
      <c r="D662" s="1">
        <f>IFERROR(__xludf.DUMMYFUNCTION("""COMPUTED_VALUE"""),7.0)</f>
        <v>7</v>
      </c>
      <c r="E662" s="1">
        <f>IFERROR(__xludf.DUMMYFUNCTION("""COMPUTED_VALUE"""),0.0)</f>
        <v>0</v>
      </c>
    </row>
    <row r="663">
      <c r="A663" s="1" t="str">
        <f>IFERROR(__xludf.DUMMYFUNCTION("""COMPUTED_VALUE"""),"MAUOSUPVN48x13")</f>
        <v>MAUOSUPVN48x13</v>
      </c>
      <c r="B663" s="1">
        <f>IFERROR(__xludf.DUMMYFUNCTION("""COMPUTED_VALUE"""),1.0)</f>
        <v>1</v>
      </c>
      <c r="C663" s="1">
        <f>IFERROR(__xludf.DUMMYFUNCTION("""COMPUTED_VALUE"""),17.0)</f>
        <v>17</v>
      </c>
      <c r="D663" s="1">
        <f>IFERROR(__xludf.DUMMYFUNCTION("""COMPUTED_VALUE"""),1.0)</f>
        <v>1</v>
      </c>
      <c r="E663" s="1">
        <f>IFERROR(__xludf.DUMMYFUNCTION("""COMPUTED_VALUE"""),16.0)</f>
        <v>16</v>
      </c>
    </row>
    <row r="664">
      <c r="A664" s="1" t="str">
        <f>IFERROR(__xludf.DUMMYFUNCTION("""COMPUTED_VALUE"""),"MAUOSUPVN60x51")</f>
        <v>MAUOSUPVN60x51</v>
      </c>
      <c r="B664" s="1">
        <f>IFERROR(__xludf.DUMMYFUNCTION("""COMPUTED_VALUE"""),2.0)</f>
        <v>2</v>
      </c>
      <c r="C664" s="1">
        <f>IFERROR(__xludf.DUMMYFUNCTION("""COMPUTED_VALUE"""),2.0)</f>
        <v>2</v>
      </c>
      <c r="D664" s="1">
        <f>IFERROR(__xludf.DUMMYFUNCTION("""COMPUTED_VALUE"""),2.0)</f>
        <v>2</v>
      </c>
      <c r="E664" s="1">
        <f>IFERROR(__xludf.DUMMYFUNCTION("""COMPUTED_VALUE"""),0.0)</f>
        <v>0</v>
      </c>
    </row>
    <row r="665">
      <c r="A665" s="1" t="str">
        <f>IFERROR(__xludf.DUMMYFUNCTION("""COMPUTED_VALUE"""),"MAUOTS42x19")</f>
        <v>MAUOTS42x19</v>
      </c>
      <c r="B665" s="1">
        <f>IFERROR(__xludf.DUMMYFUNCTION("""COMPUTED_VALUE"""),10.0)</f>
        <v>10</v>
      </c>
      <c r="C665" s="1">
        <f>IFERROR(__xludf.DUMMYFUNCTION("""COMPUTED_VALUE"""),10.0)</f>
        <v>10</v>
      </c>
      <c r="D665" s="1">
        <f>IFERROR(__xludf.DUMMYFUNCTION("""COMPUTED_VALUE"""),10.0)</f>
        <v>10</v>
      </c>
      <c r="E665" s="1">
        <f>IFERROR(__xludf.DUMMYFUNCTION("""COMPUTED_VALUE"""),0.0)</f>
        <v>0</v>
      </c>
    </row>
    <row r="666">
      <c r="A666" s="1" t="str">
        <f>IFERROR(__xludf.DUMMYFUNCTION("""COMPUTED_VALUE"""),"MAUPOLY")</f>
        <v>MAUPOLY</v>
      </c>
      <c r="B666" s="1">
        <f>IFERROR(__xludf.DUMMYFUNCTION("""COMPUTED_VALUE"""),1.0)</f>
        <v>1</v>
      </c>
      <c r="C666" s="1">
        <f>IFERROR(__xludf.DUMMYFUNCTION("""COMPUTED_VALUE"""),1.0)</f>
        <v>1</v>
      </c>
      <c r="D666" s="1">
        <f>IFERROR(__xludf.DUMMYFUNCTION("""COMPUTED_VALUE"""),1.0)</f>
        <v>1</v>
      </c>
      <c r="E666" s="1">
        <f>IFERROR(__xludf.DUMMYFUNCTION("""COMPUTED_VALUE"""),0.0)</f>
        <v>0</v>
      </c>
    </row>
    <row r="667">
      <c r="A667" s="1" t="str">
        <f>IFERROR(__xludf.DUMMYFUNCTION("""COMPUTED_VALUE"""),"MAURB0952071")</f>
        <v>MAURB0952071</v>
      </c>
      <c r="B667" s="1">
        <f>IFERROR(__xludf.DUMMYFUNCTION("""COMPUTED_VALUE"""),37.0)</f>
        <v>37</v>
      </c>
      <c r="C667" s="1">
        <f>IFERROR(__xludf.DUMMYFUNCTION("""COMPUTED_VALUE"""),37.0)</f>
        <v>37</v>
      </c>
      <c r="D667" s="1">
        <f>IFERROR(__xludf.DUMMYFUNCTION("""COMPUTED_VALUE"""),37.0)</f>
        <v>37</v>
      </c>
      <c r="E667" s="1">
        <f>IFERROR(__xludf.DUMMYFUNCTION("""COMPUTED_VALUE"""),0.0)</f>
        <v>0</v>
      </c>
    </row>
    <row r="668">
      <c r="A668" s="1" t="str">
        <f>IFERROR(__xludf.DUMMYFUNCTION("""COMPUTED_VALUE"""),"MAURB1588100")</f>
        <v>MAURB1588100</v>
      </c>
      <c r="B668" s="1">
        <f>IFERROR(__xludf.DUMMYFUNCTION("""COMPUTED_VALUE"""),31.0)</f>
        <v>31</v>
      </c>
      <c r="C668" s="1">
        <f>IFERROR(__xludf.DUMMYFUNCTION("""COMPUTED_VALUE"""),31.0)</f>
        <v>31</v>
      </c>
      <c r="D668" s="1">
        <f>IFERROR(__xludf.DUMMYFUNCTION("""COMPUTED_VALUE"""),31.0)</f>
        <v>31</v>
      </c>
      <c r="E668" s="1">
        <f>IFERROR(__xludf.DUMMYFUNCTION("""COMPUTED_VALUE"""),0.0)</f>
        <v>0</v>
      </c>
    </row>
    <row r="669">
      <c r="A669" s="1" t="str">
        <f>IFERROR(__xludf.DUMMYFUNCTION("""COMPUTED_VALUE"""),"MAURB2540100")</f>
        <v>MAURB2540100</v>
      </c>
      <c r="B669" s="1">
        <f>IFERROR(__xludf.DUMMYFUNCTION("""COMPUTED_VALUE"""),48.0)</f>
        <v>48</v>
      </c>
      <c r="C669" s="1">
        <f>IFERROR(__xludf.DUMMYFUNCTION("""COMPUTED_VALUE"""),48.0)</f>
        <v>48</v>
      </c>
      <c r="D669" s="1">
        <f>IFERROR(__xludf.DUMMYFUNCTION("""COMPUTED_VALUE"""),48.0)</f>
        <v>48</v>
      </c>
      <c r="E669" s="1">
        <f>IFERROR(__xludf.DUMMYFUNCTION("""COMPUTED_VALUE"""),0.0)</f>
        <v>0</v>
      </c>
    </row>
    <row r="670">
      <c r="A670" s="1" t="str">
        <f>IFERROR(__xludf.DUMMYFUNCTION("""COMPUTED_VALUE"""),"MAURB2540120")</f>
        <v>MAURB2540120</v>
      </c>
      <c r="B670" s="1">
        <f>IFERROR(__xludf.DUMMYFUNCTION("""COMPUTED_VALUE"""),50.0)</f>
        <v>50</v>
      </c>
      <c r="C670" s="1">
        <f>IFERROR(__xludf.DUMMYFUNCTION("""COMPUTED_VALUE"""),50.0)</f>
        <v>50</v>
      </c>
      <c r="D670" s="1">
        <f>IFERROR(__xludf.DUMMYFUNCTION("""COMPUTED_VALUE"""),50.0)</f>
        <v>50</v>
      </c>
      <c r="E670" s="1">
        <f>IFERROR(__xludf.DUMMYFUNCTION("""COMPUTED_VALUE"""),0.0)</f>
        <v>0</v>
      </c>
    </row>
    <row r="671">
      <c r="A671" s="1" t="str">
        <f>IFERROR(__xludf.DUMMYFUNCTION("""COMPUTED_VALUE"""),"MAURB2858100")</f>
        <v>MAURB2858100</v>
      </c>
      <c r="B671" s="1">
        <f>IFERROR(__xludf.DUMMYFUNCTION("""COMPUTED_VALUE"""),7.0)</f>
        <v>7</v>
      </c>
      <c r="C671" s="1">
        <f>IFERROR(__xludf.DUMMYFUNCTION("""COMPUTED_VALUE"""),7.0)</f>
        <v>7</v>
      </c>
      <c r="D671" s="1">
        <f>IFERROR(__xludf.DUMMYFUNCTION("""COMPUTED_VALUE"""),7.0)</f>
        <v>7</v>
      </c>
      <c r="E671" s="1">
        <f>IFERROR(__xludf.DUMMYFUNCTION("""COMPUTED_VALUE"""),0.0)</f>
        <v>0</v>
      </c>
    </row>
    <row r="672">
      <c r="A672" s="1" t="str">
        <f>IFERROR(__xludf.DUMMYFUNCTION("""COMPUTED_VALUE"""),"MAURB2858120")</f>
        <v>MAURB2858120</v>
      </c>
      <c r="B672" s="1">
        <f>IFERROR(__xludf.DUMMYFUNCTION("""COMPUTED_VALUE"""),49.0)</f>
        <v>49</v>
      </c>
      <c r="C672" s="1">
        <f>IFERROR(__xludf.DUMMYFUNCTION("""COMPUTED_VALUE"""),49.0)</f>
        <v>49</v>
      </c>
      <c r="D672" s="1">
        <f>IFERROR(__xludf.DUMMYFUNCTION("""COMPUTED_VALUE"""),49.0)</f>
        <v>49</v>
      </c>
      <c r="E672" s="1">
        <f>IFERROR(__xludf.DUMMYFUNCTION("""COMPUTED_VALUE"""),0.0)</f>
        <v>0</v>
      </c>
    </row>
    <row r="673">
      <c r="A673" s="1" t="str">
        <f>IFERROR(__xludf.DUMMYFUNCTION("""COMPUTED_VALUE"""),"MAURB2858140")</f>
        <v>MAURB2858140</v>
      </c>
      <c r="B673" s="1">
        <f>IFERROR(__xludf.DUMMYFUNCTION("""COMPUTED_VALUE"""),50.0)</f>
        <v>50</v>
      </c>
      <c r="C673" s="1">
        <f>IFERROR(__xludf.DUMMYFUNCTION("""COMPUTED_VALUE"""),50.0)</f>
        <v>50</v>
      </c>
      <c r="D673" s="1">
        <f>IFERROR(__xludf.DUMMYFUNCTION("""COMPUTED_VALUE"""),50.0)</f>
        <v>50</v>
      </c>
      <c r="E673" s="1">
        <f>IFERROR(__xludf.DUMMYFUNCTION("""COMPUTED_VALUE"""),0.0)</f>
        <v>0</v>
      </c>
    </row>
    <row r="674">
      <c r="A674" s="1" t="str">
        <f>IFERROR(__xludf.DUMMYFUNCTION("""COMPUTED_VALUE"""),"MAURB3175100")</f>
        <v>MAURB3175100</v>
      </c>
      <c r="B674" s="1">
        <f>IFERROR(__xludf.DUMMYFUNCTION("""COMPUTED_VALUE"""),10.0)</f>
        <v>10</v>
      </c>
      <c r="C674" s="1">
        <f>IFERROR(__xludf.DUMMYFUNCTION("""COMPUTED_VALUE"""),10.0)</f>
        <v>10</v>
      </c>
      <c r="D674" s="1">
        <f>IFERROR(__xludf.DUMMYFUNCTION("""COMPUTED_VALUE"""),10.0)</f>
        <v>10</v>
      </c>
      <c r="E674" s="1">
        <f>IFERROR(__xludf.DUMMYFUNCTION("""COMPUTED_VALUE"""),0.0)</f>
        <v>0</v>
      </c>
    </row>
    <row r="675">
      <c r="A675" s="1" t="str">
        <f>IFERROR(__xludf.DUMMYFUNCTION("""COMPUTED_VALUE"""),"MAURB3493120")</f>
        <v>MAURB3493120</v>
      </c>
      <c r="B675" s="1">
        <f>IFERROR(__xludf.DUMMYFUNCTION("""COMPUTED_VALUE"""),9.0)</f>
        <v>9</v>
      </c>
      <c r="C675" s="1">
        <f>IFERROR(__xludf.DUMMYFUNCTION("""COMPUTED_VALUE"""),9.0)</f>
        <v>9</v>
      </c>
      <c r="D675" s="1">
        <f>IFERROR(__xludf.DUMMYFUNCTION("""COMPUTED_VALUE"""),9.0)</f>
        <v>9</v>
      </c>
      <c r="E675" s="1">
        <f>IFERROR(__xludf.DUMMYFUNCTION("""COMPUTED_VALUE"""),0.0)</f>
        <v>0</v>
      </c>
    </row>
    <row r="676">
      <c r="A676" s="1" t="str">
        <f>IFERROR(__xludf.DUMMYFUNCTION("""COMPUTED_VALUE"""),"MAURB4128120")</f>
        <v>MAURB4128120</v>
      </c>
      <c r="B676" s="1">
        <f>IFERROR(__xludf.DUMMYFUNCTION("""COMPUTED_VALUE"""),5.0)</f>
        <v>5</v>
      </c>
      <c r="C676" s="1">
        <f>IFERROR(__xludf.DUMMYFUNCTION("""COMPUTED_VALUE"""),5.0)</f>
        <v>5</v>
      </c>
      <c r="D676" s="1">
        <f>IFERROR(__xludf.DUMMYFUNCTION("""COMPUTED_VALUE"""),5.0)</f>
        <v>5</v>
      </c>
      <c r="E676" s="1">
        <f>IFERROR(__xludf.DUMMYFUNCTION("""COMPUTED_VALUE"""),0.0)</f>
        <v>0</v>
      </c>
    </row>
    <row r="677">
      <c r="A677" s="1" t="str">
        <f>IFERROR(__xludf.DUMMYFUNCTION("""COMPUTED_VALUE"""),"MAURB4128140")</f>
        <v>MAURB4128140</v>
      </c>
      <c r="B677" s="1">
        <f>IFERROR(__xludf.DUMMYFUNCTION("""COMPUTED_VALUE"""),10.0)</f>
        <v>10</v>
      </c>
      <c r="C677" s="1">
        <f>IFERROR(__xludf.DUMMYFUNCTION("""COMPUTED_VALUE"""),10.0)</f>
        <v>10</v>
      </c>
      <c r="D677" s="1">
        <f>IFERROR(__xludf.DUMMYFUNCTION("""COMPUTED_VALUE"""),10.0)</f>
        <v>10</v>
      </c>
      <c r="E677" s="1">
        <f>IFERROR(__xludf.DUMMYFUNCTION("""COMPUTED_VALUE"""),0.0)</f>
        <v>0</v>
      </c>
    </row>
    <row r="678">
      <c r="A678" s="1" t="str">
        <f>IFERROR(__xludf.DUMMYFUNCTION("""COMPUTED_VALUE"""),"MAUSUPBOX")</f>
        <v>MAUSUPBOX</v>
      </c>
      <c r="B678" s="1">
        <f>IFERROR(__xludf.DUMMYFUNCTION("""COMPUTED_VALUE"""),275.0)</f>
        <v>275</v>
      </c>
      <c r="C678" s="1">
        <f>IFERROR(__xludf.DUMMYFUNCTION("""COMPUTED_VALUE"""),275.0)</f>
        <v>275</v>
      </c>
      <c r="D678" s="1">
        <f>IFERROR(__xludf.DUMMYFUNCTION("""COMPUTED_VALUE"""),275.0)</f>
        <v>275</v>
      </c>
      <c r="E678" s="1">
        <f>IFERROR(__xludf.DUMMYFUNCTION("""COMPUTED_VALUE"""),0.0)</f>
        <v>0</v>
      </c>
    </row>
    <row r="679">
      <c r="A679" s="1" t="str">
        <f>IFERROR(__xludf.DUMMYFUNCTION("""COMPUTED_VALUE"""),"MAUTAED10")</f>
        <v>MAUTAED10</v>
      </c>
      <c r="B679" s="1">
        <f>IFERROR(__xludf.DUMMYFUNCTION("""COMPUTED_VALUE"""),31.0)</f>
        <v>31</v>
      </c>
      <c r="C679" s="1">
        <f>IFERROR(__xludf.DUMMYFUNCTION("""COMPUTED_VALUE"""),31.0)</f>
        <v>31</v>
      </c>
      <c r="D679" s="1">
        <f>IFERROR(__xludf.DUMMYFUNCTION("""COMPUTED_VALUE"""),31.0)</f>
        <v>31</v>
      </c>
      <c r="E679" s="1">
        <f>IFERROR(__xludf.DUMMYFUNCTION("""COMPUTED_VALUE"""),0.0)</f>
        <v>0</v>
      </c>
    </row>
    <row r="680">
      <c r="A680" s="1" t="str">
        <f>IFERROR(__xludf.DUMMYFUNCTION("""COMPUTED_VALUE"""),"MAUTAED10D")</f>
        <v>MAUTAED10D</v>
      </c>
      <c r="B680" s="1">
        <f>IFERROR(__xludf.DUMMYFUNCTION("""COMPUTED_VALUE"""),44.0)</f>
        <v>44</v>
      </c>
      <c r="C680" s="1">
        <f>IFERROR(__xludf.DUMMYFUNCTION("""COMPUTED_VALUE"""),44.0)</f>
        <v>44</v>
      </c>
      <c r="D680" s="1">
        <f>IFERROR(__xludf.DUMMYFUNCTION("""COMPUTED_VALUE"""),44.0)</f>
        <v>44</v>
      </c>
      <c r="E680" s="1">
        <f>IFERROR(__xludf.DUMMYFUNCTION("""COMPUTED_VALUE"""),0.0)</f>
        <v>0</v>
      </c>
    </row>
    <row r="681">
      <c r="A681" s="1" t="str">
        <f>IFERROR(__xludf.DUMMYFUNCTION("""COMPUTED_VALUE"""),"MAUTAED13")</f>
        <v>MAUTAED13</v>
      </c>
      <c r="B681" s="1">
        <f>IFERROR(__xludf.DUMMYFUNCTION("""COMPUTED_VALUE"""),46.0)</f>
        <v>46</v>
      </c>
      <c r="C681" s="1">
        <f>IFERROR(__xludf.DUMMYFUNCTION("""COMPUTED_VALUE"""),46.0)</f>
        <v>46</v>
      </c>
      <c r="D681" s="1">
        <f>IFERROR(__xludf.DUMMYFUNCTION("""COMPUTED_VALUE"""),46.0)</f>
        <v>46</v>
      </c>
      <c r="E681" s="1">
        <f>IFERROR(__xludf.DUMMYFUNCTION("""COMPUTED_VALUE"""),0.0)</f>
        <v>0</v>
      </c>
    </row>
    <row r="682">
      <c r="A682" s="1" t="str">
        <f>IFERROR(__xludf.DUMMYFUNCTION("""COMPUTED_VALUE"""),"MAUTAED13D")</f>
        <v>MAUTAED13D</v>
      </c>
      <c r="B682" s="1">
        <f>IFERROR(__xludf.DUMMYFUNCTION("""COMPUTED_VALUE"""),30.0)</f>
        <v>30</v>
      </c>
      <c r="C682" s="1">
        <f>IFERROR(__xludf.DUMMYFUNCTION("""COMPUTED_VALUE"""),30.0)</f>
        <v>30</v>
      </c>
      <c r="D682" s="1">
        <f>IFERROR(__xludf.DUMMYFUNCTION("""COMPUTED_VALUE"""),30.0)</f>
        <v>30</v>
      </c>
      <c r="E682" s="1">
        <f>IFERROR(__xludf.DUMMYFUNCTION("""COMPUTED_VALUE"""),0.0)</f>
        <v>0</v>
      </c>
    </row>
    <row r="683">
      <c r="A683" s="1" t="str">
        <f>IFERROR(__xludf.DUMMYFUNCTION("""COMPUTED_VALUE"""),"MAUTAED16")</f>
        <v>MAUTAED16</v>
      </c>
      <c r="B683" s="1">
        <f>IFERROR(__xludf.DUMMYFUNCTION("""COMPUTED_VALUE"""),100.0)</f>
        <v>100</v>
      </c>
      <c r="C683" s="1">
        <f>IFERROR(__xludf.DUMMYFUNCTION("""COMPUTED_VALUE"""),100.0)</f>
        <v>100</v>
      </c>
      <c r="D683" s="1">
        <f>IFERROR(__xludf.DUMMYFUNCTION("""COMPUTED_VALUE"""),100.0)</f>
        <v>100</v>
      </c>
      <c r="E683" s="1">
        <f>IFERROR(__xludf.DUMMYFUNCTION("""COMPUTED_VALUE"""),0.0)</f>
        <v>0</v>
      </c>
    </row>
    <row r="684">
      <c r="A684" s="1" t="str">
        <f>IFERROR(__xludf.DUMMYFUNCTION("""COMPUTED_VALUE"""),"MAUTAED16B")</f>
        <v>MAUTAED16B</v>
      </c>
      <c r="B684" s="1">
        <f>IFERROR(__xludf.DUMMYFUNCTION("""COMPUTED_VALUE"""),60.0)</f>
        <v>60</v>
      </c>
      <c r="C684" s="1">
        <f>IFERROR(__xludf.DUMMYFUNCTION("""COMPUTED_VALUE"""),60.0)</f>
        <v>60</v>
      </c>
      <c r="D684" s="1">
        <f>IFERROR(__xludf.DUMMYFUNCTION("""COMPUTED_VALUE"""),60.0)</f>
        <v>60</v>
      </c>
      <c r="E684" s="1">
        <f>IFERROR(__xludf.DUMMYFUNCTION("""COMPUTED_VALUE"""),0.0)</f>
        <v>0</v>
      </c>
    </row>
    <row r="685">
      <c r="A685" s="1" t="str">
        <f>IFERROR(__xludf.DUMMYFUNCTION("""COMPUTED_VALUE"""),"MAUTAED16BD")</f>
        <v>MAUTAED16BD</v>
      </c>
      <c r="B685" s="1">
        <f>IFERROR(__xludf.DUMMYFUNCTION("""COMPUTED_VALUE"""),10.0)</f>
        <v>10</v>
      </c>
      <c r="C685" s="1">
        <f>IFERROR(__xludf.DUMMYFUNCTION("""COMPUTED_VALUE"""),10.0)</f>
        <v>10</v>
      </c>
      <c r="D685" s="1">
        <f>IFERROR(__xludf.DUMMYFUNCTION("""COMPUTED_VALUE"""),10.0)</f>
        <v>10</v>
      </c>
      <c r="E685" s="1">
        <f>IFERROR(__xludf.DUMMYFUNCTION("""COMPUTED_VALUE"""),0.0)</f>
        <v>0</v>
      </c>
    </row>
    <row r="686">
      <c r="A686" s="1" t="str">
        <f>IFERROR(__xludf.DUMMYFUNCTION("""COMPUTED_VALUE"""),"MAUTAED16C0D")</f>
        <v>MAUTAED16C0D</v>
      </c>
      <c r="B686" s="1">
        <f>IFERROR(__xludf.DUMMYFUNCTION("""COMPUTED_VALUE"""),21.0)</f>
        <v>21</v>
      </c>
      <c r="C686" s="1">
        <f>IFERROR(__xludf.DUMMYFUNCTION("""COMPUTED_VALUE"""),21.0)</f>
        <v>21</v>
      </c>
      <c r="D686" s="1">
        <f>IFERROR(__xludf.DUMMYFUNCTION("""COMPUTED_VALUE"""),21.0)</f>
        <v>21</v>
      </c>
      <c r="E686" s="1">
        <f>IFERROR(__xludf.DUMMYFUNCTION("""COMPUTED_VALUE"""),0.0)</f>
        <v>0</v>
      </c>
    </row>
    <row r="687">
      <c r="A687" s="1" t="str">
        <f>IFERROR(__xludf.DUMMYFUNCTION("""COMPUTED_VALUE"""),"MAUTAED16D")</f>
        <v>MAUTAED16D</v>
      </c>
      <c r="B687" s="1">
        <f>IFERROR(__xludf.DUMMYFUNCTION("""COMPUTED_VALUE"""),79.0)</f>
        <v>79</v>
      </c>
      <c r="C687" s="1">
        <f>IFERROR(__xludf.DUMMYFUNCTION("""COMPUTED_VALUE"""),79.0)</f>
        <v>79</v>
      </c>
      <c r="D687" s="1">
        <f>IFERROR(__xludf.DUMMYFUNCTION("""COMPUTED_VALUE"""),79.0)</f>
        <v>79</v>
      </c>
      <c r="E687" s="1">
        <f>IFERROR(__xludf.DUMMYFUNCTION("""COMPUTED_VALUE"""),0.0)</f>
        <v>0</v>
      </c>
    </row>
    <row r="688">
      <c r="A688" s="1" t="str">
        <f>IFERROR(__xludf.DUMMYFUNCTION("""COMPUTED_VALUE"""),"MAUTAED19")</f>
        <v>MAUTAED19</v>
      </c>
      <c r="B688" s="1">
        <f>IFERROR(__xludf.DUMMYFUNCTION("""COMPUTED_VALUE"""),118.0)</f>
        <v>118</v>
      </c>
      <c r="C688" s="1">
        <f>IFERROR(__xludf.DUMMYFUNCTION("""COMPUTED_VALUE"""),118.0)</f>
        <v>118</v>
      </c>
      <c r="D688" s="1">
        <f>IFERROR(__xludf.DUMMYFUNCTION("""COMPUTED_VALUE"""),118.0)</f>
        <v>118</v>
      </c>
      <c r="E688" s="1">
        <f>IFERROR(__xludf.DUMMYFUNCTION("""COMPUTED_VALUE"""),0.0)</f>
        <v>0</v>
      </c>
    </row>
    <row r="689">
      <c r="A689" s="1" t="str">
        <f>IFERROR(__xludf.DUMMYFUNCTION("""COMPUTED_VALUE"""),"MAUTAED19B")</f>
        <v>MAUTAED19B</v>
      </c>
      <c r="B689" s="1">
        <f>IFERROR(__xludf.DUMMYFUNCTION("""COMPUTED_VALUE"""),80.0)</f>
        <v>80</v>
      </c>
      <c r="C689" s="1">
        <f>IFERROR(__xludf.DUMMYFUNCTION("""COMPUTED_VALUE"""),80.0)</f>
        <v>80</v>
      </c>
      <c r="D689" s="1">
        <f>IFERROR(__xludf.DUMMYFUNCTION("""COMPUTED_VALUE"""),80.0)</f>
        <v>80</v>
      </c>
      <c r="E689" s="1">
        <f>IFERROR(__xludf.DUMMYFUNCTION("""COMPUTED_VALUE"""),0.0)</f>
        <v>0</v>
      </c>
    </row>
    <row r="690">
      <c r="A690" s="1" t="str">
        <f>IFERROR(__xludf.DUMMYFUNCTION("""COMPUTED_VALUE"""),"MAUTAED19BD")</f>
        <v>MAUTAED19BD</v>
      </c>
      <c r="B690" s="1">
        <f>IFERROR(__xludf.DUMMYFUNCTION("""COMPUTED_VALUE"""),30.0)</f>
        <v>30</v>
      </c>
      <c r="C690" s="1">
        <f>IFERROR(__xludf.DUMMYFUNCTION("""COMPUTED_VALUE"""),30.0)</f>
        <v>30</v>
      </c>
      <c r="D690" s="1">
        <f>IFERROR(__xludf.DUMMYFUNCTION("""COMPUTED_VALUE"""),30.0)</f>
        <v>30</v>
      </c>
      <c r="E690" s="1">
        <f>IFERROR(__xludf.DUMMYFUNCTION("""COMPUTED_VALUE"""),0.0)</f>
        <v>0</v>
      </c>
    </row>
    <row r="691">
      <c r="A691" s="1" t="str">
        <f>IFERROR(__xludf.DUMMYFUNCTION("""COMPUTED_VALUE"""),"MAUTAED19D")</f>
        <v>MAUTAED19D</v>
      </c>
      <c r="B691" s="1">
        <f>IFERROR(__xludf.DUMMYFUNCTION("""COMPUTED_VALUE"""),94.0)</f>
        <v>94</v>
      </c>
      <c r="C691" s="1">
        <f>IFERROR(__xludf.DUMMYFUNCTION("""COMPUTED_VALUE"""),94.0)</f>
        <v>94</v>
      </c>
      <c r="D691" s="1">
        <f>IFERROR(__xludf.DUMMYFUNCTION("""COMPUTED_VALUE"""),94.0)</f>
        <v>94</v>
      </c>
      <c r="E691" s="1">
        <f>IFERROR(__xludf.DUMMYFUNCTION("""COMPUTED_VALUE"""),0.0)</f>
        <v>0</v>
      </c>
    </row>
    <row r="692">
      <c r="A692" s="1" t="str">
        <f>IFERROR(__xludf.DUMMYFUNCTION("""COMPUTED_VALUE"""),"MAUTAED25")</f>
        <v>MAUTAED25</v>
      </c>
      <c r="B692" s="1">
        <f>IFERROR(__xludf.DUMMYFUNCTION("""COMPUTED_VALUE"""),79.0)</f>
        <v>79</v>
      </c>
      <c r="C692" s="1">
        <f>IFERROR(__xludf.DUMMYFUNCTION("""COMPUTED_VALUE"""),79.0)</f>
        <v>79</v>
      </c>
      <c r="D692" s="1">
        <f>IFERROR(__xludf.DUMMYFUNCTION("""COMPUTED_VALUE"""),79.0)</f>
        <v>79</v>
      </c>
      <c r="E692" s="1">
        <f>IFERROR(__xludf.DUMMYFUNCTION("""COMPUTED_VALUE"""),0.0)</f>
        <v>0</v>
      </c>
    </row>
    <row r="693">
      <c r="A693" s="1" t="str">
        <f>IFERROR(__xludf.DUMMYFUNCTION("""COMPUTED_VALUE"""),"MAUTAED25B")</f>
        <v>MAUTAED25B</v>
      </c>
      <c r="B693" s="1">
        <f>IFERROR(__xludf.DUMMYFUNCTION("""COMPUTED_VALUE"""),78.0)</f>
        <v>78</v>
      </c>
      <c r="C693" s="1">
        <f>IFERROR(__xludf.DUMMYFUNCTION("""COMPUTED_VALUE"""),78.0)</f>
        <v>78</v>
      </c>
      <c r="D693" s="1">
        <f>IFERROR(__xludf.DUMMYFUNCTION("""COMPUTED_VALUE"""),78.0)</f>
        <v>78</v>
      </c>
      <c r="E693" s="1">
        <f>IFERROR(__xludf.DUMMYFUNCTION("""COMPUTED_VALUE"""),0.0)</f>
        <v>0</v>
      </c>
    </row>
    <row r="694">
      <c r="A694" s="1" t="str">
        <f>IFERROR(__xludf.DUMMYFUNCTION("""COMPUTED_VALUE"""),"MAUTAED25BD")</f>
        <v>MAUTAED25BD</v>
      </c>
      <c r="B694" s="1">
        <f>IFERROR(__xludf.DUMMYFUNCTION("""COMPUTED_VALUE"""),22.0)</f>
        <v>22</v>
      </c>
      <c r="C694" s="1">
        <f>IFERROR(__xludf.DUMMYFUNCTION("""COMPUTED_VALUE"""),22.0)</f>
        <v>22</v>
      </c>
      <c r="D694" s="1">
        <f>IFERROR(__xludf.DUMMYFUNCTION("""COMPUTED_VALUE"""),22.0)</f>
        <v>22</v>
      </c>
      <c r="E694" s="1">
        <f>IFERROR(__xludf.DUMMYFUNCTION("""COMPUTED_VALUE"""),0.0)</f>
        <v>0</v>
      </c>
    </row>
    <row r="695">
      <c r="A695" s="1" t="str">
        <f>IFERROR(__xludf.DUMMYFUNCTION("""COMPUTED_VALUE"""),"MAUTAED25D")</f>
        <v>MAUTAED25D</v>
      </c>
      <c r="B695" s="1">
        <f>IFERROR(__xludf.DUMMYFUNCTION("""COMPUTED_VALUE"""),104.0)</f>
        <v>104</v>
      </c>
      <c r="C695" s="1">
        <f>IFERROR(__xludf.DUMMYFUNCTION("""COMPUTED_VALUE"""),104.0)</f>
        <v>104</v>
      </c>
      <c r="D695" s="1">
        <f>IFERROR(__xludf.DUMMYFUNCTION("""COMPUTED_VALUE"""),104.0)</f>
        <v>104</v>
      </c>
      <c r="E695" s="1">
        <f>IFERROR(__xludf.DUMMYFUNCTION("""COMPUTED_VALUE"""),0.0)</f>
        <v>0</v>
      </c>
    </row>
    <row r="696">
      <c r="A696" s="1" t="str">
        <f>IFERROR(__xludf.DUMMYFUNCTION("""COMPUTED_VALUE"""),"MAUTAED32")</f>
        <v>MAUTAED32</v>
      </c>
      <c r="B696" s="1">
        <f>IFERROR(__xludf.DUMMYFUNCTION("""COMPUTED_VALUE"""),19.0)</f>
        <v>19</v>
      </c>
      <c r="C696" s="1">
        <f>IFERROR(__xludf.DUMMYFUNCTION("""COMPUTED_VALUE"""),19.0)</f>
        <v>19</v>
      </c>
      <c r="D696" s="1">
        <f>IFERROR(__xludf.DUMMYFUNCTION("""COMPUTED_VALUE"""),19.0)</f>
        <v>19</v>
      </c>
      <c r="E696" s="1">
        <f>IFERROR(__xludf.DUMMYFUNCTION("""COMPUTED_VALUE"""),0.0)</f>
        <v>0</v>
      </c>
    </row>
    <row r="697">
      <c r="A697" s="1" t="str">
        <f>IFERROR(__xludf.DUMMYFUNCTION("""COMPUTED_VALUE"""),"MAUTAED32B")</f>
        <v>MAUTAED32B</v>
      </c>
      <c r="B697" s="1">
        <f>IFERROR(__xludf.DUMMYFUNCTION("""COMPUTED_VALUE"""),38.0)</f>
        <v>38</v>
      </c>
      <c r="C697" s="1">
        <f>IFERROR(__xludf.DUMMYFUNCTION("""COMPUTED_VALUE"""),38.0)</f>
        <v>38</v>
      </c>
      <c r="D697" s="1">
        <f>IFERROR(__xludf.DUMMYFUNCTION("""COMPUTED_VALUE"""),38.0)</f>
        <v>38</v>
      </c>
      <c r="E697" s="1">
        <f>IFERROR(__xludf.DUMMYFUNCTION("""COMPUTED_VALUE"""),0.0)</f>
        <v>0</v>
      </c>
    </row>
    <row r="698">
      <c r="A698" s="1" t="str">
        <f>IFERROR(__xludf.DUMMYFUNCTION("""COMPUTED_VALUE"""),"MAUTAED32D")</f>
        <v>MAUTAED32D</v>
      </c>
      <c r="B698" s="1">
        <f>IFERROR(__xludf.DUMMYFUNCTION("""COMPUTED_VALUE"""),26.0)</f>
        <v>26</v>
      </c>
      <c r="C698" s="1">
        <f>IFERROR(__xludf.DUMMYFUNCTION("""COMPUTED_VALUE"""),26.0)</f>
        <v>26</v>
      </c>
      <c r="D698" s="1">
        <f>IFERROR(__xludf.DUMMYFUNCTION("""COMPUTED_VALUE"""),26.0)</f>
        <v>26</v>
      </c>
      <c r="E698" s="1">
        <f>IFERROR(__xludf.DUMMYFUNCTION("""COMPUTED_VALUE"""),0.0)</f>
        <v>0</v>
      </c>
    </row>
    <row r="699">
      <c r="A699" s="1" t="str">
        <f>IFERROR(__xludf.DUMMYFUNCTION("""COMPUTED_VALUE"""),"MAUTAED38")</f>
        <v>MAUTAED38</v>
      </c>
      <c r="B699" s="1">
        <f>IFERROR(__xludf.DUMMYFUNCTION("""COMPUTED_VALUE"""),26.0)</f>
        <v>26</v>
      </c>
      <c r="C699" s="1">
        <f>IFERROR(__xludf.DUMMYFUNCTION("""COMPUTED_VALUE"""),26.0)</f>
        <v>26</v>
      </c>
      <c r="D699" s="1">
        <f>IFERROR(__xludf.DUMMYFUNCTION("""COMPUTED_VALUE"""),26.0)</f>
        <v>26</v>
      </c>
      <c r="E699" s="1">
        <f>IFERROR(__xludf.DUMMYFUNCTION("""COMPUTED_VALUE"""),0.0)</f>
        <v>0</v>
      </c>
    </row>
    <row r="700">
      <c r="A700" s="1" t="str">
        <f>IFERROR(__xludf.DUMMYFUNCTION("""COMPUTED_VALUE"""),"MAUTAED38D")</f>
        <v>MAUTAED38D</v>
      </c>
      <c r="B700" s="1">
        <f>IFERROR(__xludf.DUMMYFUNCTION("""COMPUTED_VALUE"""),30.0)</f>
        <v>30</v>
      </c>
      <c r="C700" s="1">
        <f>IFERROR(__xludf.DUMMYFUNCTION("""COMPUTED_VALUE"""),30.0)</f>
        <v>30</v>
      </c>
      <c r="D700" s="1">
        <f>IFERROR(__xludf.DUMMYFUNCTION("""COMPUTED_VALUE"""),30.0)</f>
        <v>30</v>
      </c>
      <c r="E700" s="1">
        <f>IFERROR(__xludf.DUMMYFUNCTION("""COMPUTED_VALUE"""),0.0)</f>
        <v>0</v>
      </c>
    </row>
    <row r="701">
      <c r="A701" s="1" t="str">
        <f>IFERROR(__xludf.DUMMYFUNCTION("""COMPUTED_VALUE"""),"MAUTAED50")</f>
        <v>MAUTAED50</v>
      </c>
      <c r="B701" s="1">
        <f>IFERROR(__xludf.DUMMYFUNCTION("""COMPUTED_VALUE"""),26.0)</f>
        <v>26</v>
      </c>
      <c r="C701" s="1">
        <f>IFERROR(__xludf.DUMMYFUNCTION("""COMPUTED_VALUE"""),26.0)</f>
        <v>26</v>
      </c>
      <c r="D701" s="1">
        <f>IFERROR(__xludf.DUMMYFUNCTION("""COMPUTED_VALUE"""),26.0)</f>
        <v>26</v>
      </c>
      <c r="E701" s="1">
        <f>IFERROR(__xludf.DUMMYFUNCTION("""COMPUTED_VALUE"""),0.0)</f>
        <v>0</v>
      </c>
    </row>
    <row r="702">
      <c r="A702" s="1" t="str">
        <f>IFERROR(__xludf.DUMMYFUNCTION("""COMPUTED_VALUE"""),"MAUTAED50B")</f>
        <v>MAUTAED50B</v>
      </c>
      <c r="B702" s="1">
        <f>IFERROR(__xludf.DUMMYFUNCTION("""COMPUTED_VALUE"""),21.0)</f>
        <v>21</v>
      </c>
      <c r="C702" s="1">
        <f>IFERROR(__xludf.DUMMYFUNCTION("""COMPUTED_VALUE"""),21.0)</f>
        <v>21</v>
      </c>
      <c r="D702" s="1">
        <f>IFERROR(__xludf.DUMMYFUNCTION("""COMPUTED_VALUE"""),21.0)</f>
        <v>21</v>
      </c>
      <c r="E702" s="1">
        <f>IFERROR(__xludf.DUMMYFUNCTION("""COMPUTED_VALUE"""),0.0)</f>
        <v>0</v>
      </c>
    </row>
    <row r="703">
      <c r="A703" s="1" t="str">
        <f>IFERROR(__xludf.DUMMYFUNCTION("""COMPUTED_VALUE"""),"MAUTAED50C0BD")</f>
        <v>MAUTAED50C0BD</v>
      </c>
      <c r="B703" s="1">
        <f>IFERROR(__xludf.DUMMYFUNCTION("""COMPUTED_VALUE"""),18.0)</f>
        <v>18</v>
      </c>
      <c r="C703" s="1">
        <f>IFERROR(__xludf.DUMMYFUNCTION("""COMPUTED_VALUE"""),18.0)</f>
        <v>18</v>
      </c>
      <c r="D703" s="1">
        <f>IFERROR(__xludf.DUMMYFUNCTION("""COMPUTED_VALUE"""),18.0)</f>
        <v>18</v>
      </c>
      <c r="E703" s="1">
        <f>IFERROR(__xludf.DUMMYFUNCTION("""COMPUTED_VALUE"""),0.0)</f>
        <v>0</v>
      </c>
    </row>
    <row r="704">
      <c r="A704" s="1" t="str">
        <f>IFERROR(__xludf.DUMMYFUNCTION("""COMPUTED_VALUE"""),"MAUTAED50D")</f>
        <v>MAUTAED50D</v>
      </c>
      <c r="B704" s="1">
        <f>IFERROR(__xludf.DUMMYFUNCTION("""COMPUTED_VALUE"""),38.0)</f>
        <v>38</v>
      </c>
      <c r="C704" s="1">
        <f>IFERROR(__xludf.DUMMYFUNCTION("""COMPUTED_VALUE"""),38.0)</f>
        <v>38</v>
      </c>
      <c r="D704" s="1">
        <f>IFERROR(__xludf.DUMMYFUNCTION("""COMPUTED_VALUE"""),38.0)</f>
        <v>38</v>
      </c>
      <c r="E704" s="1">
        <f>IFERROR(__xludf.DUMMYFUNCTION("""COMPUTED_VALUE"""),0.0)</f>
        <v>0</v>
      </c>
    </row>
    <row r="705">
      <c r="A705" s="1" t="str">
        <f>IFERROR(__xludf.DUMMYFUNCTION("""COMPUTED_VALUE"""),"MAUTAFRVD13")</f>
        <v>MAUTAFRVD13</v>
      </c>
      <c r="B705" s="1">
        <f>IFERROR(__xludf.DUMMYFUNCTION("""COMPUTED_VALUE"""),10.0)</f>
        <v>10</v>
      </c>
      <c r="C705" s="1">
        <f>IFERROR(__xludf.DUMMYFUNCTION("""COMPUTED_VALUE"""),10.0)</f>
        <v>10</v>
      </c>
      <c r="D705" s="1">
        <f>IFERROR(__xludf.DUMMYFUNCTION("""COMPUTED_VALUE"""),10.0)</f>
        <v>10</v>
      </c>
      <c r="E705" s="1">
        <f>IFERROR(__xludf.DUMMYFUNCTION("""COMPUTED_VALUE"""),0.0)</f>
        <v>0</v>
      </c>
    </row>
    <row r="706">
      <c r="A706" s="1" t="str">
        <f>IFERROR(__xludf.DUMMYFUNCTION("""COMPUTED_VALUE"""),"MAUTAFRVD16")</f>
        <v>MAUTAFRVD16</v>
      </c>
      <c r="B706" s="1">
        <f>IFERROR(__xludf.DUMMYFUNCTION("""COMPUTED_VALUE"""),10.0)</f>
        <v>10</v>
      </c>
      <c r="C706" s="1">
        <f>IFERROR(__xludf.DUMMYFUNCTION("""COMPUTED_VALUE"""),10.0)</f>
        <v>10</v>
      </c>
      <c r="D706" s="1">
        <f>IFERROR(__xludf.DUMMYFUNCTION("""COMPUTED_VALUE"""),10.0)</f>
        <v>10</v>
      </c>
      <c r="E706" s="1">
        <f>IFERROR(__xludf.DUMMYFUNCTION("""COMPUTED_VALUE"""),0.0)</f>
        <v>0</v>
      </c>
    </row>
    <row r="707">
      <c r="A707" s="1" t="str">
        <f>IFERROR(__xludf.DUMMYFUNCTION("""COMPUTED_VALUE"""),"MAUTAFRVD19B")</f>
        <v>MAUTAFRVD19B</v>
      </c>
      <c r="B707" s="1">
        <f>IFERROR(__xludf.DUMMYFUNCTION("""COMPUTED_VALUE"""),15.0)</f>
        <v>15</v>
      </c>
      <c r="C707" s="1">
        <f>IFERROR(__xludf.DUMMYFUNCTION("""COMPUTED_VALUE"""),15.0)</f>
        <v>15</v>
      </c>
      <c r="D707" s="1">
        <f>IFERROR(__xludf.DUMMYFUNCTION("""COMPUTED_VALUE"""),15.0)</f>
        <v>15</v>
      </c>
      <c r="E707" s="1">
        <f>IFERROR(__xludf.DUMMYFUNCTION("""COMPUTED_VALUE"""),0.0)</f>
        <v>0</v>
      </c>
    </row>
    <row r="708">
      <c r="A708" s="1" t="str">
        <f>IFERROR(__xludf.DUMMYFUNCTION("""COMPUTED_VALUE"""),"MAUTAFRVD19D")</f>
        <v>MAUTAFRVD19D</v>
      </c>
      <c r="B708" s="1">
        <f>IFERROR(__xludf.DUMMYFUNCTION("""COMPUTED_VALUE"""),7.0)</f>
        <v>7</v>
      </c>
      <c r="C708" s="1">
        <f>IFERROR(__xludf.DUMMYFUNCTION("""COMPUTED_VALUE"""),7.0)</f>
        <v>7</v>
      </c>
      <c r="D708" s="1">
        <f>IFERROR(__xludf.DUMMYFUNCTION("""COMPUTED_VALUE"""),7.0)</f>
        <v>7</v>
      </c>
      <c r="E708" s="1">
        <f>IFERROR(__xludf.DUMMYFUNCTION("""COMPUTED_VALUE"""),0.0)</f>
        <v>0</v>
      </c>
    </row>
    <row r="709">
      <c r="A709" s="1" t="str">
        <f>IFERROR(__xludf.DUMMYFUNCTION("""COMPUTED_VALUE"""),"MAUTAFRVD25")</f>
        <v>MAUTAFRVD25</v>
      </c>
      <c r="B709" s="1">
        <f>IFERROR(__xludf.DUMMYFUNCTION("""COMPUTED_VALUE"""),10.0)</f>
        <v>10</v>
      </c>
      <c r="C709" s="1">
        <f>IFERROR(__xludf.DUMMYFUNCTION("""COMPUTED_VALUE"""),10.0)</f>
        <v>10</v>
      </c>
      <c r="D709" s="1">
        <f>IFERROR(__xludf.DUMMYFUNCTION("""COMPUTED_VALUE"""),10.0)</f>
        <v>10</v>
      </c>
      <c r="E709" s="1">
        <f>IFERROR(__xludf.DUMMYFUNCTION("""COMPUTED_VALUE"""),0.0)</f>
        <v>0</v>
      </c>
    </row>
    <row r="710">
      <c r="A710" s="1" t="str">
        <f>IFERROR(__xludf.DUMMYFUNCTION("""COMPUTED_VALUE"""),"MAUTAFRVD25D")</f>
        <v>MAUTAFRVD25D</v>
      </c>
      <c r="B710" s="1">
        <f>IFERROR(__xludf.DUMMYFUNCTION("""COMPUTED_VALUE"""),17.0)</f>
        <v>17</v>
      </c>
      <c r="C710" s="1">
        <f>IFERROR(__xludf.DUMMYFUNCTION("""COMPUTED_VALUE"""),17.0)</f>
        <v>17</v>
      </c>
      <c r="D710" s="1">
        <f>IFERROR(__xludf.DUMMYFUNCTION("""COMPUTED_VALUE"""),17.0)</f>
        <v>17</v>
      </c>
      <c r="E710" s="1">
        <f>IFERROR(__xludf.DUMMYFUNCTION("""COMPUTED_VALUE"""),0.0)</f>
        <v>0</v>
      </c>
    </row>
    <row r="711">
      <c r="A711" s="1" t="str">
        <f>IFERROR(__xludf.DUMMYFUNCTION("""COMPUTED_VALUE"""),"MAUTAFRVD32")</f>
        <v>MAUTAFRVD32</v>
      </c>
      <c r="B711" s="1">
        <f>IFERROR(__xludf.DUMMYFUNCTION("""COMPUTED_VALUE"""),10.0)</f>
        <v>10</v>
      </c>
      <c r="C711" s="1">
        <f>IFERROR(__xludf.DUMMYFUNCTION("""COMPUTED_VALUE"""),10.0)</f>
        <v>10</v>
      </c>
      <c r="D711" s="1">
        <f>IFERROR(__xludf.DUMMYFUNCTION("""COMPUTED_VALUE"""),10.0)</f>
        <v>10</v>
      </c>
      <c r="E711" s="1">
        <f>IFERROR(__xludf.DUMMYFUNCTION("""COMPUTED_VALUE"""),0.0)</f>
        <v>0</v>
      </c>
    </row>
    <row r="712">
      <c r="A712" s="1" t="str">
        <f>IFERROR(__xludf.DUMMYFUNCTION("""COMPUTED_VALUE"""),"MAUTAFRVD38")</f>
        <v>MAUTAFRVD38</v>
      </c>
      <c r="B712" s="1">
        <f>IFERROR(__xludf.DUMMYFUNCTION("""COMPUTED_VALUE"""),10.0)</f>
        <v>10</v>
      </c>
      <c r="C712" s="1">
        <f>IFERROR(__xludf.DUMMYFUNCTION("""COMPUTED_VALUE"""),10.0)</f>
        <v>10</v>
      </c>
      <c r="D712" s="1">
        <f>IFERROR(__xludf.DUMMYFUNCTION("""COMPUTED_VALUE"""),10.0)</f>
        <v>10</v>
      </c>
      <c r="E712" s="1">
        <f>IFERROR(__xludf.DUMMYFUNCTION("""COMPUTED_VALUE"""),0.0)</f>
        <v>0</v>
      </c>
    </row>
    <row r="713">
      <c r="A713" s="1" t="str">
        <f>IFERROR(__xludf.DUMMYFUNCTION("""COMPUTED_VALUE"""),"MAUTAFRVD50")</f>
        <v>MAUTAFRVD50</v>
      </c>
      <c r="B713" s="1">
        <f>IFERROR(__xludf.DUMMYFUNCTION("""COMPUTED_VALUE"""),5.0)</f>
        <v>5</v>
      </c>
      <c r="C713" s="1">
        <f>IFERROR(__xludf.DUMMYFUNCTION("""COMPUTED_VALUE"""),5.0)</f>
        <v>5</v>
      </c>
      <c r="D713" s="1">
        <f>IFERROR(__xludf.DUMMYFUNCTION("""COMPUTED_VALUE"""),5.0)</f>
        <v>5</v>
      </c>
      <c r="E713" s="1">
        <f>IFERROR(__xludf.DUMMYFUNCTION("""COMPUTED_VALUE"""),0.0)</f>
        <v>0</v>
      </c>
    </row>
    <row r="714">
      <c r="A714" s="1" t="str">
        <f>IFERROR(__xludf.DUMMYFUNCTION("""COMPUTED_VALUE"""),"MAUTAMCD50")</f>
        <v>MAUTAMCD50</v>
      </c>
      <c r="B714" s="1">
        <f>IFERROR(__xludf.DUMMYFUNCTION("""COMPUTED_VALUE"""),41.0)</f>
        <v>41</v>
      </c>
      <c r="C714" s="1">
        <f>IFERROR(__xludf.DUMMYFUNCTION("""COMPUTED_VALUE"""),41.0)</f>
        <v>41</v>
      </c>
      <c r="D714" s="1">
        <f>IFERROR(__xludf.DUMMYFUNCTION("""COMPUTED_VALUE"""),41.0)</f>
        <v>41</v>
      </c>
      <c r="E714" s="1">
        <f>IFERROR(__xludf.DUMMYFUNCTION("""COMPUTED_VALUE"""),0.0)</f>
        <v>0</v>
      </c>
    </row>
    <row r="715">
      <c r="A715" s="1" t="str">
        <f>IFERROR(__xludf.DUMMYFUNCTION("""COMPUTED_VALUE"""),"MAUTASUD1012221")</f>
        <v>MAUTASUD1012221</v>
      </c>
      <c r="B715" s="1">
        <f>IFERROR(__xludf.DUMMYFUNCTION("""COMPUTED_VALUE"""),10.0)</f>
        <v>10</v>
      </c>
      <c r="C715" s="1">
        <f>IFERROR(__xludf.DUMMYFUNCTION("""COMPUTED_VALUE"""),0.0)</f>
        <v>0</v>
      </c>
      <c r="D715" s="1">
        <f>IFERROR(__xludf.DUMMYFUNCTION("""COMPUTED_VALUE"""),0.0)</f>
        <v>0</v>
      </c>
      <c r="E715" s="1">
        <f>IFERROR(__xludf.DUMMYFUNCTION("""COMPUTED_VALUE"""),0.0)</f>
        <v>0</v>
      </c>
    </row>
    <row r="716">
      <c r="A716" s="1" t="str">
        <f>IFERROR(__xludf.DUMMYFUNCTION("""COMPUTED_VALUE"""),"MAUTASUD1012221D")</f>
        <v>MAUTASUD1012221D</v>
      </c>
      <c r="B716" s="1">
        <f>IFERROR(__xludf.DUMMYFUNCTION("""COMPUTED_VALUE"""),10.0)</f>
        <v>10</v>
      </c>
      <c r="C716" s="1">
        <f>IFERROR(__xludf.DUMMYFUNCTION("""COMPUTED_VALUE"""),0.0)</f>
        <v>0</v>
      </c>
      <c r="D716" s="1">
        <f>IFERROR(__xludf.DUMMYFUNCTION("""COMPUTED_VALUE"""),0.0)</f>
        <v>0</v>
      </c>
      <c r="E716" s="1">
        <f>IFERROR(__xludf.DUMMYFUNCTION("""COMPUTED_VALUE"""),0.0)</f>
        <v>0</v>
      </c>
    </row>
    <row r="717">
      <c r="A717" s="1" t="str">
        <f>IFERROR(__xludf.DUMMYFUNCTION("""COMPUTED_VALUE"""),"MAUTASUD13122914")</f>
        <v>MAUTASUD13122914</v>
      </c>
      <c r="B717" s="1">
        <f>IFERROR(__xludf.DUMMYFUNCTION("""COMPUTED_VALUE"""),30.0)</f>
        <v>30</v>
      </c>
      <c r="C717" s="1">
        <f>IFERROR(__xludf.DUMMYFUNCTION("""COMPUTED_VALUE"""),30.0)</f>
        <v>30</v>
      </c>
      <c r="D717" s="1">
        <f>IFERROR(__xludf.DUMMYFUNCTION("""COMPUTED_VALUE"""),30.0)</f>
        <v>30</v>
      </c>
      <c r="E717" s="1">
        <f>IFERROR(__xludf.DUMMYFUNCTION("""COMPUTED_VALUE"""),0.0)</f>
        <v>0</v>
      </c>
    </row>
    <row r="718">
      <c r="A718" s="1" t="str">
        <f>IFERROR(__xludf.DUMMYFUNCTION("""COMPUTED_VALUE"""),"MAUTASUD13122914BD")</f>
        <v>MAUTASUD13122914BD</v>
      </c>
      <c r="B718" s="1">
        <f>IFERROR(__xludf.DUMMYFUNCTION("""COMPUTED_VALUE"""),9.0)</f>
        <v>9</v>
      </c>
      <c r="C718" s="1">
        <f>IFERROR(__xludf.DUMMYFUNCTION("""COMPUTED_VALUE"""),9.0)</f>
        <v>9</v>
      </c>
      <c r="D718" s="1">
        <f>IFERROR(__xludf.DUMMYFUNCTION("""COMPUTED_VALUE"""),9.0)</f>
        <v>9</v>
      </c>
      <c r="E718" s="1">
        <f>IFERROR(__xludf.DUMMYFUNCTION("""COMPUTED_VALUE"""),0.0)</f>
        <v>0</v>
      </c>
    </row>
    <row r="719">
      <c r="A719" s="1" t="str">
        <f>IFERROR(__xludf.DUMMYFUNCTION("""COMPUTED_VALUE"""),"MAUTASUD13122914D")</f>
        <v>MAUTASUD13122914D</v>
      </c>
      <c r="B719" s="1">
        <f>IFERROR(__xludf.DUMMYFUNCTION("""COMPUTED_VALUE"""),7.0)</f>
        <v>7</v>
      </c>
      <c r="C719" s="1">
        <f>IFERROR(__xludf.DUMMYFUNCTION("""COMPUTED_VALUE"""),7.0)</f>
        <v>7</v>
      </c>
      <c r="D719" s="1">
        <f>IFERROR(__xludf.DUMMYFUNCTION("""COMPUTED_VALUE"""),7.0)</f>
        <v>7</v>
      </c>
      <c r="E719" s="1">
        <f>IFERROR(__xludf.DUMMYFUNCTION("""COMPUTED_VALUE"""),0.0)</f>
        <v>0</v>
      </c>
    </row>
    <row r="720">
      <c r="A720" s="1" t="str">
        <f>IFERROR(__xludf.DUMMYFUNCTION("""COMPUTED_VALUE"""),"MAUTASUD1612214")</f>
        <v>MAUTASUD1612214</v>
      </c>
      <c r="B720" s="1">
        <f>IFERROR(__xludf.DUMMYFUNCTION("""COMPUTED_VALUE"""),10.0)</f>
        <v>10</v>
      </c>
      <c r="C720" s="1">
        <f>IFERROR(__xludf.DUMMYFUNCTION("""COMPUTED_VALUE"""),10.0)</f>
        <v>10</v>
      </c>
      <c r="D720" s="1">
        <f>IFERROR(__xludf.DUMMYFUNCTION("""COMPUTED_VALUE"""),10.0)</f>
        <v>10</v>
      </c>
      <c r="E720" s="1">
        <f>IFERROR(__xludf.DUMMYFUNCTION("""COMPUTED_VALUE"""),0.0)</f>
        <v>0</v>
      </c>
    </row>
    <row r="721">
      <c r="A721" s="1" t="str">
        <f>IFERROR(__xludf.DUMMYFUNCTION("""COMPUTED_VALUE"""),"MAUTASUD16122914")</f>
        <v>MAUTASUD16122914</v>
      </c>
      <c r="B721" s="1">
        <f>IFERROR(__xludf.DUMMYFUNCTION("""COMPUTED_VALUE"""),26.0)</f>
        <v>26</v>
      </c>
      <c r="C721" s="1">
        <f>IFERROR(__xludf.DUMMYFUNCTION("""COMPUTED_VALUE"""),26.0)</f>
        <v>26</v>
      </c>
      <c r="D721" s="1">
        <f>IFERROR(__xludf.DUMMYFUNCTION("""COMPUTED_VALUE"""),26.0)</f>
        <v>26</v>
      </c>
      <c r="E721" s="1">
        <f>IFERROR(__xludf.DUMMYFUNCTION("""COMPUTED_VALUE"""),0.0)</f>
        <v>0</v>
      </c>
    </row>
    <row r="722">
      <c r="A722" s="1" t="str">
        <f>IFERROR(__xludf.DUMMYFUNCTION("""COMPUTED_VALUE"""),"MAUTASUD16122914D")</f>
        <v>MAUTASUD16122914D</v>
      </c>
      <c r="B722" s="1">
        <f>IFERROR(__xludf.DUMMYFUNCTION("""COMPUTED_VALUE"""),4.0)</f>
        <v>4</v>
      </c>
      <c r="C722" s="1">
        <f>IFERROR(__xludf.DUMMYFUNCTION("""COMPUTED_VALUE"""),4.0)</f>
        <v>4</v>
      </c>
      <c r="D722" s="1">
        <f>IFERROR(__xludf.DUMMYFUNCTION("""COMPUTED_VALUE"""),4.0)</f>
        <v>4</v>
      </c>
      <c r="E722" s="1">
        <f>IFERROR(__xludf.DUMMYFUNCTION("""COMPUTED_VALUE"""),0.0)</f>
        <v>0</v>
      </c>
    </row>
    <row r="723">
      <c r="A723" s="1" t="str">
        <f>IFERROR(__xludf.DUMMYFUNCTION("""COMPUTED_VALUE"""),"MAUTASUD16BD")</f>
        <v>MAUTASUD16BD</v>
      </c>
      <c r="B723" s="1">
        <f>IFERROR(__xludf.DUMMYFUNCTION("""COMPUTED_VALUE"""),10.0)</f>
        <v>10</v>
      </c>
      <c r="C723" s="1">
        <f>IFERROR(__xludf.DUMMYFUNCTION("""COMPUTED_VALUE"""),10.0)</f>
        <v>10</v>
      </c>
      <c r="D723" s="1">
        <f>IFERROR(__xludf.DUMMYFUNCTION("""COMPUTED_VALUE"""),10.0)</f>
        <v>10</v>
      </c>
      <c r="E723" s="1">
        <f>IFERROR(__xludf.DUMMYFUNCTION("""COMPUTED_VALUE"""),0.0)</f>
        <v>0</v>
      </c>
    </row>
    <row r="724">
      <c r="A724" s="1" t="str">
        <f>IFERROR(__xludf.DUMMYFUNCTION("""COMPUTED_VALUE"""),"MAUTASUD16C0BD")</f>
        <v>MAUTASUD16C0BD</v>
      </c>
      <c r="B724" s="1">
        <f>IFERROR(__xludf.DUMMYFUNCTION("""COMPUTED_VALUE"""),3.0)</f>
        <v>3</v>
      </c>
      <c r="C724" s="1">
        <f>IFERROR(__xludf.DUMMYFUNCTION("""COMPUTED_VALUE"""),3.0)</f>
        <v>3</v>
      </c>
      <c r="D724" s="1">
        <f>IFERROR(__xludf.DUMMYFUNCTION("""COMPUTED_VALUE"""),3.0)</f>
        <v>3</v>
      </c>
      <c r="E724" s="1">
        <f>IFERROR(__xludf.DUMMYFUNCTION("""COMPUTED_VALUE"""),0.0)</f>
        <v>0</v>
      </c>
    </row>
    <row r="725">
      <c r="A725" s="1" t="str">
        <f>IFERROR(__xludf.DUMMYFUNCTION("""COMPUTED_VALUE"""),"MAUTASUD1912209")</f>
        <v>MAUTASUD1912209</v>
      </c>
      <c r="B725" s="1">
        <f>IFERROR(__xludf.DUMMYFUNCTION("""COMPUTED_VALUE"""),10.0)</f>
        <v>10</v>
      </c>
      <c r="C725" s="1">
        <f>IFERROR(__xludf.DUMMYFUNCTION("""COMPUTED_VALUE"""),10.0)</f>
        <v>10</v>
      </c>
      <c r="D725" s="1">
        <f>IFERROR(__xludf.DUMMYFUNCTION("""COMPUTED_VALUE"""),10.0)</f>
        <v>10</v>
      </c>
      <c r="E725" s="1">
        <f>IFERROR(__xludf.DUMMYFUNCTION("""COMPUTED_VALUE"""),0.0)</f>
        <v>0</v>
      </c>
    </row>
    <row r="726">
      <c r="A726" s="1" t="str">
        <f>IFERROR(__xludf.DUMMYFUNCTION("""COMPUTED_VALUE"""),"MAUTASUD19122914")</f>
        <v>MAUTASUD19122914</v>
      </c>
      <c r="B726" s="1">
        <f>IFERROR(__xludf.DUMMYFUNCTION("""COMPUTED_VALUE"""),2.0)</f>
        <v>2</v>
      </c>
      <c r="C726" s="1">
        <f>IFERROR(__xludf.DUMMYFUNCTION("""COMPUTED_VALUE"""),2.0)</f>
        <v>2</v>
      </c>
      <c r="D726" s="1">
        <f>IFERROR(__xludf.DUMMYFUNCTION("""COMPUTED_VALUE"""),2.0)</f>
        <v>2</v>
      </c>
      <c r="E726" s="1">
        <f>IFERROR(__xludf.DUMMYFUNCTION("""COMPUTED_VALUE"""),0.0)</f>
        <v>0</v>
      </c>
    </row>
    <row r="727">
      <c r="A727" s="1" t="str">
        <f>IFERROR(__xludf.DUMMYFUNCTION("""COMPUTED_VALUE"""),"MAUTASUD251228D")</f>
        <v>MAUTASUD251228D</v>
      </c>
      <c r="B727" s="1">
        <f>IFERROR(__xludf.DUMMYFUNCTION("""COMPUTED_VALUE"""),10.0)</f>
        <v>10</v>
      </c>
      <c r="C727" s="1">
        <f>IFERROR(__xludf.DUMMYFUNCTION("""COMPUTED_VALUE"""),0.0)</f>
        <v>0</v>
      </c>
      <c r="D727" s="1">
        <f>IFERROR(__xludf.DUMMYFUNCTION("""COMPUTED_VALUE"""),0.0)</f>
        <v>0</v>
      </c>
      <c r="E727" s="1">
        <f>IFERROR(__xludf.DUMMYFUNCTION("""COMPUTED_VALUE"""),0.0)</f>
        <v>0</v>
      </c>
    </row>
    <row r="728">
      <c r="A728" s="1" t="str">
        <f>IFERROR(__xludf.DUMMYFUNCTION("""COMPUTED_VALUE"""),"MAUTASUD25122914")</f>
        <v>MAUTASUD25122914</v>
      </c>
      <c r="B728" s="1">
        <f>IFERROR(__xludf.DUMMYFUNCTION("""COMPUTED_VALUE"""),27.0)</f>
        <v>27</v>
      </c>
      <c r="C728" s="1">
        <f>IFERROR(__xludf.DUMMYFUNCTION("""COMPUTED_VALUE"""),27.0)</f>
        <v>27</v>
      </c>
      <c r="D728" s="1">
        <f>IFERROR(__xludf.DUMMYFUNCTION("""COMPUTED_VALUE"""),27.0)</f>
        <v>27</v>
      </c>
      <c r="E728" s="1">
        <f>IFERROR(__xludf.DUMMYFUNCTION("""COMPUTED_VALUE"""),0.0)</f>
        <v>0</v>
      </c>
    </row>
    <row r="729">
      <c r="A729" s="1" t="str">
        <f>IFERROR(__xludf.DUMMYFUNCTION("""COMPUTED_VALUE"""),"MAUTASUD25122914BD")</f>
        <v>MAUTASUD25122914BD</v>
      </c>
      <c r="B729" s="1">
        <f>IFERROR(__xludf.DUMMYFUNCTION("""COMPUTED_VALUE"""),8.0)</f>
        <v>8</v>
      </c>
      <c r="C729" s="1">
        <f>IFERROR(__xludf.DUMMYFUNCTION("""COMPUTED_VALUE"""),8.0)</f>
        <v>8</v>
      </c>
      <c r="D729" s="1">
        <f>IFERROR(__xludf.DUMMYFUNCTION("""COMPUTED_VALUE"""),8.0)</f>
        <v>8</v>
      </c>
      <c r="E729" s="1">
        <f>IFERROR(__xludf.DUMMYFUNCTION("""COMPUTED_VALUE"""),0.0)</f>
        <v>0</v>
      </c>
    </row>
    <row r="730">
      <c r="A730" s="1" t="str">
        <f>IFERROR(__xludf.DUMMYFUNCTION("""COMPUTED_VALUE"""),"MAUTASUD25C0BD")</f>
        <v>MAUTASUD25C0BD</v>
      </c>
      <c r="B730" s="1">
        <f>IFERROR(__xludf.DUMMYFUNCTION("""COMPUTED_VALUE"""),3.0)</f>
        <v>3</v>
      </c>
      <c r="C730" s="1">
        <f>IFERROR(__xludf.DUMMYFUNCTION("""COMPUTED_VALUE"""),3.0)</f>
        <v>3</v>
      </c>
      <c r="D730" s="1">
        <f>IFERROR(__xludf.DUMMYFUNCTION("""COMPUTED_VALUE"""),3.0)</f>
        <v>3</v>
      </c>
      <c r="E730" s="1">
        <f>IFERROR(__xludf.DUMMYFUNCTION("""COMPUTED_VALUE"""),0.0)</f>
        <v>0</v>
      </c>
    </row>
    <row r="731">
      <c r="A731" s="1" t="str">
        <f>IFERROR(__xludf.DUMMYFUNCTION("""COMPUTED_VALUE"""),"MAUTASUD32122914")</f>
        <v>MAUTASUD32122914</v>
      </c>
      <c r="B731" s="1">
        <f>IFERROR(__xludf.DUMMYFUNCTION("""COMPUTED_VALUE"""),67.0)</f>
        <v>67</v>
      </c>
      <c r="C731" s="1">
        <f>IFERROR(__xludf.DUMMYFUNCTION("""COMPUTED_VALUE"""),67.0)</f>
        <v>67</v>
      </c>
      <c r="D731" s="1">
        <f>IFERROR(__xludf.DUMMYFUNCTION("""COMPUTED_VALUE"""),67.0)</f>
        <v>67</v>
      </c>
      <c r="E731" s="1">
        <f>IFERROR(__xludf.DUMMYFUNCTION("""COMPUTED_VALUE"""),0.0)</f>
        <v>0</v>
      </c>
    </row>
    <row r="732">
      <c r="A732" s="1" t="str">
        <f>IFERROR(__xludf.DUMMYFUNCTION("""COMPUTED_VALUE"""),"MAUTASUD32122914BD")</f>
        <v>MAUTASUD32122914BD</v>
      </c>
      <c r="B732" s="1">
        <f>IFERROR(__xludf.DUMMYFUNCTION("""COMPUTED_VALUE"""),5.0)</f>
        <v>5</v>
      </c>
      <c r="C732" s="1">
        <f>IFERROR(__xludf.DUMMYFUNCTION("""COMPUTED_VALUE"""),5.0)</f>
        <v>5</v>
      </c>
      <c r="D732" s="1">
        <f>IFERROR(__xludf.DUMMYFUNCTION("""COMPUTED_VALUE"""),5.0)</f>
        <v>5</v>
      </c>
      <c r="E732" s="1">
        <f>IFERROR(__xludf.DUMMYFUNCTION("""COMPUTED_VALUE"""),0.0)</f>
        <v>0</v>
      </c>
    </row>
    <row r="733">
      <c r="A733" s="1" t="str">
        <f>IFERROR(__xludf.DUMMYFUNCTION("""COMPUTED_VALUE"""),"MAUTASUD32122914D")</f>
        <v>MAUTASUD32122914D</v>
      </c>
      <c r="B733" s="1">
        <f>IFERROR(__xludf.DUMMYFUNCTION("""COMPUTED_VALUE"""),8.0)</f>
        <v>8</v>
      </c>
      <c r="C733" s="1">
        <f>IFERROR(__xludf.DUMMYFUNCTION("""COMPUTED_VALUE"""),8.0)</f>
        <v>8</v>
      </c>
      <c r="D733" s="1">
        <f>IFERROR(__xludf.DUMMYFUNCTION("""COMPUTED_VALUE"""),8.0)</f>
        <v>8</v>
      </c>
      <c r="E733" s="1">
        <f>IFERROR(__xludf.DUMMYFUNCTION("""COMPUTED_VALUE"""),0.0)</f>
        <v>0</v>
      </c>
    </row>
    <row r="734">
      <c r="A734" s="1" t="str">
        <f>IFERROR(__xludf.DUMMYFUNCTION("""COMPUTED_VALUE"""),"MAUTASUD32C0BD")</f>
        <v>MAUTASUD32C0BD</v>
      </c>
      <c r="B734" s="1">
        <f>IFERROR(__xludf.DUMMYFUNCTION("""COMPUTED_VALUE"""),3.0)</f>
        <v>3</v>
      </c>
      <c r="C734" s="1">
        <f>IFERROR(__xludf.DUMMYFUNCTION("""COMPUTED_VALUE"""),3.0)</f>
        <v>3</v>
      </c>
      <c r="D734" s="1">
        <f>IFERROR(__xludf.DUMMYFUNCTION("""COMPUTED_VALUE"""),3.0)</f>
        <v>3</v>
      </c>
      <c r="E734" s="1">
        <f>IFERROR(__xludf.DUMMYFUNCTION("""COMPUTED_VALUE"""),0.0)</f>
        <v>0</v>
      </c>
    </row>
    <row r="735">
      <c r="A735" s="1" t="str">
        <f>IFERROR(__xludf.DUMMYFUNCTION("""COMPUTED_VALUE"""),"MAUTASUD38122914")</f>
        <v>MAUTASUD38122914</v>
      </c>
      <c r="B735" s="1">
        <f>IFERROR(__xludf.DUMMYFUNCTION("""COMPUTED_VALUE"""),31.0)</f>
        <v>31</v>
      </c>
      <c r="C735" s="1">
        <f>IFERROR(__xludf.DUMMYFUNCTION("""COMPUTED_VALUE"""),31.0)</f>
        <v>31</v>
      </c>
      <c r="D735" s="1">
        <f>IFERROR(__xludf.DUMMYFUNCTION("""COMPUTED_VALUE"""),31.0)</f>
        <v>31</v>
      </c>
      <c r="E735" s="1">
        <f>IFERROR(__xludf.DUMMYFUNCTION("""COMPUTED_VALUE"""),0.0)</f>
        <v>0</v>
      </c>
    </row>
    <row r="736">
      <c r="A736" s="1" t="str">
        <f>IFERROR(__xludf.DUMMYFUNCTION("""COMPUTED_VALUE"""),"MAUTASUD38C0BD")</f>
        <v>MAUTASUD38C0BD</v>
      </c>
      <c r="B736" s="1">
        <f>IFERROR(__xludf.DUMMYFUNCTION("""COMPUTED_VALUE"""),3.0)</f>
        <v>3</v>
      </c>
      <c r="C736" s="1">
        <f>IFERROR(__xludf.DUMMYFUNCTION("""COMPUTED_VALUE"""),3.0)</f>
        <v>3</v>
      </c>
      <c r="D736" s="1">
        <f>IFERROR(__xludf.DUMMYFUNCTION("""COMPUTED_VALUE"""),3.0)</f>
        <v>3</v>
      </c>
      <c r="E736" s="1">
        <f>IFERROR(__xludf.DUMMYFUNCTION("""COMPUTED_VALUE"""),0.0)</f>
        <v>0</v>
      </c>
    </row>
    <row r="737">
      <c r="A737" s="1" t="str">
        <f>IFERROR(__xludf.DUMMYFUNCTION("""COMPUTED_VALUE"""),"MAUTASUD50122914")</f>
        <v>MAUTASUD50122914</v>
      </c>
      <c r="B737" s="1">
        <f>IFERROR(__xludf.DUMMYFUNCTION("""COMPUTED_VALUE"""),93.0)</f>
        <v>93</v>
      </c>
      <c r="C737" s="1">
        <f>IFERROR(__xludf.DUMMYFUNCTION("""COMPUTED_VALUE"""),93.0)</f>
        <v>93</v>
      </c>
      <c r="D737" s="1">
        <f>IFERROR(__xludf.DUMMYFUNCTION("""COMPUTED_VALUE"""),93.0)</f>
        <v>93</v>
      </c>
      <c r="E737" s="1">
        <f>IFERROR(__xludf.DUMMYFUNCTION("""COMPUTED_VALUE"""),0.0)</f>
        <v>0</v>
      </c>
    </row>
    <row r="738">
      <c r="A738" s="1" t="str">
        <f>IFERROR(__xludf.DUMMYFUNCTION("""COMPUTED_VALUE"""),"MAUTP0635061")</f>
        <v>MAUTP0635061</v>
      </c>
      <c r="B738" s="1">
        <f>IFERROR(__xludf.DUMMYFUNCTION("""COMPUTED_VALUE"""),29.0)</f>
        <v>29</v>
      </c>
      <c r="C738" s="1">
        <f>IFERROR(__xludf.DUMMYFUNCTION("""COMPUTED_VALUE"""),29.0)</f>
        <v>29</v>
      </c>
      <c r="D738" s="1">
        <f>IFERROR(__xludf.DUMMYFUNCTION("""COMPUTED_VALUE"""),29.0)</f>
        <v>29</v>
      </c>
      <c r="E738" s="1">
        <f>IFERROR(__xludf.DUMMYFUNCTION("""COMPUTED_VALUE"""),0.0)</f>
        <v>0</v>
      </c>
    </row>
    <row r="739">
      <c r="A739" s="1" t="str">
        <f>IFERROR(__xludf.DUMMYFUNCTION("""COMPUTED_VALUE"""),"MAUTP0635071")</f>
        <v>MAUTP0635071</v>
      </c>
      <c r="B739" s="1">
        <f>IFERROR(__xludf.DUMMYFUNCTION("""COMPUTED_VALUE"""),48.0)</f>
        <v>48</v>
      </c>
      <c r="C739" s="1">
        <f>IFERROR(__xludf.DUMMYFUNCTION("""COMPUTED_VALUE"""),48.0)</f>
        <v>48</v>
      </c>
      <c r="D739" s="1">
        <f>IFERROR(__xludf.DUMMYFUNCTION("""COMPUTED_VALUE"""),48.0)</f>
        <v>48</v>
      </c>
      <c r="E739" s="1">
        <f>IFERROR(__xludf.DUMMYFUNCTION("""COMPUTED_VALUE"""),0.0)</f>
        <v>0</v>
      </c>
    </row>
    <row r="740">
      <c r="A740" s="1" t="str">
        <f>IFERROR(__xludf.DUMMYFUNCTION("""COMPUTED_VALUE"""),"MAUTP0635081")</f>
        <v>MAUTP0635081</v>
      </c>
      <c r="B740" s="1">
        <f>IFERROR(__xludf.DUMMYFUNCTION("""COMPUTED_VALUE"""),58.0)</f>
        <v>58</v>
      </c>
      <c r="C740" s="1">
        <f>IFERROR(__xludf.DUMMYFUNCTION("""COMPUTED_VALUE"""),67.0)</f>
        <v>67</v>
      </c>
      <c r="D740" s="1">
        <f>IFERROR(__xludf.DUMMYFUNCTION("""COMPUTED_VALUE"""),58.0)</f>
        <v>58</v>
      </c>
      <c r="E740" s="1">
        <f>IFERROR(__xludf.DUMMYFUNCTION("""COMPUTED_VALUE"""),9.0)</f>
        <v>9</v>
      </c>
    </row>
    <row r="741">
      <c r="A741" s="1" t="str">
        <f>IFERROR(__xludf.DUMMYFUNCTION("""COMPUTED_VALUE"""),"MAUTP0952061")</f>
        <v>MAUTP0952061</v>
      </c>
      <c r="B741" s="1">
        <f>IFERROR(__xludf.DUMMYFUNCTION("""COMPUTED_VALUE"""),4.0)</f>
        <v>4</v>
      </c>
      <c r="C741" s="1">
        <f>IFERROR(__xludf.DUMMYFUNCTION("""COMPUTED_VALUE"""),4.0)</f>
        <v>4</v>
      </c>
      <c r="D741" s="1">
        <f>IFERROR(__xludf.DUMMYFUNCTION("""COMPUTED_VALUE"""),4.0)</f>
        <v>4</v>
      </c>
      <c r="E741" s="1">
        <f>IFERROR(__xludf.DUMMYFUNCTION("""COMPUTED_VALUE"""),0.0)</f>
        <v>0</v>
      </c>
    </row>
    <row r="742">
      <c r="A742" s="1" t="str">
        <f>IFERROR(__xludf.DUMMYFUNCTION("""COMPUTED_VALUE"""),"MAUTP0952071")</f>
        <v>MAUTP0952071</v>
      </c>
      <c r="B742" s="1">
        <f>IFERROR(__xludf.DUMMYFUNCTION("""COMPUTED_VALUE"""),86.0)</f>
        <v>86</v>
      </c>
      <c r="C742" s="1">
        <f>IFERROR(__xludf.DUMMYFUNCTION("""COMPUTED_VALUE"""),86.0)</f>
        <v>86</v>
      </c>
      <c r="D742" s="1">
        <f>IFERROR(__xludf.DUMMYFUNCTION("""COMPUTED_VALUE"""),86.0)</f>
        <v>86</v>
      </c>
      <c r="E742" s="1">
        <f>IFERROR(__xludf.DUMMYFUNCTION("""COMPUTED_VALUE"""),0.0)</f>
        <v>0</v>
      </c>
    </row>
    <row r="743">
      <c r="A743" s="1" t="str">
        <f>IFERROR(__xludf.DUMMYFUNCTION("""COMPUTED_VALUE"""),"MAUTP0952081")</f>
        <v>MAUTP0952081</v>
      </c>
      <c r="B743" s="1">
        <f>IFERROR(__xludf.DUMMYFUNCTION("""COMPUTED_VALUE"""),87.0)</f>
        <v>87</v>
      </c>
      <c r="C743" s="1">
        <f>IFERROR(__xludf.DUMMYFUNCTION("""COMPUTED_VALUE"""),95.0)</f>
        <v>95</v>
      </c>
      <c r="D743" s="1">
        <f>IFERROR(__xludf.DUMMYFUNCTION("""COMPUTED_VALUE"""),87.0)</f>
        <v>87</v>
      </c>
      <c r="E743" s="1">
        <f>IFERROR(__xludf.DUMMYFUNCTION("""COMPUTED_VALUE"""),8.0)</f>
        <v>8</v>
      </c>
    </row>
    <row r="744">
      <c r="A744" s="1" t="str">
        <f>IFERROR(__xludf.DUMMYFUNCTION("""COMPUTED_VALUE"""),"MAUTP1270071")</f>
        <v>MAUTP1270071</v>
      </c>
      <c r="B744" s="1">
        <f>IFERROR(__xludf.DUMMYFUNCTION("""COMPUTED_VALUE"""),39.0)</f>
        <v>39</v>
      </c>
      <c r="C744" s="1">
        <f>IFERROR(__xludf.DUMMYFUNCTION("""COMPUTED_VALUE"""),39.0)</f>
        <v>39</v>
      </c>
      <c r="D744" s="1">
        <f>IFERROR(__xludf.DUMMYFUNCTION("""COMPUTED_VALUE"""),39.0)</f>
        <v>39</v>
      </c>
      <c r="E744" s="1">
        <f>IFERROR(__xludf.DUMMYFUNCTION("""COMPUTED_VALUE"""),0.0)</f>
        <v>0</v>
      </c>
    </row>
    <row r="745">
      <c r="A745" s="1" t="str">
        <f>IFERROR(__xludf.DUMMYFUNCTION("""COMPUTED_VALUE"""),"MAUTP1270081")</f>
        <v>MAUTP1270081</v>
      </c>
      <c r="B745" s="1">
        <f>IFERROR(__xludf.DUMMYFUNCTION("""COMPUTED_VALUE"""),78.0)</f>
        <v>78</v>
      </c>
      <c r="C745" s="1">
        <f>IFERROR(__xludf.DUMMYFUNCTION("""COMPUTED_VALUE"""),86.0)</f>
        <v>86</v>
      </c>
      <c r="D745" s="1">
        <f>IFERROR(__xludf.DUMMYFUNCTION("""COMPUTED_VALUE"""),78.0)</f>
        <v>78</v>
      </c>
      <c r="E745" s="1">
        <f>IFERROR(__xludf.DUMMYFUNCTION("""COMPUTED_VALUE"""),8.0)</f>
        <v>8</v>
      </c>
    </row>
    <row r="746">
      <c r="A746" s="1" t="str">
        <f>IFERROR(__xludf.DUMMYFUNCTION("""COMPUTED_VALUE"""),"MAUTP1270081100")</f>
        <v>MAUTP1270081100</v>
      </c>
      <c r="B746" s="1">
        <f>IFERROR(__xludf.DUMMYFUNCTION("""COMPUTED_VALUE"""),1.0)</f>
        <v>1</v>
      </c>
      <c r="C746" s="1">
        <f>IFERROR(__xludf.DUMMYFUNCTION("""COMPUTED_VALUE"""),1.0)</f>
        <v>1</v>
      </c>
      <c r="D746" s="1">
        <f>IFERROR(__xludf.DUMMYFUNCTION("""COMPUTED_VALUE"""),1.0)</f>
        <v>1</v>
      </c>
      <c r="E746" s="1">
        <f>IFERROR(__xludf.DUMMYFUNCTION("""COMPUTED_VALUE"""),0.0)</f>
        <v>0</v>
      </c>
    </row>
    <row r="747">
      <c r="A747" s="1" t="str">
        <f>IFERROR(__xludf.DUMMYFUNCTION("""COMPUTED_VALUE"""),"MAUTP1270100")</f>
        <v>MAUTP1270100</v>
      </c>
      <c r="B747" s="1">
        <f>IFERROR(__xludf.DUMMYFUNCTION("""COMPUTED_VALUE"""),4.0)</f>
        <v>4</v>
      </c>
      <c r="C747" s="1">
        <f>IFERROR(__xludf.DUMMYFUNCTION("""COMPUTED_VALUE"""),5.0)</f>
        <v>5</v>
      </c>
      <c r="D747" s="1">
        <f>IFERROR(__xludf.DUMMYFUNCTION("""COMPUTED_VALUE"""),4.0)</f>
        <v>4</v>
      </c>
      <c r="E747" s="1">
        <f>IFERROR(__xludf.DUMMYFUNCTION("""COMPUTED_VALUE"""),1.0)</f>
        <v>1</v>
      </c>
    </row>
    <row r="748">
      <c r="A748" s="1" t="str">
        <f>IFERROR(__xludf.DUMMYFUNCTION("""COMPUTED_VALUE"""),"MAUTP1588071")</f>
        <v>MAUTP1588071</v>
      </c>
      <c r="B748" s="1">
        <f>IFERROR(__xludf.DUMMYFUNCTION("""COMPUTED_VALUE"""),96.0)</f>
        <v>96</v>
      </c>
      <c r="C748" s="1">
        <f>IFERROR(__xludf.DUMMYFUNCTION("""COMPUTED_VALUE"""),98.0)</f>
        <v>98</v>
      </c>
      <c r="D748" s="1">
        <f>IFERROR(__xludf.DUMMYFUNCTION("""COMPUTED_VALUE"""),96.0)</f>
        <v>96</v>
      </c>
      <c r="E748" s="1">
        <f>IFERROR(__xludf.DUMMYFUNCTION("""COMPUTED_VALUE"""),2.0)</f>
        <v>2</v>
      </c>
    </row>
    <row r="749">
      <c r="A749" s="1" t="str">
        <f>IFERROR(__xludf.DUMMYFUNCTION("""COMPUTED_VALUE"""),"MAUTP1588081")</f>
        <v>MAUTP1588081</v>
      </c>
      <c r="B749" s="1">
        <f>IFERROR(__xludf.DUMMYFUNCTION("""COMPUTED_VALUE"""),85.0)</f>
        <v>85</v>
      </c>
      <c r="C749" s="1">
        <f>IFERROR(__xludf.DUMMYFUNCTION("""COMPUTED_VALUE"""),98.0)</f>
        <v>98</v>
      </c>
      <c r="D749" s="1">
        <f>IFERROR(__xludf.DUMMYFUNCTION("""COMPUTED_VALUE"""),85.0)</f>
        <v>85</v>
      </c>
      <c r="E749" s="1">
        <f>IFERROR(__xludf.DUMMYFUNCTION("""COMPUTED_VALUE"""),13.0)</f>
        <v>13</v>
      </c>
    </row>
    <row r="750">
      <c r="A750" s="1" t="str">
        <f>IFERROR(__xludf.DUMMYFUNCTION("""COMPUTED_VALUE"""),"MAUTP1588100")</f>
        <v>MAUTP1588100</v>
      </c>
      <c r="B750" s="1">
        <f>IFERROR(__xludf.DUMMYFUNCTION("""COMPUTED_VALUE"""),92.0)</f>
        <v>92</v>
      </c>
      <c r="C750" s="1">
        <f>IFERROR(__xludf.DUMMYFUNCTION("""COMPUTED_VALUE"""),92.0)</f>
        <v>92</v>
      </c>
      <c r="D750" s="1">
        <f>IFERROR(__xludf.DUMMYFUNCTION("""COMPUTED_VALUE"""),92.0)</f>
        <v>92</v>
      </c>
      <c r="E750" s="1">
        <f>IFERROR(__xludf.DUMMYFUNCTION("""COMPUTED_VALUE"""),0.0)</f>
        <v>0</v>
      </c>
    </row>
    <row r="751">
      <c r="A751" s="1" t="str">
        <f>IFERROR(__xludf.DUMMYFUNCTION("""COMPUTED_VALUE"""),"MAUTP1588120")</f>
        <v>MAUTP1588120</v>
      </c>
      <c r="B751" s="1">
        <f>IFERROR(__xludf.DUMMYFUNCTION("""COMPUTED_VALUE"""),5.0)</f>
        <v>5</v>
      </c>
      <c r="C751" s="1">
        <f>IFERROR(__xludf.DUMMYFUNCTION("""COMPUTED_VALUE"""),10.0)</f>
        <v>10</v>
      </c>
      <c r="D751" s="1">
        <f>IFERROR(__xludf.DUMMYFUNCTION("""COMPUTED_VALUE"""),5.0)</f>
        <v>5</v>
      </c>
      <c r="E751" s="1">
        <f>IFERROR(__xludf.DUMMYFUNCTION("""COMPUTED_VALUE"""),5.0)</f>
        <v>5</v>
      </c>
    </row>
    <row r="752">
      <c r="A752" s="1" t="str">
        <f>IFERROR(__xludf.DUMMYFUNCTION("""COMPUTED_VALUE"""),"MAUTP1905071")</f>
        <v>MAUTP1905071</v>
      </c>
      <c r="B752" s="1">
        <f>IFERROR(__xludf.DUMMYFUNCTION("""COMPUTED_VALUE"""),56.0)</f>
        <v>56</v>
      </c>
      <c r="C752" s="1">
        <f>IFERROR(__xludf.DUMMYFUNCTION("""COMPUTED_VALUE"""),56.0)</f>
        <v>56</v>
      </c>
      <c r="D752" s="1">
        <f>IFERROR(__xludf.DUMMYFUNCTION("""COMPUTED_VALUE"""),56.0)</f>
        <v>56</v>
      </c>
      <c r="E752" s="1">
        <f>IFERROR(__xludf.DUMMYFUNCTION("""COMPUTED_VALUE"""),0.0)</f>
        <v>0</v>
      </c>
    </row>
    <row r="753">
      <c r="A753" s="1" t="str">
        <f>IFERROR(__xludf.DUMMYFUNCTION("""COMPUTED_VALUE"""),"MAUTP1905081")</f>
        <v>MAUTP1905081</v>
      </c>
      <c r="B753" s="1">
        <f>IFERROR(__xludf.DUMMYFUNCTION("""COMPUTED_VALUE"""),96.0)</f>
        <v>96</v>
      </c>
      <c r="C753" s="1">
        <f>IFERROR(__xludf.DUMMYFUNCTION("""COMPUTED_VALUE"""),104.0)</f>
        <v>104</v>
      </c>
      <c r="D753" s="1">
        <f>IFERROR(__xludf.DUMMYFUNCTION("""COMPUTED_VALUE"""),96.0)</f>
        <v>96</v>
      </c>
      <c r="E753" s="1">
        <f>IFERROR(__xludf.DUMMYFUNCTION("""COMPUTED_VALUE"""),8.0)</f>
        <v>8</v>
      </c>
    </row>
    <row r="754">
      <c r="A754" s="1" t="str">
        <f>IFERROR(__xludf.DUMMYFUNCTION("""COMPUTED_VALUE"""),"MAUTP1905081150")</f>
        <v>MAUTP1905081150</v>
      </c>
      <c r="B754" s="1">
        <f>IFERROR(__xludf.DUMMYFUNCTION("""COMPUTED_VALUE"""),1.0)</f>
        <v>1</v>
      </c>
      <c r="C754" s="1">
        <f>IFERROR(__xludf.DUMMYFUNCTION("""COMPUTED_VALUE"""),1.0)</f>
        <v>1</v>
      </c>
      <c r="D754" s="1">
        <f>IFERROR(__xludf.DUMMYFUNCTION("""COMPUTED_VALUE"""),1.0)</f>
        <v>1</v>
      </c>
      <c r="E754" s="1">
        <f>IFERROR(__xludf.DUMMYFUNCTION("""COMPUTED_VALUE"""),0.0)</f>
        <v>0</v>
      </c>
    </row>
    <row r="755">
      <c r="A755" s="1" t="str">
        <f>IFERROR(__xludf.DUMMYFUNCTION("""COMPUTED_VALUE"""),"MAUTP1905100")</f>
        <v>MAUTP1905100</v>
      </c>
      <c r="B755" s="1">
        <f>IFERROR(__xludf.DUMMYFUNCTION("""COMPUTED_VALUE"""),43.0)</f>
        <v>43</v>
      </c>
      <c r="C755" s="1">
        <f>IFERROR(__xludf.DUMMYFUNCTION("""COMPUTED_VALUE"""),60.0)</f>
        <v>60</v>
      </c>
      <c r="D755" s="1">
        <f>IFERROR(__xludf.DUMMYFUNCTION("""COMPUTED_VALUE"""),43.0)</f>
        <v>43</v>
      </c>
      <c r="E755" s="1">
        <f>IFERROR(__xludf.DUMMYFUNCTION("""COMPUTED_VALUE"""),17.0)</f>
        <v>17</v>
      </c>
    </row>
    <row r="756">
      <c r="A756" s="1" t="str">
        <f>IFERROR(__xludf.DUMMYFUNCTION("""COMPUTED_VALUE"""),"MAUTP2222081")</f>
        <v>MAUTP2222081</v>
      </c>
      <c r="B756" s="1">
        <f>IFERROR(__xludf.DUMMYFUNCTION("""COMPUTED_VALUE"""),19.0)</f>
        <v>19</v>
      </c>
      <c r="C756" s="1">
        <f>IFERROR(__xludf.DUMMYFUNCTION("""COMPUTED_VALUE"""),19.0)</f>
        <v>19</v>
      </c>
      <c r="D756" s="1">
        <f>IFERROR(__xludf.DUMMYFUNCTION("""COMPUTED_VALUE"""),19.0)</f>
        <v>19</v>
      </c>
      <c r="E756" s="1">
        <f>IFERROR(__xludf.DUMMYFUNCTION("""COMPUTED_VALUE"""),0.0)</f>
        <v>0</v>
      </c>
    </row>
    <row r="757">
      <c r="A757" s="1" t="str">
        <f>IFERROR(__xludf.DUMMYFUNCTION("""COMPUTED_VALUE"""),"MAUTP2222100")</f>
        <v>MAUTP2222100</v>
      </c>
      <c r="B757" s="1">
        <f>IFERROR(__xludf.DUMMYFUNCTION("""COMPUTED_VALUE"""),54.0)</f>
        <v>54</v>
      </c>
      <c r="C757" s="1">
        <f>IFERROR(__xludf.DUMMYFUNCTION("""COMPUTED_VALUE"""),69.0)</f>
        <v>69</v>
      </c>
      <c r="D757" s="1">
        <f>IFERROR(__xludf.DUMMYFUNCTION("""COMPUTED_VALUE"""),54.0)</f>
        <v>54</v>
      </c>
      <c r="E757" s="1">
        <f>IFERROR(__xludf.DUMMYFUNCTION("""COMPUTED_VALUE"""),15.0)</f>
        <v>15</v>
      </c>
    </row>
    <row r="758">
      <c r="A758" s="1" t="str">
        <f>IFERROR(__xludf.DUMMYFUNCTION("""COMPUTED_VALUE"""),"MAUTP2222120")</f>
        <v>MAUTP2222120</v>
      </c>
      <c r="B758" s="1">
        <f>IFERROR(__xludf.DUMMYFUNCTION("""COMPUTED_VALUE"""),65.0)</f>
        <v>65</v>
      </c>
      <c r="C758" s="1">
        <f>IFERROR(__xludf.DUMMYFUNCTION("""COMPUTED_VALUE"""),73.0)</f>
        <v>73</v>
      </c>
      <c r="D758" s="1">
        <f>IFERROR(__xludf.DUMMYFUNCTION("""COMPUTED_VALUE"""),65.0)</f>
        <v>65</v>
      </c>
      <c r="E758" s="1">
        <f>IFERROR(__xludf.DUMMYFUNCTION("""COMPUTED_VALUE"""),8.0)</f>
        <v>8</v>
      </c>
    </row>
    <row r="759">
      <c r="A759" s="1" t="str">
        <f>IFERROR(__xludf.DUMMYFUNCTION("""COMPUTED_VALUE"""),"MAUTP2222120100")</f>
        <v>MAUTP2222120100</v>
      </c>
      <c r="B759" s="1">
        <f>IFERROR(__xludf.DUMMYFUNCTION("""COMPUTED_VALUE"""),1.0)</f>
        <v>1</v>
      </c>
      <c r="C759" s="1">
        <f>IFERROR(__xludf.DUMMYFUNCTION("""COMPUTED_VALUE"""),1.0)</f>
        <v>1</v>
      </c>
      <c r="D759" s="1">
        <f>IFERROR(__xludf.DUMMYFUNCTION("""COMPUTED_VALUE"""),1.0)</f>
        <v>1</v>
      </c>
      <c r="E759" s="1">
        <f>IFERROR(__xludf.DUMMYFUNCTION("""COMPUTED_VALUE"""),0.0)</f>
        <v>0</v>
      </c>
    </row>
    <row r="760">
      <c r="A760" s="1" t="str">
        <f>IFERROR(__xludf.DUMMYFUNCTION("""COMPUTED_VALUE"""),"MAUTP2540100")</f>
        <v>MAUTP2540100</v>
      </c>
      <c r="B760" s="1">
        <f>IFERROR(__xludf.DUMMYFUNCTION("""COMPUTED_VALUE"""),19.0)</f>
        <v>19</v>
      </c>
      <c r="C760" s="1">
        <f>IFERROR(__xludf.DUMMYFUNCTION("""COMPUTED_VALUE"""),38.0)</f>
        <v>38</v>
      </c>
      <c r="D760" s="1">
        <f>IFERROR(__xludf.DUMMYFUNCTION("""COMPUTED_VALUE"""),19.0)</f>
        <v>19</v>
      </c>
      <c r="E760" s="1">
        <f>IFERROR(__xludf.DUMMYFUNCTION("""COMPUTED_VALUE"""),19.0)</f>
        <v>19</v>
      </c>
    </row>
    <row r="761">
      <c r="A761" s="1" t="str">
        <f>IFERROR(__xludf.DUMMYFUNCTION("""COMPUTED_VALUE"""),"MAUTP2540120")</f>
        <v>MAUTP2540120</v>
      </c>
      <c r="B761" s="1">
        <f>IFERROR(__xludf.DUMMYFUNCTION("""COMPUTED_VALUE"""),172.0)</f>
        <v>172</v>
      </c>
      <c r="C761" s="1">
        <f>IFERROR(__xludf.DUMMYFUNCTION("""COMPUTED_VALUE"""),186.0)</f>
        <v>186</v>
      </c>
      <c r="D761" s="1">
        <f>IFERROR(__xludf.DUMMYFUNCTION("""COMPUTED_VALUE"""),172.0)</f>
        <v>172</v>
      </c>
      <c r="E761" s="1">
        <f>IFERROR(__xludf.DUMMYFUNCTION("""COMPUTED_VALUE"""),14.0)</f>
        <v>14</v>
      </c>
    </row>
    <row r="762">
      <c r="A762" s="1" t="str">
        <f>IFERROR(__xludf.DUMMYFUNCTION("""COMPUTED_VALUE"""),"MAUTP2858100")</f>
        <v>MAUTP2858100</v>
      </c>
      <c r="B762" s="1">
        <f>IFERROR(__xludf.DUMMYFUNCTION("""COMPUTED_VALUE"""),42.0)</f>
        <v>42</v>
      </c>
      <c r="C762" s="1">
        <f>IFERROR(__xludf.DUMMYFUNCTION("""COMPUTED_VALUE"""),62.0)</f>
        <v>62</v>
      </c>
      <c r="D762" s="1">
        <f>IFERROR(__xludf.DUMMYFUNCTION("""COMPUTED_VALUE"""),42.0)</f>
        <v>42</v>
      </c>
      <c r="E762" s="1">
        <f>IFERROR(__xludf.DUMMYFUNCTION("""COMPUTED_VALUE"""),20.0)</f>
        <v>20</v>
      </c>
    </row>
    <row r="763">
      <c r="A763" s="1" t="str">
        <f>IFERROR(__xludf.DUMMYFUNCTION("""COMPUTED_VALUE"""),"MAUTP2858120")</f>
        <v>MAUTP2858120</v>
      </c>
      <c r="B763" s="1">
        <f>IFERROR(__xludf.DUMMYFUNCTION("""COMPUTED_VALUE"""),41.0)</f>
        <v>41</v>
      </c>
      <c r="C763" s="1">
        <f>IFERROR(__xludf.DUMMYFUNCTION("""COMPUTED_VALUE"""),61.0)</f>
        <v>61</v>
      </c>
      <c r="D763" s="1">
        <f>IFERROR(__xludf.DUMMYFUNCTION("""COMPUTED_VALUE"""),41.0)</f>
        <v>41</v>
      </c>
      <c r="E763" s="1">
        <f>IFERROR(__xludf.DUMMYFUNCTION("""COMPUTED_VALUE"""),20.0)</f>
        <v>20</v>
      </c>
    </row>
    <row r="764">
      <c r="A764" s="1" t="str">
        <f>IFERROR(__xludf.DUMMYFUNCTION("""COMPUTED_VALUE"""),"MAUTP2858140")</f>
        <v>MAUTP2858140</v>
      </c>
      <c r="B764" s="1">
        <f>IFERROR(__xludf.DUMMYFUNCTION("""COMPUTED_VALUE"""),46.0)</f>
        <v>46</v>
      </c>
      <c r="C764" s="1">
        <f>IFERROR(__xludf.DUMMYFUNCTION("""COMPUTED_VALUE"""),46.0)</f>
        <v>46</v>
      </c>
      <c r="D764" s="1">
        <f>IFERROR(__xludf.DUMMYFUNCTION("""COMPUTED_VALUE"""),46.0)</f>
        <v>46</v>
      </c>
      <c r="E764" s="1">
        <f>IFERROR(__xludf.DUMMYFUNCTION("""COMPUTED_VALUE"""),0.0)</f>
        <v>0</v>
      </c>
    </row>
    <row r="765">
      <c r="A765" s="1" t="str">
        <f>IFERROR(__xludf.DUMMYFUNCTION("""COMPUTED_VALUE"""),"MAUTP3175100")</f>
        <v>MAUTP3175100</v>
      </c>
      <c r="B765" s="1">
        <f>IFERROR(__xludf.DUMMYFUNCTION("""COMPUTED_VALUE"""),19.0)</f>
        <v>19</v>
      </c>
      <c r="C765" s="1">
        <f>IFERROR(__xludf.DUMMYFUNCTION("""COMPUTED_VALUE"""),34.0)</f>
        <v>34</v>
      </c>
      <c r="D765" s="1">
        <f>IFERROR(__xludf.DUMMYFUNCTION("""COMPUTED_VALUE"""),19.0)</f>
        <v>19</v>
      </c>
      <c r="E765" s="1">
        <f>IFERROR(__xludf.DUMMYFUNCTION("""COMPUTED_VALUE"""),15.0)</f>
        <v>15</v>
      </c>
    </row>
    <row r="766">
      <c r="A766" s="1" t="str">
        <f>IFERROR(__xludf.DUMMYFUNCTION("""COMPUTED_VALUE"""),"MAUTP3175140")</f>
        <v>MAUTP3175140</v>
      </c>
      <c r="B766" s="1">
        <f>IFERROR(__xludf.DUMMYFUNCTION("""COMPUTED_VALUE"""),34.0)</f>
        <v>34</v>
      </c>
      <c r="C766" s="1">
        <f>IFERROR(__xludf.DUMMYFUNCTION("""COMPUTED_VALUE"""),34.0)</f>
        <v>34</v>
      </c>
      <c r="D766" s="1">
        <f>IFERROR(__xludf.DUMMYFUNCTION("""COMPUTED_VALUE"""),34.0)</f>
        <v>34</v>
      </c>
      <c r="E766" s="1">
        <f>IFERROR(__xludf.DUMMYFUNCTION("""COMPUTED_VALUE"""),0.0)</f>
        <v>0</v>
      </c>
    </row>
    <row r="767">
      <c r="A767" s="1" t="str">
        <f>IFERROR(__xludf.DUMMYFUNCTION("""COMPUTED_VALUE"""),"MAUTP3493100")</f>
        <v>MAUTP3493100</v>
      </c>
      <c r="B767" s="1">
        <f>IFERROR(__xludf.DUMMYFUNCTION("""COMPUTED_VALUE"""),50.0)</f>
        <v>50</v>
      </c>
      <c r="C767" s="1">
        <f>IFERROR(__xludf.DUMMYFUNCTION("""COMPUTED_VALUE"""),62.0)</f>
        <v>62</v>
      </c>
      <c r="D767" s="1">
        <f>IFERROR(__xludf.DUMMYFUNCTION("""COMPUTED_VALUE"""),50.0)</f>
        <v>50</v>
      </c>
      <c r="E767" s="1">
        <f>IFERROR(__xludf.DUMMYFUNCTION("""COMPUTED_VALUE"""),12.0)</f>
        <v>12</v>
      </c>
    </row>
    <row r="768">
      <c r="A768" s="1" t="str">
        <f>IFERROR(__xludf.DUMMYFUNCTION("""COMPUTED_VALUE"""),"MAUTP3493120")</f>
        <v>MAUTP3493120</v>
      </c>
      <c r="B768" s="1">
        <f>IFERROR(__xludf.DUMMYFUNCTION("""COMPUTED_VALUE"""),28.0)</f>
        <v>28</v>
      </c>
      <c r="C768" s="1">
        <f>IFERROR(__xludf.DUMMYFUNCTION("""COMPUTED_VALUE"""),38.0)</f>
        <v>38</v>
      </c>
      <c r="D768" s="1">
        <f>IFERROR(__xludf.DUMMYFUNCTION("""COMPUTED_VALUE"""),28.0)</f>
        <v>28</v>
      </c>
      <c r="E768" s="1">
        <f>IFERROR(__xludf.DUMMYFUNCTION("""COMPUTED_VALUE"""),10.0)</f>
        <v>10</v>
      </c>
    </row>
    <row r="769">
      <c r="A769" s="1" t="str">
        <f>IFERROR(__xludf.DUMMYFUNCTION("""COMPUTED_VALUE"""),"MAUTP3493120150")</f>
        <v>MAUTP3493120150</v>
      </c>
      <c r="B769" s="1">
        <f>IFERROR(__xludf.DUMMYFUNCTION("""COMPUTED_VALUE"""),2.0)</f>
        <v>2</v>
      </c>
      <c r="C769" s="1">
        <f>IFERROR(__xludf.DUMMYFUNCTION("""COMPUTED_VALUE"""),2.0)</f>
        <v>2</v>
      </c>
      <c r="D769" s="1">
        <f>IFERROR(__xludf.DUMMYFUNCTION("""COMPUTED_VALUE"""),2.0)</f>
        <v>2</v>
      </c>
      <c r="E769" s="1">
        <f>IFERROR(__xludf.DUMMYFUNCTION("""COMPUTED_VALUE"""),0.0)</f>
        <v>0</v>
      </c>
    </row>
    <row r="770">
      <c r="A770" s="1" t="str">
        <f>IFERROR(__xludf.DUMMYFUNCTION("""COMPUTED_VALUE"""),"MAUTP3493140")</f>
        <v>MAUTP3493140</v>
      </c>
      <c r="B770" s="1">
        <f>IFERROR(__xludf.DUMMYFUNCTION("""COMPUTED_VALUE"""),10.0)</f>
        <v>10</v>
      </c>
      <c r="C770" s="1">
        <f>IFERROR(__xludf.DUMMYFUNCTION("""COMPUTED_VALUE"""),15.0)</f>
        <v>15</v>
      </c>
      <c r="D770" s="1">
        <f>IFERROR(__xludf.DUMMYFUNCTION("""COMPUTED_VALUE"""),10.0)</f>
        <v>10</v>
      </c>
      <c r="E770" s="1">
        <f>IFERROR(__xludf.DUMMYFUNCTION("""COMPUTED_VALUE"""),5.0)</f>
        <v>5</v>
      </c>
    </row>
    <row r="771">
      <c r="A771" s="1" t="str">
        <f>IFERROR(__xludf.DUMMYFUNCTION("""COMPUTED_VALUE"""),"MAUTP3493143")</f>
        <v>MAUTP3493143</v>
      </c>
      <c r="B771" s="1">
        <f>IFERROR(__xludf.DUMMYFUNCTION("""COMPUTED_VALUE"""),3.0)</f>
        <v>3</v>
      </c>
      <c r="C771" s="1">
        <f>IFERROR(__xludf.DUMMYFUNCTION("""COMPUTED_VALUE"""),3.0)</f>
        <v>3</v>
      </c>
      <c r="D771" s="1">
        <f>IFERROR(__xludf.DUMMYFUNCTION("""COMPUTED_VALUE"""),3.0)</f>
        <v>3</v>
      </c>
      <c r="E771" s="1">
        <f>IFERROR(__xludf.DUMMYFUNCTION("""COMPUTED_VALUE"""),0.0)</f>
        <v>0</v>
      </c>
    </row>
    <row r="772">
      <c r="A772" s="1" t="str">
        <f>IFERROR(__xludf.DUMMYFUNCTION("""COMPUTED_VALUE"""),"MAUTP3810100")</f>
        <v>MAUTP3810100</v>
      </c>
      <c r="B772" s="1">
        <f>IFERROR(__xludf.DUMMYFUNCTION("""COMPUTED_VALUE"""),44.0)</f>
        <v>44</v>
      </c>
      <c r="C772" s="1">
        <f>IFERROR(__xludf.DUMMYFUNCTION("""COMPUTED_VALUE"""),44.0)</f>
        <v>44</v>
      </c>
      <c r="D772" s="1">
        <f>IFERROR(__xludf.DUMMYFUNCTION("""COMPUTED_VALUE"""),44.0)</f>
        <v>44</v>
      </c>
      <c r="E772" s="1">
        <f>IFERROR(__xludf.DUMMYFUNCTION("""COMPUTED_VALUE"""),0.0)</f>
        <v>0</v>
      </c>
    </row>
    <row r="773">
      <c r="A773" s="1" t="str">
        <f>IFERROR(__xludf.DUMMYFUNCTION("""COMPUTED_VALUE"""),"MAUTP3810120")</f>
        <v>MAUTP3810120</v>
      </c>
      <c r="B773" s="1">
        <f>IFERROR(__xludf.DUMMYFUNCTION("""COMPUTED_VALUE"""),43.0)</f>
        <v>43</v>
      </c>
      <c r="C773" s="1">
        <f>IFERROR(__xludf.DUMMYFUNCTION("""COMPUTED_VALUE"""),43.0)</f>
        <v>43</v>
      </c>
      <c r="D773" s="1">
        <f>IFERROR(__xludf.DUMMYFUNCTION("""COMPUTED_VALUE"""),43.0)</f>
        <v>43</v>
      </c>
      <c r="E773" s="1">
        <f>IFERROR(__xludf.DUMMYFUNCTION("""COMPUTED_VALUE"""),0.0)</f>
        <v>0</v>
      </c>
    </row>
    <row r="774">
      <c r="A774" s="1" t="str">
        <f>IFERROR(__xludf.DUMMYFUNCTION("""COMPUTED_VALUE"""),"MAUTP3810120100")</f>
        <v>MAUTP3810120100</v>
      </c>
      <c r="B774" s="1">
        <f>IFERROR(__xludf.DUMMYFUNCTION("""COMPUTED_VALUE"""),1.0)</f>
        <v>1</v>
      </c>
      <c r="C774" s="1">
        <f>IFERROR(__xludf.DUMMYFUNCTION("""COMPUTED_VALUE"""),1.0)</f>
        <v>1</v>
      </c>
      <c r="D774" s="1">
        <f>IFERROR(__xludf.DUMMYFUNCTION("""COMPUTED_VALUE"""),1.0)</f>
        <v>1</v>
      </c>
      <c r="E774" s="1">
        <f>IFERROR(__xludf.DUMMYFUNCTION("""COMPUTED_VALUE"""),0.0)</f>
        <v>0</v>
      </c>
    </row>
    <row r="775">
      <c r="A775" s="1" t="str">
        <f>IFERROR(__xludf.DUMMYFUNCTION("""COMPUTED_VALUE"""),"MAUTP3810152")</f>
        <v>MAUTP3810152</v>
      </c>
      <c r="B775" s="1">
        <f>IFERROR(__xludf.DUMMYFUNCTION("""COMPUTED_VALUE"""),3.0)</f>
        <v>3</v>
      </c>
      <c r="C775" s="1">
        <f>IFERROR(__xludf.DUMMYFUNCTION("""COMPUTED_VALUE"""),3.0)</f>
        <v>3</v>
      </c>
      <c r="D775" s="1">
        <f>IFERROR(__xludf.DUMMYFUNCTION("""COMPUTED_VALUE"""),3.0)</f>
        <v>3</v>
      </c>
      <c r="E775" s="1">
        <f>IFERROR(__xludf.DUMMYFUNCTION("""COMPUTED_VALUE"""),0.0)</f>
        <v>0</v>
      </c>
    </row>
    <row r="776">
      <c r="A776" s="1" t="str">
        <f>IFERROR(__xludf.DUMMYFUNCTION("""COMPUTED_VALUE"""),"MAUTP4128100")</f>
        <v>MAUTP4128100</v>
      </c>
      <c r="B776" s="1">
        <f>IFERROR(__xludf.DUMMYFUNCTION("""COMPUTED_VALUE"""),83.0)</f>
        <v>83</v>
      </c>
      <c r="C776" s="1">
        <f>IFERROR(__xludf.DUMMYFUNCTION("""COMPUTED_VALUE"""),83.0)</f>
        <v>83</v>
      </c>
      <c r="D776" s="1">
        <f>IFERROR(__xludf.DUMMYFUNCTION("""COMPUTED_VALUE"""),83.0)</f>
        <v>83</v>
      </c>
      <c r="E776" s="1">
        <f>IFERROR(__xludf.DUMMYFUNCTION("""COMPUTED_VALUE"""),0.0)</f>
        <v>0</v>
      </c>
    </row>
    <row r="777">
      <c r="A777" s="1" t="str">
        <f>IFERROR(__xludf.DUMMYFUNCTION("""COMPUTED_VALUE"""),"MAUTP4128120")</f>
        <v>MAUTP4128120</v>
      </c>
      <c r="B777" s="1">
        <f>IFERROR(__xludf.DUMMYFUNCTION("""COMPUTED_VALUE"""),22.0)</f>
        <v>22</v>
      </c>
      <c r="C777" s="1">
        <f>IFERROR(__xludf.DUMMYFUNCTION("""COMPUTED_VALUE"""),22.0)</f>
        <v>22</v>
      </c>
      <c r="D777" s="1">
        <f>IFERROR(__xludf.DUMMYFUNCTION("""COMPUTED_VALUE"""),22.0)</f>
        <v>22</v>
      </c>
      <c r="E777" s="1">
        <f>IFERROR(__xludf.DUMMYFUNCTION("""COMPUTED_VALUE"""),0.0)</f>
        <v>0</v>
      </c>
    </row>
    <row r="778">
      <c r="A778" s="1" t="str">
        <f>IFERROR(__xludf.DUMMYFUNCTION("""COMPUTED_VALUE"""),"MAUTP4128120100")</f>
        <v>MAUTP4128120100</v>
      </c>
      <c r="B778" s="1">
        <f>IFERROR(__xludf.DUMMYFUNCTION("""COMPUTED_VALUE"""),1.0)</f>
        <v>1</v>
      </c>
      <c r="C778" s="1">
        <f>IFERROR(__xludf.DUMMYFUNCTION("""COMPUTED_VALUE"""),1.0)</f>
        <v>1</v>
      </c>
      <c r="D778" s="1">
        <f>IFERROR(__xludf.DUMMYFUNCTION("""COMPUTED_VALUE"""),1.0)</f>
        <v>1</v>
      </c>
      <c r="E778" s="1">
        <f>IFERROR(__xludf.DUMMYFUNCTION("""COMPUTED_VALUE"""),0.0)</f>
        <v>0</v>
      </c>
    </row>
    <row r="779">
      <c r="A779" s="1" t="str">
        <f>IFERROR(__xludf.DUMMYFUNCTION("""COMPUTED_VALUE"""),"MAUTP4128140")</f>
        <v>MAUTP4128140</v>
      </c>
      <c r="B779" s="1">
        <f>IFERROR(__xludf.DUMMYFUNCTION("""COMPUTED_VALUE"""),68.0)</f>
        <v>68</v>
      </c>
      <c r="C779" s="1">
        <f>IFERROR(__xludf.DUMMYFUNCTION("""COMPUTED_VALUE"""),70.0)</f>
        <v>70</v>
      </c>
      <c r="D779" s="1">
        <f>IFERROR(__xludf.DUMMYFUNCTION("""COMPUTED_VALUE"""),68.0)</f>
        <v>68</v>
      </c>
      <c r="E779" s="1">
        <f>IFERROR(__xludf.DUMMYFUNCTION("""COMPUTED_VALUE"""),2.0)</f>
        <v>2</v>
      </c>
    </row>
    <row r="780">
      <c r="A780" s="1" t="str">
        <f>IFERROR(__xludf.DUMMYFUNCTION("""COMPUTED_VALUE"""),"MAUTP4128143")</f>
        <v>MAUTP4128143</v>
      </c>
      <c r="B780" s="1">
        <f>IFERROR(__xludf.DUMMYFUNCTION("""COMPUTED_VALUE"""),4.0)</f>
        <v>4</v>
      </c>
      <c r="C780" s="1">
        <f>IFERROR(__xludf.DUMMYFUNCTION("""COMPUTED_VALUE"""),4.0)</f>
        <v>4</v>
      </c>
      <c r="D780" s="1">
        <f>IFERROR(__xludf.DUMMYFUNCTION("""COMPUTED_VALUE"""),4.0)</f>
        <v>4</v>
      </c>
      <c r="E780" s="1">
        <f>IFERROR(__xludf.DUMMYFUNCTION("""COMPUTED_VALUE"""),0.0)</f>
        <v>0</v>
      </c>
    </row>
    <row r="781">
      <c r="A781" s="1" t="str">
        <f>IFERROR(__xludf.DUMMYFUNCTION("""COMPUTED_VALUE"""),"MAUTP4128150")</f>
        <v>MAUTP4128150</v>
      </c>
      <c r="B781" s="1">
        <f>IFERROR(__xludf.DUMMYFUNCTION("""COMPUTED_VALUE"""),10.0)</f>
        <v>10</v>
      </c>
      <c r="C781" s="1">
        <f>IFERROR(__xludf.DUMMYFUNCTION("""COMPUTED_VALUE"""),10.0)</f>
        <v>10</v>
      </c>
      <c r="D781" s="1">
        <f>IFERROR(__xludf.DUMMYFUNCTION("""COMPUTED_VALUE"""),10.0)</f>
        <v>10</v>
      </c>
      <c r="E781" s="1">
        <f>IFERROR(__xludf.DUMMYFUNCTION("""COMPUTED_VALUE"""),0.0)</f>
        <v>0</v>
      </c>
    </row>
    <row r="782">
      <c r="A782" s="1" t="str">
        <f>IFERROR(__xludf.DUMMYFUNCTION("""COMPUTED_VALUE"""),"MAUTP4450120")</f>
        <v>MAUTP4450120</v>
      </c>
      <c r="B782" s="1">
        <f>IFERROR(__xludf.DUMMYFUNCTION("""COMPUTED_VALUE"""),3.0)</f>
        <v>3</v>
      </c>
      <c r="C782" s="1">
        <f>IFERROR(__xludf.DUMMYFUNCTION("""COMPUTED_VALUE"""),3.0)</f>
        <v>3</v>
      </c>
      <c r="D782" s="1">
        <f>IFERROR(__xludf.DUMMYFUNCTION("""COMPUTED_VALUE"""),3.0)</f>
        <v>3</v>
      </c>
      <c r="E782" s="1">
        <f>IFERROR(__xludf.DUMMYFUNCTION("""COMPUTED_VALUE"""),0.0)</f>
        <v>0</v>
      </c>
    </row>
    <row r="783">
      <c r="A783" s="1" t="str">
        <f>IFERROR(__xludf.DUMMYFUNCTION("""COMPUTED_VALUE"""),"MAUTS0635061")</f>
        <v>MAUTS0635061</v>
      </c>
      <c r="B783" s="1">
        <f>IFERROR(__xludf.DUMMYFUNCTION("""COMPUTED_VALUE"""),298.0)</f>
        <v>298</v>
      </c>
      <c r="C783" s="1">
        <f>IFERROR(__xludf.DUMMYFUNCTION("""COMPUTED_VALUE"""),298.0)</f>
        <v>298</v>
      </c>
      <c r="D783" s="1">
        <f>IFERROR(__xludf.DUMMYFUNCTION("""COMPUTED_VALUE"""),298.0)</f>
        <v>298</v>
      </c>
      <c r="E783" s="1">
        <f>IFERROR(__xludf.DUMMYFUNCTION("""COMPUTED_VALUE"""),0.0)</f>
        <v>0</v>
      </c>
    </row>
    <row r="784">
      <c r="A784" s="1" t="str">
        <f>IFERROR(__xludf.DUMMYFUNCTION("""COMPUTED_VALUE"""),"MAUTS0635071")</f>
        <v>MAUTS0635071</v>
      </c>
      <c r="B784" s="1">
        <f>IFERROR(__xludf.DUMMYFUNCTION("""COMPUTED_VALUE"""),126.0)</f>
        <v>126</v>
      </c>
      <c r="C784" s="1">
        <f>IFERROR(__xludf.DUMMYFUNCTION("""COMPUTED_VALUE"""),126.0)</f>
        <v>126</v>
      </c>
      <c r="D784" s="1">
        <f>IFERROR(__xludf.DUMMYFUNCTION("""COMPUTED_VALUE"""),126.0)</f>
        <v>126</v>
      </c>
      <c r="E784" s="1">
        <f>IFERROR(__xludf.DUMMYFUNCTION("""COMPUTED_VALUE"""),0.0)</f>
        <v>0</v>
      </c>
    </row>
    <row r="785">
      <c r="A785" s="1" t="str">
        <f>IFERROR(__xludf.DUMMYFUNCTION("""COMPUTED_VALUE"""),"MAUTS0635071150")</f>
        <v>MAUTS0635071150</v>
      </c>
      <c r="B785" s="1">
        <f>IFERROR(__xludf.DUMMYFUNCTION("""COMPUTED_VALUE"""),1.0)</f>
        <v>1</v>
      </c>
      <c r="C785" s="1">
        <f>IFERROR(__xludf.DUMMYFUNCTION("""COMPUTED_VALUE"""),1.0)</f>
        <v>1</v>
      </c>
      <c r="D785" s="1">
        <f>IFERROR(__xludf.DUMMYFUNCTION("""COMPUTED_VALUE"""),1.0)</f>
        <v>1</v>
      </c>
      <c r="E785" s="1">
        <f>IFERROR(__xludf.DUMMYFUNCTION("""COMPUTED_VALUE"""),0.0)</f>
        <v>0</v>
      </c>
    </row>
    <row r="786">
      <c r="A786" s="1" t="str">
        <f>IFERROR(__xludf.DUMMYFUNCTION("""COMPUTED_VALUE"""),"MAUTS0635081")</f>
        <v>MAUTS0635081</v>
      </c>
      <c r="B786" s="1">
        <f>IFERROR(__xludf.DUMMYFUNCTION("""COMPUTED_VALUE"""),35.0)</f>
        <v>35</v>
      </c>
      <c r="C786" s="1">
        <f>IFERROR(__xludf.DUMMYFUNCTION("""COMPUTED_VALUE"""),35.0)</f>
        <v>35</v>
      </c>
      <c r="D786" s="1">
        <f>IFERROR(__xludf.DUMMYFUNCTION("""COMPUTED_VALUE"""),35.0)</f>
        <v>35</v>
      </c>
      <c r="E786" s="1">
        <f>IFERROR(__xludf.DUMMYFUNCTION("""COMPUTED_VALUE"""),0.0)</f>
        <v>0</v>
      </c>
    </row>
    <row r="787">
      <c r="A787" s="1" t="str">
        <f>IFERROR(__xludf.DUMMYFUNCTION("""COMPUTED_VALUE"""),"MAUTS0952061")</f>
        <v>MAUTS0952061</v>
      </c>
      <c r="B787" s="1">
        <f>IFERROR(__xludf.DUMMYFUNCTION("""COMPUTED_VALUE"""),95.0)</f>
        <v>95</v>
      </c>
      <c r="C787" s="1">
        <f>IFERROR(__xludf.DUMMYFUNCTION("""COMPUTED_VALUE"""),95.0)</f>
        <v>95</v>
      </c>
      <c r="D787" s="1">
        <f>IFERROR(__xludf.DUMMYFUNCTION("""COMPUTED_VALUE"""),95.0)</f>
        <v>95</v>
      </c>
      <c r="E787" s="1">
        <f>IFERROR(__xludf.DUMMYFUNCTION("""COMPUTED_VALUE"""),0.0)</f>
        <v>0</v>
      </c>
    </row>
    <row r="788">
      <c r="A788" s="1" t="str">
        <f>IFERROR(__xludf.DUMMYFUNCTION("""COMPUTED_VALUE"""),"MAUTS0952071")</f>
        <v>MAUTS0952071</v>
      </c>
      <c r="B788" s="1">
        <f>IFERROR(__xludf.DUMMYFUNCTION("""COMPUTED_VALUE"""),148.0)</f>
        <v>148</v>
      </c>
      <c r="C788" s="1">
        <f>IFERROR(__xludf.DUMMYFUNCTION("""COMPUTED_VALUE"""),148.0)</f>
        <v>148</v>
      </c>
      <c r="D788" s="1">
        <f>IFERROR(__xludf.DUMMYFUNCTION("""COMPUTED_VALUE"""),148.0)</f>
        <v>148</v>
      </c>
      <c r="E788" s="1">
        <f>IFERROR(__xludf.DUMMYFUNCTION("""COMPUTED_VALUE"""),0.0)</f>
        <v>0</v>
      </c>
    </row>
    <row r="789">
      <c r="A789" s="1" t="str">
        <f>IFERROR(__xludf.DUMMYFUNCTION("""COMPUTED_VALUE"""),"MAUTS0952071150")</f>
        <v>MAUTS0952071150</v>
      </c>
      <c r="B789" s="1">
        <f>IFERROR(__xludf.DUMMYFUNCTION("""COMPUTED_VALUE"""),1.0)</f>
        <v>1</v>
      </c>
      <c r="C789" s="1">
        <f>IFERROR(__xludf.DUMMYFUNCTION("""COMPUTED_VALUE"""),1.0)</f>
        <v>1</v>
      </c>
      <c r="D789" s="1">
        <f>IFERROR(__xludf.DUMMYFUNCTION("""COMPUTED_VALUE"""),1.0)</f>
        <v>1</v>
      </c>
      <c r="E789" s="1">
        <f>IFERROR(__xludf.DUMMYFUNCTION("""COMPUTED_VALUE"""),0.0)</f>
        <v>0</v>
      </c>
    </row>
    <row r="790">
      <c r="A790" s="1" t="str">
        <f>IFERROR(__xludf.DUMMYFUNCTION("""COMPUTED_VALUE"""),"MAUTS0952081")</f>
        <v>MAUTS0952081</v>
      </c>
      <c r="B790" s="1">
        <f>IFERROR(__xludf.DUMMYFUNCTION("""COMPUTED_VALUE"""),46.0)</f>
        <v>46</v>
      </c>
      <c r="C790" s="1">
        <f>IFERROR(__xludf.DUMMYFUNCTION("""COMPUTED_VALUE"""),46.0)</f>
        <v>46</v>
      </c>
      <c r="D790" s="1">
        <f>IFERROR(__xludf.DUMMYFUNCTION("""COMPUTED_VALUE"""),46.0)</f>
        <v>46</v>
      </c>
      <c r="E790" s="1">
        <f>IFERROR(__xludf.DUMMYFUNCTION("""COMPUTED_VALUE"""),0.0)</f>
        <v>0</v>
      </c>
    </row>
    <row r="791">
      <c r="A791" s="1" t="str">
        <f>IFERROR(__xludf.DUMMYFUNCTION("""COMPUTED_VALUE"""),"MAUTS0952081150")</f>
        <v>MAUTS0952081150</v>
      </c>
      <c r="B791" s="1">
        <f>IFERROR(__xludf.DUMMYFUNCTION("""COMPUTED_VALUE"""),1.0)</f>
        <v>1</v>
      </c>
      <c r="C791" s="1">
        <f>IFERROR(__xludf.DUMMYFUNCTION("""COMPUTED_VALUE"""),1.0)</f>
        <v>1</v>
      </c>
      <c r="D791" s="1">
        <f>IFERROR(__xludf.DUMMYFUNCTION("""COMPUTED_VALUE"""),1.0)</f>
        <v>1</v>
      </c>
      <c r="E791" s="1">
        <f>IFERROR(__xludf.DUMMYFUNCTION("""COMPUTED_VALUE"""),0.0)</f>
        <v>0</v>
      </c>
    </row>
    <row r="792">
      <c r="A792" s="1" t="str">
        <f>IFERROR(__xludf.DUMMYFUNCTION("""COMPUTED_VALUE"""),"MAUTS1270061")</f>
        <v>MAUTS1270061</v>
      </c>
      <c r="B792" s="1">
        <f>IFERROR(__xludf.DUMMYFUNCTION("""COMPUTED_VALUE"""),99.0)</f>
        <v>99</v>
      </c>
      <c r="C792" s="1">
        <f>IFERROR(__xludf.DUMMYFUNCTION("""COMPUTED_VALUE"""),99.0)</f>
        <v>99</v>
      </c>
      <c r="D792" s="1">
        <f>IFERROR(__xludf.DUMMYFUNCTION("""COMPUTED_VALUE"""),99.0)</f>
        <v>99</v>
      </c>
      <c r="E792" s="1">
        <f>IFERROR(__xludf.DUMMYFUNCTION("""COMPUTED_VALUE"""),0.0)</f>
        <v>0</v>
      </c>
    </row>
    <row r="793">
      <c r="A793" s="1" t="str">
        <f>IFERROR(__xludf.DUMMYFUNCTION("""COMPUTED_VALUE"""),"MAUTS1270071")</f>
        <v>MAUTS1270071</v>
      </c>
      <c r="B793" s="1">
        <f>IFERROR(__xludf.DUMMYFUNCTION("""COMPUTED_VALUE"""),150.0)</f>
        <v>150</v>
      </c>
      <c r="C793" s="1">
        <f>IFERROR(__xludf.DUMMYFUNCTION("""COMPUTED_VALUE"""),150.0)</f>
        <v>150</v>
      </c>
      <c r="D793" s="1">
        <f>IFERROR(__xludf.DUMMYFUNCTION("""COMPUTED_VALUE"""),150.0)</f>
        <v>150</v>
      </c>
      <c r="E793" s="1">
        <f>IFERROR(__xludf.DUMMYFUNCTION("""COMPUTED_VALUE"""),0.0)</f>
        <v>0</v>
      </c>
    </row>
    <row r="794">
      <c r="A794" s="1" t="str">
        <f>IFERROR(__xludf.DUMMYFUNCTION("""COMPUTED_VALUE"""),"MAUTS1270071150")</f>
        <v>MAUTS1270071150</v>
      </c>
      <c r="B794" s="1">
        <f>IFERROR(__xludf.DUMMYFUNCTION("""COMPUTED_VALUE"""),1.0)</f>
        <v>1</v>
      </c>
      <c r="C794" s="1">
        <f>IFERROR(__xludf.DUMMYFUNCTION("""COMPUTED_VALUE"""),1.0)</f>
        <v>1</v>
      </c>
      <c r="D794" s="1">
        <f>IFERROR(__xludf.DUMMYFUNCTION("""COMPUTED_VALUE"""),1.0)</f>
        <v>1</v>
      </c>
      <c r="E794" s="1">
        <f>IFERROR(__xludf.DUMMYFUNCTION("""COMPUTED_VALUE"""),0.0)</f>
        <v>0</v>
      </c>
    </row>
    <row r="795">
      <c r="A795" s="1" t="str">
        <f>IFERROR(__xludf.DUMMYFUNCTION("""COMPUTED_VALUE"""),"MAUTS1270081")</f>
        <v>MAUTS1270081</v>
      </c>
      <c r="B795" s="1">
        <f>IFERROR(__xludf.DUMMYFUNCTION("""COMPUTED_VALUE"""),42.0)</f>
        <v>42</v>
      </c>
      <c r="C795" s="1">
        <f>IFERROR(__xludf.DUMMYFUNCTION("""COMPUTED_VALUE"""),44.0)</f>
        <v>44</v>
      </c>
      <c r="D795" s="1">
        <f>IFERROR(__xludf.DUMMYFUNCTION("""COMPUTED_VALUE"""),42.0)</f>
        <v>42</v>
      </c>
      <c r="E795" s="1">
        <f>IFERROR(__xludf.DUMMYFUNCTION("""COMPUTED_VALUE"""),2.0)</f>
        <v>2</v>
      </c>
    </row>
    <row r="796">
      <c r="A796" s="1" t="str">
        <f>IFERROR(__xludf.DUMMYFUNCTION("""COMPUTED_VALUE"""),"MAUTS1588071")</f>
        <v>MAUTS1588071</v>
      </c>
      <c r="B796" s="1">
        <f>IFERROR(__xludf.DUMMYFUNCTION("""COMPUTED_VALUE"""),274.0)</f>
        <v>274</v>
      </c>
      <c r="C796" s="1">
        <f>IFERROR(__xludf.DUMMYFUNCTION("""COMPUTED_VALUE"""),274.0)</f>
        <v>274</v>
      </c>
      <c r="D796" s="1">
        <f>IFERROR(__xludf.DUMMYFUNCTION("""COMPUTED_VALUE"""),274.0)</f>
        <v>274</v>
      </c>
      <c r="E796" s="1">
        <f>IFERROR(__xludf.DUMMYFUNCTION("""COMPUTED_VALUE"""),0.0)</f>
        <v>0</v>
      </c>
    </row>
    <row r="797">
      <c r="A797" s="1" t="str">
        <f>IFERROR(__xludf.DUMMYFUNCTION("""COMPUTED_VALUE"""),"MAUTS1588081")</f>
        <v>MAUTS1588081</v>
      </c>
      <c r="B797" s="1">
        <f>IFERROR(__xludf.DUMMYFUNCTION("""COMPUTED_VALUE"""),95.0)</f>
        <v>95</v>
      </c>
      <c r="C797" s="1">
        <f>IFERROR(__xludf.DUMMYFUNCTION("""COMPUTED_VALUE"""),95.0)</f>
        <v>95</v>
      </c>
      <c r="D797" s="1">
        <f>IFERROR(__xludf.DUMMYFUNCTION("""COMPUTED_VALUE"""),95.0)</f>
        <v>95</v>
      </c>
      <c r="E797" s="1">
        <f>IFERROR(__xludf.DUMMYFUNCTION("""COMPUTED_VALUE"""),0.0)</f>
        <v>0</v>
      </c>
    </row>
    <row r="798">
      <c r="A798" s="1" t="str">
        <f>IFERROR(__xludf.DUMMYFUNCTION("""COMPUTED_VALUE"""),"MAUTS1588081150")</f>
        <v>MAUTS1588081150</v>
      </c>
      <c r="B798" s="1">
        <f>IFERROR(__xludf.DUMMYFUNCTION("""COMPUTED_VALUE"""),1.0)</f>
        <v>1</v>
      </c>
      <c r="C798" s="1">
        <f>IFERROR(__xludf.DUMMYFUNCTION("""COMPUTED_VALUE"""),1.0)</f>
        <v>1</v>
      </c>
      <c r="D798" s="1">
        <f>IFERROR(__xludf.DUMMYFUNCTION("""COMPUTED_VALUE"""),1.0)</f>
        <v>1</v>
      </c>
      <c r="E798" s="1">
        <f>IFERROR(__xludf.DUMMYFUNCTION("""COMPUTED_VALUE"""),0.0)</f>
        <v>0</v>
      </c>
    </row>
    <row r="799">
      <c r="A799" s="1" t="str">
        <f>IFERROR(__xludf.DUMMYFUNCTION("""COMPUTED_VALUE"""),"MAUTS1588100")</f>
        <v>MAUTS1588100</v>
      </c>
      <c r="B799" s="1">
        <f>IFERROR(__xludf.DUMMYFUNCTION("""COMPUTED_VALUE"""),35.0)</f>
        <v>35</v>
      </c>
      <c r="C799" s="1">
        <f>IFERROR(__xludf.DUMMYFUNCTION("""COMPUTED_VALUE"""),37.0)</f>
        <v>37</v>
      </c>
      <c r="D799" s="1">
        <f>IFERROR(__xludf.DUMMYFUNCTION("""COMPUTED_VALUE"""),35.0)</f>
        <v>35</v>
      </c>
      <c r="E799" s="1">
        <f>IFERROR(__xludf.DUMMYFUNCTION("""COMPUTED_VALUE"""),2.0)</f>
        <v>2</v>
      </c>
    </row>
    <row r="800">
      <c r="A800" s="1" t="str">
        <f>IFERROR(__xludf.DUMMYFUNCTION("""COMPUTED_VALUE"""),"MAUTS1905071")</f>
        <v>MAUTS1905071</v>
      </c>
      <c r="B800" s="1">
        <f>IFERROR(__xludf.DUMMYFUNCTION("""COMPUTED_VALUE"""),26.0)</f>
        <v>26</v>
      </c>
      <c r="C800" s="1">
        <f>IFERROR(__xludf.DUMMYFUNCTION("""COMPUTED_VALUE"""),26.0)</f>
        <v>26</v>
      </c>
      <c r="D800" s="1">
        <f>IFERROR(__xludf.DUMMYFUNCTION("""COMPUTED_VALUE"""),26.0)</f>
        <v>26</v>
      </c>
      <c r="E800" s="1">
        <f>IFERROR(__xludf.DUMMYFUNCTION("""COMPUTED_VALUE"""),0.0)</f>
        <v>0</v>
      </c>
    </row>
    <row r="801">
      <c r="A801" s="1" t="str">
        <f>IFERROR(__xludf.DUMMYFUNCTION("""COMPUTED_VALUE"""),"MAUTS1905081")</f>
        <v>MAUTS1905081</v>
      </c>
      <c r="B801" s="1">
        <f>IFERROR(__xludf.DUMMYFUNCTION("""COMPUTED_VALUE"""),58.0)</f>
        <v>58</v>
      </c>
      <c r="C801" s="1">
        <f>IFERROR(__xludf.DUMMYFUNCTION("""COMPUTED_VALUE"""),58.0)</f>
        <v>58</v>
      </c>
      <c r="D801" s="1">
        <f>IFERROR(__xludf.DUMMYFUNCTION("""COMPUTED_VALUE"""),58.0)</f>
        <v>58</v>
      </c>
      <c r="E801" s="1">
        <f>IFERROR(__xludf.DUMMYFUNCTION("""COMPUTED_VALUE"""),0.0)</f>
        <v>0</v>
      </c>
    </row>
    <row r="802">
      <c r="A802" s="1" t="str">
        <f>IFERROR(__xludf.DUMMYFUNCTION("""COMPUTED_VALUE"""),"MAUTS1905081150")</f>
        <v>MAUTS1905081150</v>
      </c>
      <c r="B802" s="1">
        <f>IFERROR(__xludf.DUMMYFUNCTION("""COMPUTED_VALUE"""),1.0)</f>
        <v>1</v>
      </c>
      <c r="C802" s="1">
        <f>IFERROR(__xludf.DUMMYFUNCTION("""COMPUTED_VALUE"""),1.0)</f>
        <v>1</v>
      </c>
      <c r="D802" s="1">
        <f>IFERROR(__xludf.DUMMYFUNCTION("""COMPUTED_VALUE"""),1.0)</f>
        <v>1</v>
      </c>
      <c r="E802" s="1">
        <f>IFERROR(__xludf.DUMMYFUNCTION("""COMPUTED_VALUE"""),0.0)</f>
        <v>0</v>
      </c>
    </row>
    <row r="803">
      <c r="A803" s="1" t="str">
        <f>IFERROR(__xludf.DUMMYFUNCTION("""COMPUTED_VALUE"""),"MAUTS1905100")</f>
        <v>MAUTS1905100</v>
      </c>
      <c r="B803" s="1">
        <f>IFERROR(__xludf.DUMMYFUNCTION("""COMPUTED_VALUE"""),83.0)</f>
        <v>83</v>
      </c>
      <c r="C803" s="1">
        <f>IFERROR(__xludf.DUMMYFUNCTION("""COMPUTED_VALUE"""),85.0)</f>
        <v>85</v>
      </c>
      <c r="D803" s="1">
        <f>IFERROR(__xludf.DUMMYFUNCTION("""COMPUTED_VALUE"""),83.0)</f>
        <v>83</v>
      </c>
      <c r="E803" s="1">
        <f>IFERROR(__xludf.DUMMYFUNCTION("""COMPUTED_VALUE"""),2.0)</f>
        <v>2</v>
      </c>
    </row>
    <row r="804">
      <c r="A804" s="1" t="str">
        <f>IFERROR(__xludf.DUMMYFUNCTION("""COMPUTED_VALUE"""),"MAUTS1905100150")</f>
        <v>MAUTS1905100150</v>
      </c>
      <c r="B804" s="1">
        <f>IFERROR(__xludf.DUMMYFUNCTION("""COMPUTED_VALUE"""),1.0)</f>
        <v>1</v>
      </c>
      <c r="C804" s="1">
        <f>IFERROR(__xludf.DUMMYFUNCTION("""COMPUTED_VALUE"""),1.0)</f>
        <v>1</v>
      </c>
      <c r="D804" s="1">
        <f>IFERROR(__xludf.DUMMYFUNCTION("""COMPUTED_VALUE"""),1.0)</f>
        <v>1</v>
      </c>
      <c r="E804" s="1">
        <f>IFERROR(__xludf.DUMMYFUNCTION("""COMPUTED_VALUE"""),0.0)</f>
        <v>0</v>
      </c>
    </row>
    <row r="805">
      <c r="A805" s="1" t="str">
        <f>IFERROR(__xludf.DUMMYFUNCTION("""COMPUTED_VALUE"""),"MAUTS2222081")</f>
        <v>MAUTS2222081</v>
      </c>
      <c r="B805" s="1">
        <f>IFERROR(__xludf.DUMMYFUNCTION("""COMPUTED_VALUE"""),18.0)</f>
        <v>18</v>
      </c>
      <c r="C805" s="1">
        <f>IFERROR(__xludf.DUMMYFUNCTION("""COMPUTED_VALUE"""),18.0)</f>
        <v>18</v>
      </c>
      <c r="D805" s="1">
        <f>IFERROR(__xludf.DUMMYFUNCTION("""COMPUTED_VALUE"""),18.0)</f>
        <v>18</v>
      </c>
      <c r="E805" s="1">
        <f>IFERROR(__xludf.DUMMYFUNCTION("""COMPUTED_VALUE"""),0.0)</f>
        <v>0</v>
      </c>
    </row>
    <row r="806">
      <c r="A806" s="1" t="str">
        <f>IFERROR(__xludf.DUMMYFUNCTION("""COMPUTED_VALUE"""),"MAUTS2222100")</f>
        <v>MAUTS2222100</v>
      </c>
      <c r="B806" s="1">
        <f>IFERROR(__xludf.DUMMYFUNCTION("""COMPUTED_VALUE"""),42.0)</f>
        <v>42</v>
      </c>
      <c r="C806" s="1">
        <f>IFERROR(__xludf.DUMMYFUNCTION("""COMPUTED_VALUE"""),44.0)</f>
        <v>44</v>
      </c>
      <c r="D806" s="1">
        <f>IFERROR(__xludf.DUMMYFUNCTION("""COMPUTED_VALUE"""),42.0)</f>
        <v>42</v>
      </c>
      <c r="E806" s="1">
        <f>IFERROR(__xludf.DUMMYFUNCTION("""COMPUTED_VALUE"""),2.0)</f>
        <v>2</v>
      </c>
    </row>
    <row r="807">
      <c r="A807" s="1" t="str">
        <f>IFERROR(__xludf.DUMMYFUNCTION("""COMPUTED_VALUE"""),"MAUTS2222100150")</f>
        <v>MAUTS2222100150</v>
      </c>
      <c r="B807" s="1">
        <f>IFERROR(__xludf.DUMMYFUNCTION("""COMPUTED_VALUE"""),1.0)</f>
        <v>1</v>
      </c>
      <c r="C807" s="1">
        <f>IFERROR(__xludf.DUMMYFUNCTION("""COMPUTED_VALUE"""),1.0)</f>
        <v>1</v>
      </c>
      <c r="D807" s="1">
        <f>IFERROR(__xludf.DUMMYFUNCTION("""COMPUTED_VALUE"""),1.0)</f>
        <v>1</v>
      </c>
      <c r="E807" s="1">
        <f>IFERROR(__xludf.DUMMYFUNCTION("""COMPUTED_VALUE"""),0.0)</f>
        <v>0</v>
      </c>
    </row>
    <row r="808">
      <c r="A808" s="1" t="str">
        <f>IFERROR(__xludf.DUMMYFUNCTION("""COMPUTED_VALUE"""),"MAUTS2540100150")</f>
        <v>MAUTS2540100150</v>
      </c>
      <c r="B808" s="1">
        <f>IFERROR(__xludf.DUMMYFUNCTION("""COMPUTED_VALUE"""),1.0)</f>
        <v>1</v>
      </c>
      <c r="C808" s="1">
        <f>IFERROR(__xludf.DUMMYFUNCTION("""COMPUTED_VALUE"""),1.0)</f>
        <v>1</v>
      </c>
      <c r="D808" s="1">
        <f>IFERROR(__xludf.DUMMYFUNCTION("""COMPUTED_VALUE"""),1.0)</f>
        <v>1</v>
      </c>
      <c r="E808" s="1">
        <f>IFERROR(__xludf.DUMMYFUNCTION("""COMPUTED_VALUE"""),0.0)</f>
        <v>0</v>
      </c>
    </row>
    <row r="809">
      <c r="A809" s="1" t="str">
        <f>IFERROR(__xludf.DUMMYFUNCTION("""COMPUTED_VALUE"""),"MAUTS2858100")</f>
        <v>MAUTS2858100</v>
      </c>
      <c r="B809" s="1">
        <f>IFERROR(__xludf.DUMMYFUNCTION("""COMPUTED_VALUE"""),35.0)</f>
        <v>35</v>
      </c>
      <c r="C809" s="1">
        <f>IFERROR(__xludf.DUMMYFUNCTION("""COMPUTED_VALUE"""),35.0)</f>
        <v>35</v>
      </c>
      <c r="D809" s="1">
        <f>IFERROR(__xludf.DUMMYFUNCTION("""COMPUTED_VALUE"""),35.0)</f>
        <v>35</v>
      </c>
      <c r="E809" s="1">
        <f>IFERROR(__xludf.DUMMYFUNCTION("""COMPUTED_VALUE"""),0.0)</f>
        <v>0</v>
      </c>
    </row>
    <row r="810">
      <c r="A810" s="1" t="str">
        <f>IFERROR(__xludf.DUMMYFUNCTION("""COMPUTED_VALUE"""),"MAUTS2858100150")</f>
        <v>MAUTS2858100150</v>
      </c>
      <c r="B810" s="1">
        <f>IFERROR(__xludf.DUMMYFUNCTION("""COMPUTED_VALUE"""),1.0)</f>
        <v>1</v>
      </c>
      <c r="C810" s="1">
        <f>IFERROR(__xludf.DUMMYFUNCTION("""COMPUTED_VALUE"""),1.0)</f>
        <v>1</v>
      </c>
      <c r="D810" s="1">
        <f>IFERROR(__xludf.DUMMYFUNCTION("""COMPUTED_VALUE"""),1.0)</f>
        <v>1</v>
      </c>
      <c r="E810" s="1">
        <f>IFERROR(__xludf.DUMMYFUNCTION("""COMPUTED_VALUE"""),0.0)</f>
        <v>0</v>
      </c>
    </row>
    <row r="811">
      <c r="A811" s="1" t="str">
        <f>IFERROR(__xludf.DUMMYFUNCTION("""COMPUTED_VALUE"""),"MAUTS2858120")</f>
        <v>MAUTS2858120</v>
      </c>
      <c r="B811" s="1">
        <f>IFERROR(__xludf.DUMMYFUNCTION("""COMPUTED_VALUE"""),28.0)</f>
        <v>28</v>
      </c>
      <c r="C811" s="1">
        <f>IFERROR(__xludf.DUMMYFUNCTION("""COMPUTED_VALUE"""),30.0)</f>
        <v>30</v>
      </c>
      <c r="D811" s="1">
        <f>IFERROR(__xludf.DUMMYFUNCTION("""COMPUTED_VALUE"""),28.0)</f>
        <v>28</v>
      </c>
      <c r="E811" s="1">
        <f>IFERROR(__xludf.DUMMYFUNCTION("""COMPUTED_VALUE"""),2.0)</f>
        <v>2</v>
      </c>
    </row>
    <row r="812">
      <c r="A812" s="1" t="str">
        <f>IFERROR(__xludf.DUMMYFUNCTION("""COMPUTED_VALUE"""),"MAUTS2858120150")</f>
        <v>MAUTS2858120150</v>
      </c>
      <c r="B812" s="1">
        <f>IFERROR(__xludf.DUMMYFUNCTION("""COMPUTED_VALUE"""),1.0)</f>
        <v>1</v>
      </c>
      <c r="C812" s="1">
        <f>IFERROR(__xludf.DUMMYFUNCTION("""COMPUTED_VALUE"""),1.0)</f>
        <v>1</v>
      </c>
      <c r="D812" s="1">
        <f>IFERROR(__xludf.DUMMYFUNCTION("""COMPUTED_VALUE"""),1.0)</f>
        <v>1</v>
      </c>
      <c r="E812" s="1">
        <f>IFERROR(__xludf.DUMMYFUNCTION("""COMPUTED_VALUE"""),0.0)</f>
        <v>0</v>
      </c>
    </row>
    <row r="813">
      <c r="A813" s="1" t="str">
        <f>IFERROR(__xludf.DUMMYFUNCTION("""COMPUTED_VALUE"""),"MAUTS3493120")</f>
        <v>MAUTS3493120</v>
      </c>
      <c r="B813" s="1">
        <f>IFERROR(__xludf.DUMMYFUNCTION("""COMPUTED_VALUE"""),50.0)</f>
        <v>50</v>
      </c>
      <c r="C813" s="1">
        <f>IFERROR(__xludf.DUMMYFUNCTION("""COMPUTED_VALUE"""),50.0)</f>
        <v>50</v>
      </c>
      <c r="D813" s="1">
        <f>IFERROR(__xludf.DUMMYFUNCTION("""COMPUTED_VALUE"""),50.0)</f>
        <v>50</v>
      </c>
      <c r="E813" s="1">
        <f>IFERROR(__xludf.DUMMYFUNCTION("""COMPUTED_VALUE"""),0.0)</f>
        <v>0</v>
      </c>
    </row>
    <row r="814">
      <c r="A814" s="1" t="str">
        <f>IFERROR(__xludf.DUMMYFUNCTION("""COMPUTED_VALUE"""),"MAUTS3810120")</f>
        <v>MAUTS3810120</v>
      </c>
      <c r="B814" s="1">
        <f>IFERROR(__xludf.DUMMYFUNCTION("""COMPUTED_VALUE"""),40.0)</f>
        <v>40</v>
      </c>
      <c r="C814" s="1">
        <f>IFERROR(__xludf.DUMMYFUNCTION("""COMPUTED_VALUE"""),40.0)</f>
        <v>40</v>
      </c>
      <c r="D814" s="1">
        <f>IFERROR(__xludf.DUMMYFUNCTION("""COMPUTED_VALUE"""),40.0)</f>
        <v>40</v>
      </c>
      <c r="E814" s="1">
        <f>IFERROR(__xludf.DUMMYFUNCTION("""COMPUTED_VALUE"""),0.0)</f>
        <v>0</v>
      </c>
    </row>
    <row r="815">
      <c r="A815" s="1" t="str">
        <f>IFERROR(__xludf.DUMMYFUNCTION("""COMPUTED_VALUE"""),"MAUTS3810120150")</f>
        <v>MAUTS3810120150</v>
      </c>
      <c r="B815" s="1">
        <f>IFERROR(__xludf.DUMMYFUNCTION("""COMPUTED_VALUE"""),1.0)</f>
        <v>1</v>
      </c>
      <c r="C815" s="1">
        <f>IFERROR(__xludf.DUMMYFUNCTION("""COMPUTED_VALUE"""),1.0)</f>
        <v>1</v>
      </c>
      <c r="D815" s="1">
        <f>IFERROR(__xludf.DUMMYFUNCTION("""COMPUTED_VALUE"""),1.0)</f>
        <v>1</v>
      </c>
      <c r="E815" s="1">
        <f>IFERROR(__xludf.DUMMYFUNCTION("""COMPUTED_VALUE"""),0.0)</f>
        <v>0</v>
      </c>
    </row>
    <row r="816">
      <c r="A816" s="1" t="str">
        <f>IFERROR(__xludf.DUMMYFUNCTION("""COMPUTED_VALUE"""),"MAUTS3810140")</f>
        <v>MAUTS3810140</v>
      </c>
      <c r="B816" s="1">
        <f>IFERROR(__xludf.DUMMYFUNCTION("""COMPUTED_VALUE"""),1.0)</f>
        <v>1</v>
      </c>
      <c r="C816" s="1">
        <f>IFERROR(__xludf.DUMMYFUNCTION("""COMPUTED_VALUE"""),1.0)</f>
        <v>1</v>
      </c>
      <c r="D816" s="1">
        <f>IFERROR(__xludf.DUMMYFUNCTION("""COMPUTED_VALUE"""),1.0)</f>
        <v>1</v>
      </c>
      <c r="E816" s="1">
        <f>IFERROR(__xludf.DUMMYFUNCTION("""COMPUTED_VALUE"""),0.0)</f>
        <v>0</v>
      </c>
    </row>
    <row r="817">
      <c r="A817" s="1" t="str">
        <f>IFERROR(__xludf.DUMMYFUNCTION("""COMPUTED_VALUE"""),"MAUTS4128120")</f>
        <v>MAUTS4128120</v>
      </c>
      <c r="B817" s="1">
        <f>IFERROR(__xludf.DUMMYFUNCTION("""COMPUTED_VALUE"""),19.0)</f>
        <v>19</v>
      </c>
      <c r="C817" s="1">
        <f>IFERROR(__xludf.DUMMYFUNCTION("""COMPUTED_VALUE"""),19.0)</f>
        <v>19</v>
      </c>
      <c r="D817" s="1">
        <f>IFERROR(__xludf.DUMMYFUNCTION("""COMPUTED_VALUE"""),19.0)</f>
        <v>19</v>
      </c>
      <c r="E817" s="1">
        <f>IFERROR(__xludf.DUMMYFUNCTION("""COMPUTED_VALUE"""),0.0)</f>
        <v>0</v>
      </c>
    </row>
    <row r="818">
      <c r="A818" s="1" t="str">
        <f>IFERROR(__xludf.DUMMYFUNCTION("""COMPUTED_VALUE"""),"MAUTS4128140")</f>
        <v>MAUTS4128140</v>
      </c>
      <c r="B818" s="1">
        <f>IFERROR(__xludf.DUMMYFUNCTION("""COMPUTED_VALUE"""),38.0)</f>
        <v>38</v>
      </c>
      <c r="C818" s="1">
        <f>IFERROR(__xludf.DUMMYFUNCTION("""COMPUTED_VALUE"""),38.0)</f>
        <v>38</v>
      </c>
      <c r="D818" s="1">
        <f>IFERROR(__xludf.DUMMYFUNCTION("""COMPUTED_VALUE"""),38.0)</f>
        <v>38</v>
      </c>
      <c r="E818" s="1">
        <f>IFERROR(__xludf.DUMMYFUNCTION("""COMPUTED_VALUE"""),0.0)</f>
        <v>0</v>
      </c>
    </row>
    <row r="819">
      <c r="A819" s="1" t="str">
        <f>IFERROR(__xludf.DUMMYFUNCTION("""COMPUTED_VALUE"""),"MAUTS4128150")</f>
        <v>MAUTS4128150</v>
      </c>
      <c r="B819" s="1">
        <f>IFERROR(__xludf.DUMMYFUNCTION("""COMPUTED_VALUE"""),20.0)</f>
        <v>20</v>
      </c>
      <c r="C819" s="1">
        <f>IFERROR(__xludf.DUMMYFUNCTION("""COMPUTED_VALUE"""),20.0)</f>
        <v>20</v>
      </c>
      <c r="D819" s="1">
        <f>IFERROR(__xludf.DUMMYFUNCTION("""COMPUTED_VALUE"""),20.0)</f>
        <v>20</v>
      </c>
      <c r="E819" s="1">
        <f>IFERROR(__xludf.DUMMYFUNCTION("""COMPUTED_VALUE"""),0.0)</f>
        <v>0</v>
      </c>
    </row>
    <row r="820">
      <c r="A820" s="1" t="str">
        <f>IFERROR(__xludf.DUMMYFUNCTION("""COMPUTED_VALUE"""),"MAUXKKOREA0610")</f>
        <v>MAUXKKOREA0610</v>
      </c>
      <c r="B820" s="1">
        <f>IFERROR(__xludf.DUMMYFUNCTION("""COMPUTED_VALUE"""),4.0)</f>
        <v>4</v>
      </c>
      <c r="C820" s="1">
        <f>IFERROR(__xludf.DUMMYFUNCTION("""COMPUTED_VALUE"""),4.0)</f>
        <v>4</v>
      </c>
      <c r="D820" s="1">
        <f>IFERROR(__xludf.DUMMYFUNCTION("""COMPUTED_VALUE"""),4.0)</f>
        <v>4</v>
      </c>
      <c r="E820" s="1">
        <f>IFERROR(__xludf.DUMMYFUNCTION("""COMPUTED_VALUE"""),0.0)</f>
        <v>0</v>
      </c>
    </row>
    <row r="821">
      <c r="A821" s="1" t="str">
        <f>IFERROR(__xludf.DUMMYFUNCTION("""COMPUTED_VALUE"""),"MAUXKKOREA0612")</f>
        <v>MAUXKKOREA0612</v>
      </c>
      <c r="B821" s="1">
        <f>IFERROR(__xludf.DUMMYFUNCTION("""COMPUTED_VALUE"""),17.0)</f>
        <v>17</v>
      </c>
      <c r="C821" s="1">
        <f>IFERROR(__xludf.DUMMYFUNCTION("""COMPUTED_VALUE"""),17.0)</f>
        <v>17</v>
      </c>
      <c r="D821" s="1">
        <f>IFERROR(__xludf.DUMMYFUNCTION("""COMPUTED_VALUE"""),17.0)</f>
        <v>17</v>
      </c>
      <c r="E821" s="1">
        <f>IFERROR(__xludf.DUMMYFUNCTION("""COMPUTED_VALUE"""),0.0)</f>
        <v>0</v>
      </c>
    </row>
    <row r="822">
      <c r="A822" s="1" t="str">
        <f>IFERROR(__xludf.DUMMYFUNCTION("""COMPUTED_VALUE"""),"MAUXKKOREA0616")</f>
        <v>MAUXKKOREA0616</v>
      </c>
      <c r="B822" s="1">
        <f>IFERROR(__xludf.DUMMYFUNCTION("""COMPUTED_VALUE"""),4.0)</f>
        <v>4</v>
      </c>
      <c r="C822" s="1">
        <f>IFERROR(__xludf.DUMMYFUNCTION("""COMPUTED_VALUE"""),4.0)</f>
        <v>4</v>
      </c>
      <c r="D822" s="1">
        <f>IFERROR(__xludf.DUMMYFUNCTION("""COMPUTED_VALUE"""),4.0)</f>
        <v>4</v>
      </c>
      <c r="E822" s="1">
        <f>IFERROR(__xludf.DUMMYFUNCTION("""COMPUTED_VALUE"""),0.0)</f>
        <v>0</v>
      </c>
    </row>
    <row r="823">
      <c r="A823" s="1" t="str">
        <f>IFERROR(__xludf.DUMMYFUNCTION("""COMPUTED_VALUE"""),"MAUXKKOREA1016")</f>
        <v>MAUXKKOREA1016</v>
      </c>
      <c r="B823" s="1">
        <f>IFERROR(__xludf.DUMMYFUNCTION("""COMPUTED_VALUE"""),1.0)</f>
        <v>1</v>
      </c>
      <c r="C823" s="1">
        <f>IFERROR(__xludf.DUMMYFUNCTION("""COMPUTED_VALUE"""),1.0)</f>
        <v>1</v>
      </c>
      <c r="D823" s="1">
        <f>IFERROR(__xludf.DUMMYFUNCTION("""COMPUTED_VALUE"""),1.0)</f>
        <v>1</v>
      </c>
      <c r="E823" s="1">
        <f>IFERROR(__xludf.DUMMYFUNCTION("""COMPUTED_VALUE"""),0.0)</f>
        <v>0</v>
      </c>
    </row>
    <row r="824">
      <c r="A824" s="1" t="str">
        <f>IFERROR(__xludf.DUMMYFUNCTION("""COMPUTED_VALUE"""),"MAUXKTS0610")</f>
        <v>MAUXKTS0610</v>
      </c>
      <c r="B824" s="1">
        <f>IFERROR(__xludf.DUMMYFUNCTION("""COMPUTED_VALUE"""),19.0)</f>
        <v>19</v>
      </c>
      <c r="C824" s="1">
        <f>IFERROR(__xludf.DUMMYFUNCTION("""COMPUTED_VALUE"""),19.0)</f>
        <v>19</v>
      </c>
      <c r="D824" s="1">
        <f>IFERROR(__xludf.DUMMYFUNCTION("""COMPUTED_VALUE"""),19.0)</f>
        <v>19</v>
      </c>
      <c r="E824" s="1">
        <f>IFERROR(__xludf.DUMMYFUNCTION("""COMPUTED_VALUE"""),0.0)</f>
        <v>0</v>
      </c>
    </row>
    <row r="825">
      <c r="A825" s="1" t="str">
        <f>IFERROR(__xludf.DUMMYFUNCTION("""COMPUTED_VALUE"""),"MAUXKTS0612")</f>
        <v>MAUXKTS0612</v>
      </c>
      <c r="B825" s="1">
        <f>IFERROR(__xludf.DUMMYFUNCTION("""COMPUTED_VALUE"""),21.0)</f>
        <v>21</v>
      </c>
      <c r="C825" s="1">
        <f>IFERROR(__xludf.DUMMYFUNCTION("""COMPUTED_VALUE"""),21.0)</f>
        <v>21</v>
      </c>
      <c r="D825" s="1">
        <f>IFERROR(__xludf.DUMMYFUNCTION("""COMPUTED_VALUE"""),21.0)</f>
        <v>21</v>
      </c>
      <c r="E825" s="1">
        <f>IFERROR(__xludf.DUMMYFUNCTION("""COMPUTED_VALUE"""),0.0)</f>
        <v>0</v>
      </c>
    </row>
    <row r="826">
      <c r="A826" s="1" t="str">
        <f>IFERROR(__xludf.DUMMYFUNCTION("""COMPUTED_VALUE"""),"MHMTM2600")</f>
        <v>MHMTM2600</v>
      </c>
      <c r="B826" s="1">
        <f>IFERROR(__xludf.DUMMYFUNCTION("""COMPUTED_VALUE"""),1.0)</f>
        <v>1</v>
      </c>
      <c r="C826" s="1">
        <f>IFERROR(__xludf.DUMMYFUNCTION("""COMPUTED_VALUE"""),1.0)</f>
        <v>1</v>
      </c>
      <c r="D826" s="1">
        <f>IFERROR(__xludf.DUMMYFUNCTION("""COMPUTED_VALUE"""),1.0)</f>
        <v>1</v>
      </c>
      <c r="E826" s="1">
        <f>IFERROR(__xludf.DUMMYFUNCTION("""COMPUTED_VALUE"""),0.0)</f>
        <v>0</v>
      </c>
    </row>
    <row r="827">
      <c r="A827" s="1" t="str">
        <f>IFERROR(__xludf.DUMMYFUNCTION("""COMPUTED_VALUE"""),"MNK2V32S225AUA18")</f>
        <v>MNK2V32S225AUA18</v>
      </c>
      <c r="B827" s="1">
        <f>IFERROR(__xludf.DUMMYFUNCTION("""COMPUTED_VALUE"""),8.0)</f>
        <v>8</v>
      </c>
      <c r="C827" s="1">
        <f>IFERROR(__xludf.DUMMYFUNCTION("""COMPUTED_VALUE"""),8.0)</f>
        <v>8</v>
      </c>
      <c r="D827" s="1">
        <f>IFERROR(__xludf.DUMMYFUNCTION("""COMPUTED_VALUE"""),8.0)</f>
        <v>8</v>
      </c>
      <c r="E827" s="1">
        <f>IFERROR(__xludf.DUMMYFUNCTION("""COMPUTED_VALUE"""),0.0)</f>
        <v>0</v>
      </c>
    </row>
    <row r="828">
      <c r="A828" s="1" t="str">
        <f>IFERROR(__xludf.DUMMYFUNCTION("""COMPUTED_VALUE"""),"MNK2V42S225AUA24")</f>
        <v>MNK2V42S225AUA24</v>
      </c>
      <c r="B828" s="1">
        <f>IFERROR(__xludf.DUMMYFUNCTION("""COMPUTED_VALUE"""),33.0)</f>
        <v>33</v>
      </c>
      <c r="C828" s="1">
        <f>IFERROR(__xludf.DUMMYFUNCTION("""COMPUTED_VALUE"""),34.0)</f>
        <v>34</v>
      </c>
      <c r="D828" s="1">
        <f>IFERROR(__xludf.DUMMYFUNCTION("""COMPUTED_VALUE"""),34.0)</f>
        <v>34</v>
      </c>
      <c r="E828" s="1">
        <f>IFERROR(__xludf.DUMMYFUNCTION("""COMPUTED_VALUE"""),0.0)</f>
        <v>0</v>
      </c>
    </row>
    <row r="829">
      <c r="A829" s="1" t="str">
        <f>IFERROR(__xludf.DUMMYFUNCTION("""COMPUTED_VALUE"""),"MNKAL112")</f>
        <v>MNKAL112</v>
      </c>
      <c r="B829" s="1">
        <f>IFERROR(__xludf.DUMMYFUNCTION("""COMPUTED_VALUE"""),3.0)</f>
        <v>3</v>
      </c>
      <c r="C829" s="1">
        <f>IFERROR(__xludf.DUMMYFUNCTION("""COMPUTED_VALUE"""),3.0)</f>
        <v>3</v>
      </c>
      <c r="D829" s="1">
        <f>IFERROR(__xludf.DUMMYFUNCTION("""COMPUTED_VALUE"""),3.0)</f>
        <v>3</v>
      </c>
      <c r="E829" s="1">
        <f>IFERROR(__xludf.DUMMYFUNCTION("""COMPUTED_VALUE"""),0.0)</f>
        <v>0</v>
      </c>
    </row>
    <row r="830">
      <c r="A830" s="1" t="str">
        <f>IFERROR(__xludf.DUMMYFUNCTION("""COMPUTED_VALUE"""),"MNKAL180")</f>
        <v>MNKAL180</v>
      </c>
      <c r="B830" s="1">
        <f>IFERROR(__xludf.DUMMYFUNCTION("""COMPUTED_VALUE"""),1.0)</f>
        <v>1</v>
      </c>
      <c r="C830" s="1">
        <f>IFERROR(__xludf.DUMMYFUNCTION("""COMPUTED_VALUE"""),1.0)</f>
        <v>1</v>
      </c>
      <c r="D830" s="1">
        <f>IFERROR(__xludf.DUMMYFUNCTION("""COMPUTED_VALUE"""),1.0)</f>
        <v>1</v>
      </c>
      <c r="E830" s="1">
        <f>IFERROR(__xludf.DUMMYFUNCTION("""COMPUTED_VALUE"""),0.0)</f>
        <v>0</v>
      </c>
    </row>
    <row r="831">
      <c r="A831" s="1" t="str">
        <f>IFERROR(__xludf.DUMMYFUNCTION("""COMPUTED_VALUE"""),"MNKAS43")</f>
        <v>MNKAS43</v>
      </c>
      <c r="B831" s="1">
        <f>IFERROR(__xludf.DUMMYFUNCTION("""COMPUTED_VALUE"""),73.0)</f>
        <v>73</v>
      </c>
      <c r="C831" s="1">
        <f>IFERROR(__xludf.DUMMYFUNCTION("""COMPUTED_VALUE"""),73.0)</f>
        <v>73</v>
      </c>
      <c r="D831" s="1">
        <f>IFERROR(__xludf.DUMMYFUNCTION("""COMPUTED_VALUE"""),73.0)</f>
        <v>73</v>
      </c>
      <c r="E831" s="1">
        <f>IFERROR(__xludf.DUMMYFUNCTION("""COMPUTED_VALUE"""),0.0)</f>
        <v>0</v>
      </c>
    </row>
    <row r="832">
      <c r="A832" s="1" t="str">
        <f>IFERROR(__xludf.DUMMYFUNCTION("""COMPUTED_VALUE"""),"MNKCBZN175L5Z")</f>
        <v>MNKCBZN175L5Z</v>
      </c>
      <c r="B832" s="1">
        <f>IFERROR(__xludf.DUMMYFUNCTION("""COMPUTED_VALUE"""),53.0)</f>
        <v>53</v>
      </c>
      <c r="C832" s="1">
        <f>IFERROR(__xludf.DUMMYFUNCTION("""COMPUTED_VALUE"""),55.0)</f>
        <v>55</v>
      </c>
      <c r="D832" s="1">
        <f>IFERROR(__xludf.DUMMYFUNCTION("""COMPUTED_VALUE"""),55.0)</f>
        <v>55</v>
      </c>
      <c r="E832" s="1">
        <f>IFERROR(__xludf.DUMMYFUNCTION("""COMPUTED_VALUE"""),0.0)</f>
        <v>0</v>
      </c>
    </row>
    <row r="833">
      <c r="A833" s="1" t="str">
        <f>IFERROR(__xludf.DUMMYFUNCTION("""COMPUTED_VALUE"""),"MNKCR30-K6M-PF1-171")</f>
        <v>MNKCR30-K6M-PF1-171</v>
      </c>
      <c r="B833" s="1">
        <f>IFERROR(__xludf.DUMMYFUNCTION("""COMPUTED_VALUE"""),1.0)</f>
        <v>1</v>
      </c>
      <c r="C833" s="1">
        <f>IFERROR(__xludf.DUMMYFUNCTION("""COMPUTED_VALUE"""),1.0)</f>
        <v>1</v>
      </c>
      <c r="D833" s="1">
        <f>IFERROR(__xludf.DUMMYFUNCTION("""COMPUTED_VALUE"""),1.0)</f>
        <v>1</v>
      </c>
      <c r="E833" s="1">
        <f>IFERROR(__xludf.DUMMYFUNCTION("""COMPUTED_VALUE"""),0.0)</f>
        <v>0</v>
      </c>
    </row>
    <row r="834">
      <c r="A834" s="1" t="str">
        <f>IFERROR(__xludf.DUMMYFUNCTION("""COMPUTED_VALUE"""),"MNKDGS26CLX")</f>
        <v>MNKDGS26CLX</v>
      </c>
      <c r="B834" s="1">
        <f>IFERROR(__xludf.DUMMYFUNCTION("""COMPUTED_VALUE"""),3.0)</f>
        <v>3</v>
      </c>
      <c r="C834" s="1">
        <f>IFERROR(__xludf.DUMMYFUNCTION("""COMPUTED_VALUE"""),3.0)</f>
        <v>3</v>
      </c>
      <c r="D834" s="1">
        <f>IFERROR(__xludf.DUMMYFUNCTION("""COMPUTED_VALUE"""),3.0)</f>
        <v>3</v>
      </c>
      <c r="E834" s="1">
        <f>IFERROR(__xludf.DUMMYFUNCTION("""COMPUTED_VALUE"""),0.0)</f>
        <v>0</v>
      </c>
    </row>
    <row r="835">
      <c r="A835" s="1" t="str">
        <f>IFERROR(__xludf.DUMMYFUNCTION("""COMPUTED_VALUE"""),"MNKDGS34CLX")</f>
        <v>MNKDGS34CLX</v>
      </c>
      <c r="B835" s="1">
        <f>IFERROR(__xludf.DUMMYFUNCTION("""COMPUTED_VALUE"""),10.0)</f>
        <v>10</v>
      </c>
      <c r="C835" s="1">
        <f>IFERROR(__xludf.DUMMYFUNCTION("""COMPUTED_VALUE"""),10.0)</f>
        <v>10</v>
      </c>
      <c r="D835" s="1">
        <f>IFERROR(__xludf.DUMMYFUNCTION("""COMPUTED_VALUE"""),10.0)</f>
        <v>10</v>
      </c>
      <c r="E835" s="1">
        <f>IFERROR(__xludf.DUMMYFUNCTION("""COMPUTED_VALUE"""),0.0)</f>
        <v>0</v>
      </c>
    </row>
    <row r="836">
      <c r="A836" s="1" t="str">
        <f>IFERROR(__xludf.DUMMYFUNCTION("""COMPUTED_VALUE"""),"MNKDHML072T4LC6")</f>
        <v>MNKDHML072T4LC6</v>
      </c>
      <c r="B836" s="1">
        <f>IFERROR(__xludf.DUMMYFUNCTION("""COMPUTED_VALUE"""),4.0)</f>
        <v>4</v>
      </c>
      <c r="C836" s="1">
        <f>IFERROR(__xludf.DUMMYFUNCTION("""COMPUTED_VALUE"""),4.0)</f>
        <v>4</v>
      </c>
      <c r="D836" s="1">
        <f>IFERROR(__xludf.DUMMYFUNCTION("""COMPUTED_VALUE"""),4.0)</f>
        <v>4</v>
      </c>
      <c r="E836" s="1">
        <f>IFERROR(__xludf.DUMMYFUNCTION("""COMPUTED_VALUE"""),0.0)</f>
        <v>0</v>
      </c>
    </row>
    <row r="837">
      <c r="A837" s="1" t="str">
        <f>IFERROR(__xludf.DUMMYFUNCTION("""COMPUTED_VALUE"""),"MNKDHRM060-141.P6")</f>
        <v>MNKDHRM060-141.P6</v>
      </c>
      <c r="B837" s="1">
        <f>IFERROR(__xludf.DUMMYFUNCTION("""COMPUTED_VALUE"""),3.0)</f>
        <v>3</v>
      </c>
      <c r="C837" s="1">
        <f>IFERROR(__xludf.DUMMYFUNCTION("""COMPUTED_VALUE"""),3.0)</f>
        <v>3</v>
      </c>
      <c r="D837" s="1">
        <f>IFERROR(__xludf.DUMMYFUNCTION("""COMPUTED_VALUE"""),3.0)</f>
        <v>3</v>
      </c>
      <c r="E837" s="1">
        <f>IFERROR(__xludf.DUMMYFUNCTION("""COMPUTED_VALUE"""),0.0)</f>
        <v>0</v>
      </c>
    </row>
    <row r="838">
      <c r="A838" s="1" t="str">
        <f>IFERROR(__xludf.DUMMYFUNCTION("""COMPUTED_VALUE"""),"MNKDMT125-4VI")</f>
        <v>MNKDMT125-4VI</v>
      </c>
      <c r="B838" s="1">
        <f>IFERROR(__xludf.DUMMYFUNCTION("""COMPUTED_VALUE"""),1.0)</f>
        <v>1</v>
      </c>
      <c r="C838" s="1">
        <f>IFERROR(__xludf.DUMMYFUNCTION("""COMPUTED_VALUE"""),1.0)</f>
        <v>1</v>
      </c>
      <c r="D838" s="1">
        <f>IFERROR(__xludf.DUMMYFUNCTION("""COMPUTED_VALUE"""),1.0)</f>
        <v>1</v>
      </c>
      <c r="E838" s="1">
        <f>IFERROR(__xludf.DUMMYFUNCTION("""COMPUTED_VALUE"""),0.0)</f>
        <v>0</v>
      </c>
    </row>
    <row r="839">
      <c r="A839" s="1" t="str">
        <f>IFERROR(__xludf.DUMMYFUNCTION("""COMPUTED_VALUE"""),"MNKDMT144-4VM")</f>
        <v>MNKDMT144-4VM</v>
      </c>
      <c r="B839" s="1">
        <f>IFERROR(__xludf.DUMMYFUNCTION("""COMPUTED_VALUE"""),6.0)</f>
        <v>6</v>
      </c>
      <c r="C839" s="1">
        <f>IFERROR(__xludf.DUMMYFUNCTION("""COMPUTED_VALUE"""),6.0)</f>
        <v>6</v>
      </c>
      <c r="D839" s="1">
        <f>IFERROR(__xludf.DUMMYFUNCTION("""COMPUTED_VALUE"""),6.0)</f>
        <v>6</v>
      </c>
      <c r="E839" s="1">
        <f>IFERROR(__xludf.DUMMYFUNCTION("""COMPUTED_VALUE"""),0.0)</f>
        <v>0</v>
      </c>
    </row>
    <row r="840">
      <c r="A840" s="1" t="str">
        <f>IFERROR(__xludf.DUMMYFUNCTION("""COMPUTED_VALUE"""),"MNKDMT28-5VI")</f>
        <v>MNKDMT28-5VI</v>
      </c>
      <c r="B840" s="1">
        <f>IFERROR(__xludf.DUMMYFUNCTION("""COMPUTED_VALUE"""),3.0)</f>
        <v>3</v>
      </c>
      <c r="C840" s="1">
        <f>IFERROR(__xludf.DUMMYFUNCTION("""COMPUTED_VALUE"""),3.0)</f>
        <v>3</v>
      </c>
      <c r="D840" s="1">
        <f>IFERROR(__xludf.DUMMYFUNCTION("""COMPUTED_VALUE"""),3.0)</f>
        <v>3</v>
      </c>
      <c r="E840" s="1">
        <f>IFERROR(__xludf.DUMMYFUNCTION("""COMPUTED_VALUE"""),0.0)</f>
        <v>0</v>
      </c>
    </row>
    <row r="841">
      <c r="A841" s="1" t="str">
        <f>IFERROR(__xludf.DUMMYFUNCTION("""COMPUTED_VALUE"""),"MNKDMT56-4VM")</f>
        <v>MNKDMT56-4VM</v>
      </c>
      <c r="B841" s="1">
        <f>IFERROR(__xludf.DUMMYFUNCTION("""COMPUTED_VALUE"""),4.0)</f>
        <v>4</v>
      </c>
      <c r="C841" s="1">
        <f>IFERROR(__xludf.DUMMYFUNCTION("""COMPUTED_VALUE"""),4.0)</f>
        <v>4</v>
      </c>
      <c r="D841" s="1">
        <f>IFERROR(__xludf.DUMMYFUNCTION("""COMPUTED_VALUE"""),4.0)</f>
        <v>4</v>
      </c>
      <c r="E841" s="1">
        <f>IFERROR(__xludf.DUMMYFUNCTION("""COMPUTED_VALUE"""),0.0)</f>
        <v>0</v>
      </c>
    </row>
    <row r="842">
      <c r="A842" s="1" t="str">
        <f>IFERROR(__xludf.DUMMYFUNCTION("""COMPUTED_VALUE"""),"MNKDMTZ144-4VI")</f>
        <v>MNKDMTZ144-4VI</v>
      </c>
      <c r="B842" s="1">
        <f>IFERROR(__xludf.DUMMYFUNCTION("""COMPUTED_VALUE"""),2.0)</f>
        <v>2</v>
      </c>
      <c r="C842" s="1">
        <f>IFERROR(__xludf.DUMMYFUNCTION("""COMPUTED_VALUE"""),2.0)</f>
        <v>2</v>
      </c>
      <c r="D842" s="1">
        <f>IFERROR(__xludf.DUMMYFUNCTION("""COMPUTED_VALUE"""),2.0)</f>
        <v>2</v>
      </c>
      <c r="E842" s="1">
        <f>IFERROR(__xludf.DUMMYFUNCTION("""COMPUTED_VALUE"""),0.0)</f>
        <v>0</v>
      </c>
    </row>
    <row r="843">
      <c r="A843" s="1" t="str">
        <f>IFERROR(__xludf.DUMMYFUNCTION("""COMPUTED_VALUE"""),"MNKDMTZ160-4VI")</f>
        <v>MNKDMTZ160-4VI</v>
      </c>
      <c r="B843" s="1">
        <f>IFERROR(__xludf.DUMMYFUNCTION("""COMPUTED_VALUE"""),4.0)</f>
        <v>4</v>
      </c>
      <c r="C843" s="1">
        <f>IFERROR(__xludf.DUMMYFUNCTION("""COMPUTED_VALUE"""),4.0)</f>
        <v>4</v>
      </c>
      <c r="D843" s="1">
        <f>IFERROR(__xludf.DUMMYFUNCTION("""COMPUTED_VALUE"""),4.0)</f>
        <v>4</v>
      </c>
      <c r="E843" s="1">
        <f>IFERROR(__xludf.DUMMYFUNCTION("""COMPUTED_VALUE"""),0.0)</f>
        <v>0</v>
      </c>
    </row>
    <row r="844">
      <c r="A844" s="1" t="str">
        <f>IFERROR(__xludf.DUMMYFUNCTION("""COMPUTED_VALUE"""),"MNKDMTZ28-5VI")</f>
        <v>MNKDMTZ28-5VI</v>
      </c>
      <c r="B844" s="1">
        <f>IFERROR(__xludf.DUMMYFUNCTION("""COMPUTED_VALUE"""),2.0)</f>
        <v>2</v>
      </c>
      <c r="C844" s="1">
        <f>IFERROR(__xludf.DUMMYFUNCTION("""COMPUTED_VALUE"""),2.0)</f>
        <v>2</v>
      </c>
      <c r="D844" s="1">
        <f>IFERROR(__xludf.DUMMYFUNCTION("""COMPUTED_VALUE"""),2.0)</f>
        <v>2</v>
      </c>
      <c r="E844" s="1">
        <f>IFERROR(__xludf.DUMMYFUNCTION("""COMPUTED_VALUE"""),0.0)</f>
        <v>0</v>
      </c>
    </row>
    <row r="845">
      <c r="A845" s="1" t="str">
        <f>IFERROR(__xludf.DUMMYFUNCTION("""COMPUTED_VALUE"""),"MNKDMTZ40-4VI")</f>
        <v>MNKDMTZ40-4VI</v>
      </c>
      <c r="B845" s="1">
        <f>IFERROR(__xludf.DUMMYFUNCTION("""COMPUTED_VALUE"""),9.0)</f>
        <v>9</v>
      </c>
      <c r="C845" s="1">
        <f>IFERROR(__xludf.DUMMYFUNCTION("""COMPUTED_VALUE"""),9.0)</f>
        <v>9</v>
      </c>
      <c r="D845" s="1">
        <f>IFERROR(__xludf.DUMMYFUNCTION("""COMPUTED_VALUE"""),9.0)</f>
        <v>9</v>
      </c>
      <c r="E845" s="1">
        <f>IFERROR(__xludf.DUMMYFUNCTION("""COMPUTED_VALUE"""),0.0)</f>
        <v>0</v>
      </c>
    </row>
    <row r="846">
      <c r="A846" s="1" t="str">
        <f>IFERROR(__xludf.DUMMYFUNCTION("""COMPUTED_VALUE"""),"MNKDMTZ44-4VI")</f>
        <v>MNKDMTZ44-4VI</v>
      </c>
      <c r="B846" s="1">
        <f>IFERROR(__xludf.DUMMYFUNCTION("""COMPUTED_VALUE"""),1.0)</f>
        <v>1</v>
      </c>
      <c r="C846" s="1">
        <f>IFERROR(__xludf.DUMMYFUNCTION("""COMPUTED_VALUE"""),1.0)</f>
        <v>1</v>
      </c>
      <c r="D846" s="1">
        <f>IFERROR(__xludf.DUMMYFUNCTION("""COMPUTED_VALUE"""),1.0)</f>
        <v>1</v>
      </c>
      <c r="E846" s="1">
        <f>IFERROR(__xludf.DUMMYFUNCTION("""COMPUTED_VALUE"""),0.0)</f>
        <v>0</v>
      </c>
    </row>
    <row r="847">
      <c r="A847" s="1" t="str">
        <f>IFERROR(__xludf.DUMMYFUNCTION("""COMPUTED_VALUE"""),"MNKDMTZ56-4VI")</f>
        <v>MNKDMTZ56-4VI</v>
      </c>
      <c r="B847" s="1">
        <f>IFERROR(__xludf.DUMMYFUNCTION("""COMPUTED_VALUE"""),1.0)</f>
        <v>1</v>
      </c>
      <c r="C847" s="1">
        <f>IFERROR(__xludf.DUMMYFUNCTION("""COMPUTED_VALUE"""),1.0)</f>
        <v>1</v>
      </c>
      <c r="D847" s="1">
        <f>IFERROR(__xludf.DUMMYFUNCTION("""COMPUTED_VALUE"""),1.0)</f>
        <v>1</v>
      </c>
      <c r="E847" s="1">
        <f>IFERROR(__xludf.DUMMYFUNCTION("""COMPUTED_VALUE"""),0.0)</f>
        <v>0</v>
      </c>
    </row>
    <row r="848">
      <c r="A848" s="1" t="str">
        <f>IFERROR(__xludf.DUMMYFUNCTION("""COMPUTED_VALUE"""),"MNKDMTZ56-4VM")</f>
        <v>MNKDMTZ56-4VM</v>
      </c>
      <c r="B848" s="1">
        <f>IFERROR(__xludf.DUMMYFUNCTION("""COMPUTED_VALUE"""),4.0)</f>
        <v>4</v>
      </c>
      <c r="C848" s="1">
        <f>IFERROR(__xludf.DUMMYFUNCTION("""COMPUTED_VALUE"""),4.0)</f>
        <v>4</v>
      </c>
      <c r="D848" s="1">
        <f>IFERROR(__xludf.DUMMYFUNCTION("""COMPUTED_VALUE"""),4.0)</f>
        <v>4</v>
      </c>
      <c r="E848" s="1">
        <f>IFERROR(__xludf.DUMMYFUNCTION("""COMPUTED_VALUE"""),0.0)</f>
        <v>0</v>
      </c>
    </row>
    <row r="849">
      <c r="A849" s="1" t="str">
        <f>IFERROR(__xludf.DUMMYFUNCTION("""COMPUTED_VALUE"""),"MNKDSC15CL")</f>
        <v>MNKDSC15CL</v>
      </c>
      <c r="B849" s="1">
        <f>IFERROR(__xludf.DUMMYFUNCTION("""COMPUTED_VALUE"""),7.0)</f>
        <v>7</v>
      </c>
      <c r="C849" s="1">
        <f>IFERROR(__xludf.DUMMYFUNCTION("""COMPUTED_VALUE"""),7.0)</f>
        <v>7</v>
      </c>
      <c r="D849" s="1">
        <f>IFERROR(__xludf.DUMMYFUNCTION("""COMPUTED_VALUE"""),7.0)</f>
        <v>7</v>
      </c>
      <c r="E849" s="1">
        <f>IFERROR(__xludf.DUMMYFUNCTION("""COMPUTED_VALUE"""),0.0)</f>
        <v>0</v>
      </c>
    </row>
    <row r="850">
      <c r="A850" s="1" t="str">
        <f>IFERROR(__xludf.DUMMYFUNCTION("""COMPUTED_VALUE"""),"MNKDSC18CL")</f>
        <v>MNKDSC18CL</v>
      </c>
      <c r="B850" s="1">
        <f>IFERROR(__xludf.DUMMYFUNCTION("""COMPUTED_VALUE"""),3.0)</f>
        <v>3</v>
      </c>
      <c r="C850" s="1">
        <f>IFERROR(__xludf.DUMMYFUNCTION("""COMPUTED_VALUE"""),3.0)</f>
        <v>3</v>
      </c>
      <c r="D850" s="1">
        <f>IFERROR(__xludf.DUMMYFUNCTION("""COMPUTED_VALUE"""),3.0)</f>
        <v>3</v>
      </c>
      <c r="E850" s="1">
        <f>IFERROR(__xludf.DUMMYFUNCTION("""COMPUTED_VALUE"""),0.0)</f>
        <v>0</v>
      </c>
    </row>
    <row r="851">
      <c r="A851" s="1" t="str">
        <f>IFERROR(__xludf.DUMMYFUNCTION("""COMPUTED_VALUE"""),"MNKDSC18G")</f>
        <v>MNKDSC18G</v>
      </c>
      <c r="B851" s="1">
        <f>IFERROR(__xludf.DUMMYFUNCTION("""COMPUTED_VALUE"""),1.0)</f>
        <v>1</v>
      </c>
      <c r="C851" s="1">
        <f>IFERROR(__xludf.DUMMYFUNCTION("""COMPUTED_VALUE"""),1.0)</f>
        <v>1</v>
      </c>
      <c r="D851" s="1">
        <f>IFERROR(__xludf.DUMMYFUNCTION("""COMPUTED_VALUE"""),1.0)</f>
        <v>1</v>
      </c>
      <c r="E851" s="1">
        <f>IFERROR(__xludf.DUMMYFUNCTION("""COMPUTED_VALUE"""),0.0)</f>
        <v>0</v>
      </c>
    </row>
    <row r="852">
      <c r="A852" s="1" t="str">
        <f>IFERROR(__xludf.DUMMYFUNCTION("""COMPUTED_VALUE"""),"MNKDSC21CL")</f>
        <v>MNKDSC21CL</v>
      </c>
      <c r="B852" s="1">
        <f>IFERROR(__xludf.DUMMYFUNCTION("""COMPUTED_VALUE"""),8.0)</f>
        <v>8</v>
      </c>
      <c r="C852" s="1">
        <f>IFERROR(__xludf.DUMMYFUNCTION("""COMPUTED_VALUE"""),8.0)</f>
        <v>8</v>
      </c>
      <c r="D852" s="1">
        <f>IFERROR(__xludf.DUMMYFUNCTION("""COMPUTED_VALUE"""),8.0)</f>
        <v>8</v>
      </c>
      <c r="E852" s="1">
        <f>IFERROR(__xludf.DUMMYFUNCTION("""COMPUTED_VALUE"""),0.0)</f>
        <v>0</v>
      </c>
    </row>
    <row r="853">
      <c r="A853" s="1" t="str">
        <f>IFERROR(__xludf.DUMMYFUNCTION("""COMPUTED_VALUE"""),"MNKDSC21G")</f>
        <v>MNKDSC21G</v>
      </c>
      <c r="B853" s="1">
        <f>IFERROR(__xludf.DUMMYFUNCTION("""COMPUTED_VALUE"""),10.0)</f>
        <v>10</v>
      </c>
      <c r="C853" s="1">
        <f>IFERROR(__xludf.DUMMYFUNCTION("""COMPUTED_VALUE"""),10.0)</f>
        <v>10</v>
      </c>
      <c r="D853" s="1">
        <f>IFERROR(__xludf.DUMMYFUNCTION("""COMPUTED_VALUE"""),10.0)</f>
        <v>10</v>
      </c>
      <c r="E853" s="1">
        <f>IFERROR(__xludf.DUMMYFUNCTION("""COMPUTED_VALUE"""),0.0)</f>
        <v>0</v>
      </c>
    </row>
    <row r="854">
      <c r="A854" s="1" t="str">
        <f>IFERROR(__xludf.DUMMYFUNCTION("""COMPUTED_VALUE"""),"MNKHITA303DH")</f>
        <v>MNKHITA303DH</v>
      </c>
      <c r="B854" s="1">
        <f>IFERROR(__xludf.DUMMYFUNCTION("""COMPUTED_VALUE"""),19.0)</f>
        <v>19</v>
      </c>
      <c r="C854" s="1">
        <f>IFERROR(__xludf.DUMMYFUNCTION("""COMPUTED_VALUE"""),19.0)</f>
        <v>19</v>
      </c>
      <c r="D854" s="1">
        <f>IFERROR(__xludf.DUMMYFUNCTION("""COMPUTED_VALUE"""),19.0)</f>
        <v>19</v>
      </c>
      <c r="E854" s="1">
        <f>IFERROR(__xludf.DUMMYFUNCTION("""COMPUTED_VALUE"""),0.0)</f>
        <v>0</v>
      </c>
    </row>
    <row r="855">
      <c r="A855" s="1" t="str">
        <f>IFERROR(__xludf.DUMMYFUNCTION("""COMPUTED_VALUE"""),"MNKHITA403DH")</f>
        <v>MNKHITA403DH</v>
      </c>
      <c r="B855" s="1">
        <f>IFERROR(__xludf.DUMMYFUNCTION("""COMPUTED_VALUE"""),7.0)</f>
        <v>7</v>
      </c>
      <c r="C855" s="1">
        <f>IFERROR(__xludf.DUMMYFUNCTION("""COMPUTED_VALUE"""),7.0)</f>
        <v>7</v>
      </c>
      <c r="D855" s="1">
        <f>IFERROR(__xludf.DUMMYFUNCTION("""COMPUTED_VALUE"""),7.0)</f>
        <v>7</v>
      </c>
      <c r="E855" s="1">
        <f>IFERROR(__xludf.DUMMYFUNCTION("""COMPUTED_VALUE"""),0.0)</f>
        <v>0</v>
      </c>
    </row>
    <row r="856">
      <c r="A856" s="1" t="str">
        <f>IFERROR(__xludf.DUMMYFUNCTION("""COMPUTED_VALUE"""),"MNKHITA503DH")</f>
        <v>MNKHITA503DH</v>
      </c>
      <c r="B856" s="1">
        <f>IFERROR(__xludf.DUMMYFUNCTION("""COMPUTED_VALUE"""),5.0)</f>
        <v>5</v>
      </c>
      <c r="C856" s="1">
        <f>IFERROR(__xludf.DUMMYFUNCTION("""COMPUTED_VALUE"""),5.0)</f>
        <v>5</v>
      </c>
      <c r="D856" s="1">
        <f>IFERROR(__xludf.DUMMYFUNCTION("""COMPUTED_VALUE"""),5.0)</f>
        <v>5</v>
      </c>
      <c r="E856" s="1">
        <f>IFERROR(__xludf.DUMMYFUNCTION("""COMPUTED_VALUE"""),0.0)</f>
        <v>0</v>
      </c>
    </row>
    <row r="857">
      <c r="A857" s="1" t="str">
        <f>IFERROR(__xludf.DUMMYFUNCTION("""COMPUTED_VALUE"""),"MNKMT50-4VI")</f>
        <v>MNKMT50-4VI</v>
      </c>
      <c r="B857" s="1">
        <f>IFERROR(__xludf.DUMMYFUNCTION("""COMPUTED_VALUE"""),1.0)</f>
        <v>1</v>
      </c>
      <c r="C857" s="1">
        <f>IFERROR(__xludf.DUMMYFUNCTION("""COMPUTED_VALUE"""),1.0)</f>
        <v>1</v>
      </c>
      <c r="D857" s="1">
        <f>IFERROR(__xludf.DUMMYFUNCTION("""COMPUTED_VALUE"""),1.0)</f>
        <v>1</v>
      </c>
      <c r="E857" s="1">
        <f>IFERROR(__xludf.DUMMYFUNCTION("""COMPUTED_VALUE"""),0.0)</f>
        <v>0</v>
      </c>
    </row>
    <row r="858">
      <c r="A858" s="1" t="str">
        <f>IFERROR(__xludf.DUMMYFUNCTION("""COMPUTED_VALUE"""),"MNKQXR-RA")</f>
        <v>MNKQXR-RA</v>
      </c>
      <c r="B858" s="1">
        <f>IFERROR(__xludf.DUMMYFUNCTION("""COMPUTED_VALUE"""),68.0)</f>
        <v>68</v>
      </c>
      <c r="C858" s="1">
        <f>IFERROR(__xludf.DUMMYFUNCTION("""COMPUTED_VALUE"""),68.0)</f>
        <v>68</v>
      </c>
      <c r="D858" s="1">
        <f>IFERROR(__xludf.DUMMYFUNCTION("""COMPUTED_VALUE"""),68.0)</f>
        <v>68</v>
      </c>
      <c r="E858" s="1">
        <f>IFERROR(__xludf.DUMMYFUNCTION("""COMPUTED_VALUE"""),0.0)</f>
        <v>0</v>
      </c>
    </row>
    <row r="859">
      <c r="A859" s="1" t="str">
        <f>IFERROR(__xludf.DUMMYFUNCTION("""COMPUTED_VALUE"""),"MNKSC12CLX")</f>
        <v>MNKSC12CLX</v>
      </c>
      <c r="B859" s="1">
        <f>IFERROR(__xludf.DUMMYFUNCTION("""COMPUTED_VALUE"""),19.0)</f>
        <v>19</v>
      </c>
      <c r="C859" s="1">
        <f>IFERROR(__xludf.DUMMYFUNCTION("""COMPUTED_VALUE"""),19.0)</f>
        <v>19</v>
      </c>
      <c r="D859" s="1">
        <f>IFERROR(__xludf.DUMMYFUNCTION("""COMPUTED_VALUE"""),19.0)</f>
        <v>19</v>
      </c>
      <c r="E859" s="1">
        <f>IFERROR(__xludf.DUMMYFUNCTION("""COMPUTED_VALUE"""),0.0)</f>
        <v>0</v>
      </c>
    </row>
    <row r="860">
      <c r="A860" s="1" t="str">
        <f>IFERROR(__xludf.DUMMYFUNCTION("""COMPUTED_VALUE"""),"MNKSM1004VI")</f>
        <v>MNKSM1004VI</v>
      </c>
      <c r="B860" s="1">
        <f>IFERROR(__xludf.DUMMYFUNCTION("""COMPUTED_VALUE"""),6.0)</f>
        <v>6</v>
      </c>
      <c r="C860" s="1">
        <f>IFERROR(__xludf.DUMMYFUNCTION("""COMPUTED_VALUE"""),6.0)</f>
        <v>6</v>
      </c>
      <c r="D860" s="1">
        <f>IFERROR(__xludf.DUMMYFUNCTION("""COMPUTED_VALUE"""),6.0)</f>
        <v>6</v>
      </c>
      <c r="E860" s="1">
        <f>IFERROR(__xludf.DUMMYFUNCTION("""COMPUTED_VALUE"""),0.0)</f>
        <v>0</v>
      </c>
    </row>
    <row r="861">
      <c r="A861" s="1" t="str">
        <f>IFERROR(__xludf.DUMMYFUNCTION("""COMPUTED_VALUE"""),"MNKSM185S4CC")</f>
        <v>MNKSM185S4CC</v>
      </c>
      <c r="B861" s="1">
        <f>IFERROR(__xludf.DUMMYFUNCTION("""COMPUTED_VALUE"""),2.0)</f>
        <v>2</v>
      </c>
      <c r="C861" s="1">
        <f>IFERROR(__xludf.DUMMYFUNCTION("""COMPUTED_VALUE"""),2.0)</f>
        <v>2</v>
      </c>
      <c r="D861" s="1">
        <f>IFERROR(__xludf.DUMMYFUNCTION("""COMPUTED_VALUE"""),2.0)</f>
        <v>2</v>
      </c>
      <c r="E861" s="1">
        <f>IFERROR(__xludf.DUMMYFUNCTION("""COMPUTED_VALUE"""),0.0)</f>
        <v>0</v>
      </c>
    </row>
    <row r="862">
      <c r="A862" s="1" t="str">
        <f>IFERROR(__xludf.DUMMYFUNCTION("""COMPUTED_VALUE"""),"MNKZB19KQEPJF-558")</f>
        <v>MNKZB19KQEPJF-558</v>
      </c>
      <c r="B862" s="1">
        <f>IFERROR(__xludf.DUMMYFUNCTION("""COMPUTED_VALUE"""),1.0)</f>
        <v>1</v>
      </c>
      <c r="C862" s="1">
        <f>IFERROR(__xludf.DUMMYFUNCTION("""COMPUTED_VALUE"""),1.0)</f>
        <v>1</v>
      </c>
      <c r="D862" s="1">
        <f>IFERROR(__xludf.DUMMYFUNCTION("""COMPUTED_VALUE"""),1.0)</f>
        <v>1</v>
      </c>
      <c r="E862" s="1">
        <f>IFERROR(__xludf.DUMMYFUNCTION("""COMPUTED_VALUE"""),0.0)</f>
        <v>0</v>
      </c>
    </row>
    <row r="863">
      <c r="A863" s="1" t="str">
        <f>IFERROR(__xludf.DUMMYFUNCTION("""COMPUTED_VALUE"""),"MNKZB21KQE-PFJ558")</f>
        <v>MNKZB21KQE-PFJ558</v>
      </c>
      <c r="B863" s="1">
        <f>IFERROR(__xludf.DUMMYFUNCTION("""COMPUTED_VALUE"""),1.0)</f>
        <v>1</v>
      </c>
      <c r="C863" s="1">
        <f>IFERROR(__xludf.DUMMYFUNCTION("""COMPUTED_VALUE"""),1.0)</f>
        <v>1</v>
      </c>
      <c r="D863" s="1">
        <f>IFERROR(__xludf.DUMMYFUNCTION("""COMPUTED_VALUE"""),1.0)</f>
        <v>1</v>
      </c>
      <c r="E863" s="1">
        <f>IFERROR(__xludf.DUMMYFUNCTION("""COMPUTED_VALUE"""),0.0)</f>
        <v>0</v>
      </c>
    </row>
    <row r="864">
      <c r="A864" s="1" t="str">
        <f>IFERROR(__xludf.DUMMYFUNCTION("""COMPUTED_VALUE"""),"MNKZB26KQPFJ")</f>
        <v>MNKZB26KQPFJ</v>
      </c>
      <c r="B864" s="1">
        <f>IFERROR(__xludf.DUMMYFUNCTION("""COMPUTED_VALUE"""),1.0)</f>
        <v>1</v>
      </c>
      <c r="C864" s="1">
        <f>IFERROR(__xludf.DUMMYFUNCTION("""COMPUTED_VALUE"""),1.0)</f>
        <v>1</v>
      </c>
      <c r="D864" s="1">
        <f>IFERROR(__xludf.DUMMYFUNCTION("""COMPUTED_VALUE"""),1.0)</f>
        <v>1</v>
      </c>
      <c r="E864" s="1">
        <f>IFERROR(__xludf.DUMMYFUNCTION("""COMPUTED_VALUE"""),0.0)</f>
        <v>0</v>
      </c>
    </row>
    <row r="865">
      <c r="A865" s="1" t="str">
        <f>IFERROR(__xludf.DUMMYFUNCTION("""COMPUTED_VALUE"""),"MNKZB38KQTFD-558")</f>
        <v>MNKZB38KQTFD-558</v>
      </c>
      <c r="B865" s="1">
        <f>IFERROR(__xludf.DUMMYFUNCTION("""COMPUTED_VALUE"""),6.0)</f>
        <v>6</v>
      </c>
      <c r="C865" s="1">
        <f>IFERROR(__xludf.DUMMYFUNCTION("""COMPUTED_VALUE"""),6.0)</f>
        <v>6</v>
      </c>
      <c r="D865" s="1">
        <f>IFERROR(__xludf.DUMMYFUNCTION("""COMPUTED_VALUE"""),6.0)</f>
        <v>6</v>
      </c>
      <c r="E865" s="1">
        <f>IFERROR(__xludf.DUMMYFUNCTION("""COMPUTED_VALUE"""),0.0)</f>
        <v>0</v>
      </c>
    </row>
    <row r="866">
      <c r="A866" s="1" t="str">
        <f>IFERROR(__xludf.DUMMYFUNCTION("""COMPUTED_VALUE"""),"MNKZB58KQTFD-550")</f>
        <v>MNKZB58KQTFD-550</v>
      </c>
      <c r="B866" s="1">
        <f>IFERROR(__xludf.DUMMYFUNCTION("""COMPUTED_VALUE"""),1.0)</f>
        <v>1</v>
      </c>
      <c r="C866" s="1">
        <f>IFERROR(__xludf.DUMMYFUNCTION("""COMPUTED_VALUE"""),1.0)</f>
        <v>1</v>
      </c>
      <c r="D866" s="1">
        <f>IFERROR(__xludf.DUMMYFUNCTION("""COMPUTED_VALUE"""),1.0)</f>
        <v>1</v>
      </c>
      <c r="E866" s="1">
        <f>IFERROR(__xludf.DUMMYFUNCTION("""COMPUTED_VALUE"""),0.0)</f>
        <v>0</v>
      </c>
    </row>
    <row r="867">
      <c r="A867" s="1" t="str">
        <f>IFERROR(__xludf.DUMMYFUNCTION("""COMPUTED_VALUE"""),"MNKZB95KQTFD550")</f>
        <v>MNKZB95KQTFD550</v>
      </c>
      <c r="B867" s="1">
        <f>IFERROR(__xludf.DUMMYFUNCTION("""COMPUTED_VALUE"""),5.0)</f>
        <v>5</v>
      </c>
      <c r="C867" s="1">
        <f>IFERROR(__xludf.DUMMYFUNCTION("""COMPUTED_VALUE"""),5.0)</f>
        <v>5</v>
      </c>
      <c r="D867" s="1">
        <f>IFERROR(__xludf.DUMMYFUNCTION("""COMPUTED_VALUE"""),5.0)</f>
        <v>5</v>
      </c>
      <c r="E867" s="1">
        <f>IFERROR(__xludf.DUMMYFUNCTION("""COMPUTED_VALUE"""),0.0)</f>
        <v>0</v>
      </c>
    </row>
    <row r="868">
      <c r="A868" s="1" t="str">
        <f>IFERROR(__xludf.DUMMYFUNCTION("""COMPUTED_VALUE"""),"MNKZP120KCE-TFD-522")</f>
        <v>MNKZP120KCE-TFD-522</v>
      </c>
      <c r="B868" s="1">
        <f>IFERROR(__xludf.DUMMYFUNCTION("""COMPUTED_VALUE"""),1.0)</f>
        <v>1</v>
      </c>
      <c r="C868" s="1">
        <f>IFERROR(__xludf.DUMMYFUNCTION("""COMPUTED_VALUE"""),1.0)</f>
        <v>1</v>
      </c>
      <c r="D868" s="1">
        <f>IFERROR(__xludf.DUMMYFUNCTION("""COMPUTED_VALUE"""),1.0)</f>
        <v>1</v>
      </c>
      <c r="E868" s="1">
        <f>IFERROR(__xludf.DUMMYFUNCTION("""COMPUTED_VALUE"""),0.0)</f>
        <v>0</v>
      </c>
    </row>
    <row r="869">
      <c r="A869" s="1" t="str">
        <f>IFERROR(__xludf.DUMMYFUNCTION("""COMPUTED_VALUE"""),"MNKZP36K3E-PFJ-522")</f>
        <v>MNKZP36K3E-PFJ-522</v>
      </c>
      <c r="B869" s="1">
        <f>IFERROR(__xludf.DUMMYFUNCTION("""COMPUTED_VALUE"""),1.0)</f>
        <v>1</v>
      </c>
      <c r="C869" s="1">
        <f>IFERROR(__xludf.DUMMYFUNCTION("""COMPUTED_VALUE"""),1.0)</f>
        <v>1</v>
      </c>
      <c r="D869" s="1">
        <f>IFERROR(__xludf.DUMMYFUNCTION("""COMPUTED_VALUE"""),1.0)</f>
        <v>1</v>
      </c>
      <c r="E869" s="1">
        <f>IFERROR(__xludf.DUMMYFUNCTION("""COMPUTED_VALUE"""),0.0)</f>
        <v>0</v>
      </c>
    </row>
    <row r="870">
      <c r="A870" s="1" t="str">
        <f>IFERROR(__xludf.DUMMYFUNCTION("""COMPUTED_VALUE"""),"MNKZR108KCTFD-422")</f>
        <v>MNKZR108KCTFD-422</v>
      </c>
      <c r="B870" s="1">
        <f>IFERROR(__xludf.DUMMYFUNCTION("""COMPUTED_VALUE"""),4.0)</f>
        <v>4</v>
      </c>
      <c r="C870" s="1">
        <f>IFERROR(__xludf.DUMMYFUNCTION("""COMPUTED_VALUE"""),4.0)</f>
        <v>4</v>
      </c>
      <c r="D870" s="1">
        <f>IFERROR(__xludf.DUMMYFUNCTION("""COMPUTED_VALUE"""),4.0)</f>
        <v>4</v>
      </c>
      <c r="E870" s="1">
        <f>IFERROR(__xludf.DUMMYFUNCTION("""COMPUTED_VALUE"""),0.0)</f>
        <v>0</v>
      </c>
    </row>
    <row r="871">
      <c r="A871" s="1" t="str">
        <f>IFERROR(__xludf.DUMMYFUNCTION("""COMPUTED_VALUE"""),"MNKZR108KCTFD-522")</f>
        <v>MNKZR108KCTFD-522</v>
      </c>
      <c r="B871" s="1">
        <f>IFERROR(__xludf.DUMMYFUNCTION("""COMPUTED_VALUE"""),10.0)</f>
        <v>10</v>
      </c>
      <c r="C871" s="1">
        <f>IFERROR(__xludf.DUMMYFUNCTION("""COMPUTED_VALUE"""),10.0)</f>
        <v>10</v>
      </c>
      <c r="D871" s="1">
        <f>IFERROR(__xludf.DUMMYFUNCTION("""COMPUTED_VALUE"""),10.0)</f>
        <v>10</v>
      </c>
      <c r="E871" s="1">
        <f>IFERROR(__xludf.DUMMYFUNCTION("""COMPUTED_VALUE"""),0.0)</f>
        <v>0</v>
      </c>
    </row>
    <row r="872">
      <c r="A872" s="1" t="str">
        <f>IFERROR(__xludf.DUMMYFUNCTION("""COMPUTED_VALUE"""),"MNKZR160KCETFD-422")</f>
        <v>MNKZR160KCETFD-422</v>
      </c>
      <c r="B872" s="1">
        <f>IFERROR(__xludf.DUMMYFUNCTION("""COMPUTED_VALUE"""),5.0)</f>
        <v>5</v>
      </c>
      <c r="C872" s="1">
        <f>IFERROR(__xludf.DUMMYFUNCTION("""COMPUTED_VALUE"""),5.0)</f>
        <v>5</v>
      </c>
      <c r="D872" s="1">
        <f>IFERROR(__xludf.DUMMYFUNCTION("""COMPUTED_VALUE"""),5.0)</f>
        <v>5</v>
      </c>
      <c r="E872" s="1">
        <f>IFERROR(__xludf.DUMMYFUNCTION("""COMPUTED_VALUE"""),0.0)</f>
        <v>0</v>
      </c>
    </row>
    <row r="873">
      <c r="A873" s="1" t="str">
        <f>IFERROR(__xludf.DUMMYFUNCTION("""COMPUTED_VALUE"""),"MNKZR160KCETFD-522")</f>
        <v>MNKZR160KCETFD-522</v>
      </c>
      <c r="B873" s="1">
        <f>IFERROR(__xludf.DUMMYFUNCTION("""COMPUTED_VALUE"""),1.0)</f>
        <v>1</v>
      </c>
      <c r="C873" s="1">
        <f>IFERROR(__xludf.DUMMYFUNCTION("""COMPUTED_VALUE"""),1.0)</f>
        <v>1</v>
      </c>
      <c r="D873" s="1">
        <f>IFERROR(__xludf.DUMMYFUNCTION("""COMPUTED_VALUE"""),1.0)</f>
        <v>1</v>
      </c>
      <c r="E873" s="1">
        <f>IFERROR(__xludf.DUMMYFUNCTION("""COMPUTED_VALUE"""),0.0)</f>
        <v>0</v>
      </c>
    </row>
    <row r="874">
      <c r="A874" s="1" t="str">
        <f>IFERROR(__xludf.DUMMYFUNCTION("""COMPUTED_VALUE"""),"MNKZR160KC-TFD-422")</f>
        <v>MNKZR160KC-TFD-422</v>
      </c>
      <c r="B874" s="1">
        <f>IFERROR(__xludf.DUMMYFUNCTION("""COMPUTED_VALUE"""),1.0)</f>
        <v>1</v>
      </c>
      <c r="C874" s="1">
        <f>IFERROR(__xludf.DUMMYFUNCTION("""COMPUTED_VALUE"""),1.0)</f>
        <v>1</v>
      </c>
      <c r="D874" s="1">
        <f>IFERROR(__xludf.DUMMYFUNCTION("""COMPUTED_VALUE"""),1.0)</f>
        <v>1</v>
      </c>
      <c r="E874" s="1">
        <f>IFERROR(__xludf.DUMMYFUNCTION("""COMPUTED_VALUE"""),0.0)</f>
        <v>0</v>
      </c>
    </row>
    <row r="875">
      <c r="A875" s="1" t="str">
        <f>IFERROR(__xludf.DUMMYFUNCTION("""COMPUTED_VALUE"""),"MNKZR160KC-TFD-522")</f>
        <v>MNKZR160KC-TFD-522</v>
      </c>
      <c r="B875" s="1">
        <f>IFERROR(__xludf.DUMMYFUNCTION("""COMPUTED_VALUE"""),3.0)</f>
        <v>3</v>
      </c>
      <c r="C875" s="1">
        <f>IFERROR(__xludf.DUMMYFUNCTION("""COMPUTED_VALUE"""),3.0)</f>
        <v>3</v>
      </c>
      <c r="D875" s="1">
        <f>IFERROR(__xludf.DUMMYFUNCTION("""COMPUTED_VALUE"""),3.0)</f>
        <v>3</v>
      </c>
      <c r="E875" s="1">
        <f>IFERROR(__xludf.DUMMYFUNCTION("""COMPUTED_VALUE"""),0.0)</f>
        <v>0</v>
      </c>
    </row>
    <row r="876">
      <c r="A876" s="1" t="str">
        <f>IFERROR(__xludf.DUMMYFUNCTION("""COMPUTED_VALUE"""),"MNKZR160KCTFD-550")</f>
        <v>MNKZR160KCTFD-550</v>
      </c>
      <c r="B876" s="1">
        <f>IFERROR(__xludf.DUMMYFUNCTION("""COMPUTED_VALUE"""),3.0)</f>
        <v>3</v>
      </c>
      <c r="C876" s="1">
        <f>IFERROR(__xludf.DUMMYFUNCTION("""COMPUTED_VALUE"""),3.0)</f>
        <v>3</v>
      </c>
      <c r="D876" s="1">
        <f>IFERROR(__xludf.DUMMYFUNCTION("""COMPUTED_VALUE"""),3.0)</f>
        <v>3</v>
      </c>
      <c r="E876" s="1">
        <f>IFERROR(__xludf.DUMMYFUNCTION("""COMPUTED_VALUE"""),0.0)</f>
        <v>0</v>
      </c>
    </row>
    <row r="877">
      <c r="A877" s="1" t="str">
        <f>IFERROR(__xludf.DUMMYFUNCTION("""COMPUTED_VALUE"""),"MNKZR28K3-PFJ-522")</f>
        <v>MNKZR28K3-PFJ-522</v>
      </c>
      <c r="B877" s="1">
        <f>IFERROR(__xludf.DUMMYFUNCTION("""COMPUTED_VALUE"""),3.0)</f>
        <v>3</v>
      </c>
      <c r="C877" s="1">
        <f>IFERROR(__xludf.DUMMYFUNCTION("""COMPUTED_VALUE"""),3.0)</f>
        <v>3</v>
      </c>
      <c r="D877" s="1">
        <f>IFERROR(__xludf.DUMMYFUNCTION("""COMPUTED_VALUE"""),3.0)</f>
        <v>3</v>
      </c>
      <c r="E877" s="1">
        <f>IFERROR(__xludf.DUMMYFUNCTION("""COMPUTED_VALUE"""),0.0)</f>
        <v>0</v>
      </c>
    </row>
    <row r="878">
      <c r="A878" s="1" t="str">
        <f>IFERROR(__xludf.DUMMYFUNCTION("""COMPUTED_VALUE"""),"MNKZR45K3PFJ-522")</f>
        <v>MNKZR45K3PFJ-522</v>
      </c>
      <c r="B878" s="1">
        <f>IFERROR(__xludf.DUMMYFUNCTION("""COMPUTED_VALUE"""),2.0)</f>
        <v>2</v>
      </c>
      <c r="C878" s="1">
        <f>IFERROR(__xludf.DUMMYFUNCTION("""COMPUTED_VALUE"""),2.0)</f>
        <v>2</v>
      </c>
      <c r="D878" s="1">
        <f>IFERROR(__xludf.DUMMYFUNCTION("""COMPUTED_VALUE"""),2.0)</f>
        <v>2</v>
      </c>
      <c r="E878" s="1">
        <f>IFERROR(__xludf.DUMMYFUNCTION("""COMPUTED_VALUE"""),0.0)</f>
        <v>0</v>
      </c>
    </row>
    <row r="879">
      <c r="A879" s="1" t="str">
        <f>IFERROR(__xludf.DUMMYFUNCTION("""COMPUTED_VALUE"""),"MNKZR45KC-TFD-522")</f>
        <v>MNKZR45KC-TFD-522</v>
      </c>
      <c r="B879" s="1">
        <f>IFERROR(__xludf.DUMMYFUNCTION("""COMPUTED_VALUE"""),5.0)</f>
        <v>5</v>
      </c>
      <c r="C879" s="1">
        <f>IFERROR(__xludf.DUMMYFUNCTION("""COMPUTED_VALUE"""),5.0)</f>
        <v>5</v>
      </c>
      <c r="D879" s="1">
        <f>IFERROR(__xludf.DUMMYFUNCTION("""COMPUTED_VALUE"""),5.0)</f>
        <v>5</v>
      </c>
      <c r="E879" s="1">
        <f>IFERROR(__xludf.DUMMYFUNCTION("""COMPUTED_VALUE"""),0.0)</f>
        <v>0</v>
      </c>
    </row>
    <row r="880">
      <c r="A880" s="1" t="str">
        <f>IFERROR(__xludf.DUMMYFUNCTION("""COMPUTED_VALUE"""),"MNKZR47KCTFD-522")</f>
        <v>MNKZR47KCTFD-522</v>
      </c>
      <c r="B880" s="1">
        <f>IFERROR(__xludf.DUMMYFUNCTION("""COMPUTED_VALUE"""),9.0)</f>
        <v>9</v>
      </c>
      <c r="C880" s="1">
        <f>IFERROR(__xludf.DUMMYFUNCTION("""COMPUTED_VALUE"""),9.0)</f>
        <v>9</v>
      </c>
      <c r="D880" s="1">
        <f>IFERROR(__xludf.DUMMYFUNCTION("""COMPUTED_VALUE"""),9.0)</f>
        <v>9</v>
      </c>
      <c r="E880" s="1">
        <f>IFERROR(__xludf.DUMMYFUNCTION("""COMPUTED_VALUE"""),0.0)</f>
        <v>0</v>
      </c>
    </row>
    <row r="881">
      <c r="A881" s="1" t="str">
        <f>IFERROR(__xludf.DUMMYFUNCTION("""COMPUTED_VALUE"""),"MNKZR57KCTFD-522")</f>
        <v>MNKZR57KCTFD-522</v>
      </c>
      <c r="B881" s="1">
        <f>IFERROR(__xludf.DUMMYFUNCTION("""COMPUTED_VALUE"""),1.0)</f>
        <v>1</v>
      </c>
      <c r="C881" s="1">
        <f>IFERROR(__xludf.DUMMYFUNCTION("""COMPUTED_VALUE"""),1.0)</f>
        <v>1</v>
      </c>
      <c r="D881" s="1">
        <f>IFERROR(__xludf.DUMMYFUNCTION("""COMPUTED_VALUE"""),1.0)</f>
        <v>1</v>
      </c>
      <c r="E881" s="1">
        <f>IFERROR(__xludf.DUMMYFUNCTION("""COMPUTED_VALUE"""),0.0)</f>
        <v>0</v>
      </c>
    </row>
    <row r="882">
      <c r="A882" s="1" t="str">
        <f>IFERROR(__xludf.DUMMYFUNCTION("""COMPUTED_VALUE"""),"MNKZR68KCETFD-522")</f>
        <v>MNKZR68KCETFD-522</v>
      </c>
      <c r="B882" s="1">
        <f>IFERROR(__xludf.DUMMYFUNCTION("""COMPUTED_VALUE"""),8.0)</f>
        <v>8</v>
      </c>
      <c r="C882" s="1">
        <f>IFERROR(__xludf.DUMMYFUNCTION("""COMPUTED_VALUE"""),8.0)</f>
        <v>8</v>
      </c>
      <c r="D882" s="1">
        <f>IFERROR(__xludf.DUMMYFUNCTION("""COMPUTED_VALUE"""),8.0)</f>
        <v>8</v>
      </c>
      <c r="E882" s="1">
        <f>IFERROR(__xludf.DUMMYFUNCTION("""COMPUTED_VALUE"""),0.0)</f>
        <v>0</v>
      </c>
    </row>
    <row r="883">
      <c r="A883" s="1" t="str">
        <f>IFERROR(__xludf.DUMMYFUNCTION("""COMPUTED_VALUE"""),"MNKZR72KC-TFD-422")</f>
        <v>MNKZR72KC-TFD-422</v>
      </c>
      <c r="B883" s="1">
        <f>IFERROR(__xludf.DUMMYFUNCTION("""COMPUTED_VALUE"""),3.0)</f>
        <v>3</v>
      </c>
      <c r="C883" s="1">
        <f>IFERROR(__xludf.DUMMYFUNCTION("""COMPUTED_VALUE"""),3.0)</f>
        <v>3</v>
      </c>
      <c r="D883" s="1">
        <f>IFERROR(__xludf.DUMMYFUNCTION("""COMPUTED_VALUE"""),3.0)</f>
        <v>3</v>
      </c>
      <c r="E883" s="1">
        <f>IFERROR(__xludf.DUMMYFUNCTION("""COMPUTED_VALUE"""),0.0)</f>
        <v>0</v>
      </c>
    </row>
    <row r="884">
      <c r="A884" s="1" t="str">
        <f>IFERROR(__xludf.DUMMYFUNCTION("""COMPUTED_VALUE"""),"MNKZR81KCTFD422")</f>
        <v>MNKZR81KCTFD422</v>
      </c>
      <c r="B884" s="1">
        <f>IFERROR(__xludf.DUMMYFUNCTION("""COMPUTED_VALUE"""),1.0)</f>
        <v>1</v>
      </c>
      <c r="C884" s="1">
        <f>IFERROR(__xludf.DUMMYFUNCTION("""COMPUTED_VALUE"""),1.0)</f>
        <v>1</v>
      </c>
      <c r="D884" s="1">
        <f>IFERROR(__xludf.DUMMYFUNCTION("""COMPUTED_VALUE"""),1.0)</f>
        <v>1</v>
      </c>
      <c r="E884" s="1">
        <f>IFERROR(__xludf.DUMMYFUNCTION("""COMPUTED_VALUE"""),0.0)</f>
        <v>0</v>
      </c>
    </row>
    <row r="885">
      <c r="A885" s="1" t="str">
        <f>IFERROR(__xludf.DUMMYFUNCTION("""COMPUTED_VALUE"""),"MNKZR94KCETFD-522")</f>
        <v>MNKZR94KCETFD-522</v>
      </c>
      <c r="B885" s="1">
        <f>IFERROR(__xludf.DUMMYFUNCTION("""COMPUTED_VALUE"""),6.0)</f>
        <v>6</v>
      </c>
      <c r="C885" s="1">
        <f>IFERROR(__xludf.DUMMYFUNCTION("""COMPUTED_VALUE"""),6.0)</f>
        <v>6</v>
      </c>
      <c r="D885" s="1">
        <f>IFERROR(__xludf.DUMMYFUNCTION("""COMPUTED_VALUE"""),6.0)</f>
        <v>6</v>
      </c>
      <c r="E885" s="1">
        <f>IFERROR(__xludf.DUMMYFUNCTION("""COMPUTED_VALUE"""),0.0)</f>
        <v>0</v>
      </c>
    </row>
    <row r="886">
      <c r="A886" s="1" t="str">
        <f>IFERROR(__xludf.DUMMYFUNCTION("""COMPUTED_VALUE"""),"MNKZR94KCTFD - 522")</f>
        <v>MNKZR94KCTFD - 522</v>
      </c>
      <c r="B886" s="1">
        <f>IFERROR(__xludf.DUMMYFUNCTION("""COMPUTED_VALUE"""),2.0)</f>
        <v>2</v>
      </c>
      <c r="C886" s="1">
        <f>IFERROR(__xludf.DUMMYFUNCTION("""COMPUTED_VALUE"""),2.0)</f>
        <v>2</v>
      </c>
      <c r="D886" s="1">
        <f>IFERROR(__xludf.DUMMYFUNCTION("""COMPUTED_VALUE"""),2.0)</f>
        <v>2</v>
      </c>
      <c r="E886" s="1">
        <f>IFERROR(__xludf.DUMMYFUNCTION("""COMPUTED_VALUE"""),0.0)</f>
        <v>0</v>
      </c>
    </row>
    <row r="887">
      <c r="A887" s="1" t="str">
        <f>IFERROR(__xludf.DUMMYFUNCTION("""COMPUTED_VALUE"""),"MNKZR94KCTFD-422")</f>
        <v>MNKZR94KCTFD-422</v>
      </c>
      <c r="B887" s="1">
        <f>IFERROR(__xludf.DUMMYFUNCTION("""COMPUTED_VALUE"""),9.0)</f>
        <v>9</v>
      </c>
      <c r="C887" s="1">
        <f>IFERROR(__xludf.DUMMYFUNCTION("""COMPUTED_VALUE"""),9.0)</f>
        <v>9</v>
      </c>
      <c r="D887" s="1">
        <f>IFERROR(__xludf.DUMMYFUNCTION("""COMPUTED_VALUE"""),9.0)</f>
        <v>9</v>
      </c>
      <c r="E887" s="1">
        <f>IFERROR(__xludf.DUMMYFUNCTION("""COMPUTED_VALUE"""),0.0)</f>
        <v>0</v>
      </c>
    </row>
    <row r="888">
      <c r="A888" s="1" t="str">
        <f>IFERROR(__xludf.DUMMYFUNCTION("""COMPUTED_VALUE"""),"MNKZR94KCTFD-523")</f>
        <v>MNKZR94KCTFD-523</v>
      </c>
      <c r="B888" s="1">
        <f>IFERROR(__xludf.DUMMYFUNCTION("""COMPUTED_VALUE"""),2.0)</f>
        <v>2</v>
      </c>
      <c r="C888" s="1">
        <f>IFERROR(__xludf.DUMMYFUNCTION("""COMPUTED_VALUE"""),2.0)</f>
        <v>2</v>
      </c>
      <c r="D888" s="1">
        <f>IFERROR(__xludf.DUMMYFUNCTION("""COMPUTED_VALUE"""),2.0)</f>
        <v>2</v>
      </c>
      <c r="E888" s="1">
        <f>IFERROR(__xludf.DUMMYFUNCTION("""COMPUTED_VALUE"""),0.0)</f>
        <v>0</v>
      </c>
    </row>
    <row r="889">
      <c r="A889" s="1" t="str">
        <f>IFERROR(__xludf.DUMMYFUNCTION("""COMPUTED_VALUE"""),"OCVITLDH")</f>
        <v>OCVITLDH</v>
      </c>
      <c r="B889" s="1">
        <f>IFERROR(__xludf.DUMMYFUNCTION("""COMPUTED_VALUE"""),281.0)</f>
        <v>281</v>
      </c>
      <c r="C889" s="1">
        <f>IFERROR(__xludf.DUMMYFUNCTION("""COMPUTED_VALUE"""),281.0)</f>
        <v>281</v>
      </c>
      <c r="D889" s="1">
        <f>IFERROR(__xludf.DUMMYFUNCTION("""COMPUTED_VALUE"""),281.0)</f>
        <v>281</v>
      </c>
      <c r="E889" s="1">
        <f>IFERROR(__xludf.DUMMYFUNCTION("""COMPUTED_VALUE"""),0.0)</f>
        <v>0</v>
      </c>
    </row>
    <row r="890">
      <c r="A890" s="1" t="str">
        <f>IFERROR(__xludf.DUMMYFUNCTION("""COMPUTED_VALUE"""),"ODLBOTS0610061")</f>
        <v>ODLBOTS0610061</v>
      </c>
      <c r="B890" s="1">
        <f>IFERROR(__xludf.DUMMYFUNCTION("""COMPUTED_VALUE"""),0.0)</f>
        <v>0</v>
      </c>
      <c r="C890" s="1">
        <f>IFERROR(__xludf.DUMMYFUNCTION("""COMPUTED_VALUE"""),1.0)</f>
        <v>1</v>
      </c>
      <c r="D890" s="1">
        <f>IFERROR(__xludf.DUMMYFUNCTION("""COMPUTED_VALUE"""),1.0)</f>
        <v>1</v>
      </c>
      <c r="E890" s="1">
        <f>IFERROR(__xludf.DUMMYFUNCTION("""COMPUTED_VALUE"""),0.0)</f>
        <v>0</v>
      </c>
    </row>
    <row r="891">
      <c r="A891" s="1" t="str">
        <f>IFERROR(__xludf.DUMMYFUNCTION("""COMPUTED_VALUE"""),"ODLBOTS0610071")</f>
        <v>ODLBOTS0610071</v>
      </c>
      <c r="B891" s="1">
        <f>IFERROR(__xludf.DUMMYFUNCTION("""COMPUTED_VALUE"""),7.0)</f>
        <v>7</v>
      </c>
      <c r="C891" s="1">
        <f>IFERROR(__xludf.DUMMYFUNCTION("""COMPUTED_VALUE"""),7.0)</f>
        <v>7</v>
      </c>
      <c r="D891" s="1">
        <f>IFERROR(__xludf.DUMMYFUNCTION("""COMPUTED_VALUE"""),7.0)</f>
        <v>7</v>
      </c>
      <c r="E891" s="1">
        <f>IFERROR(__xludf.DUMMYFUNCTION("""COMPUTED_VALUE"""),0.0)</f>
        <v>0</v>
      </c>
    </row>
    <row r="892">
      <c r="A892" s="1" t="str">
        <f>IFERROR(__xludf.DUMMYFUNCTION("""COMPUTED_VALUE"""),"ODLBOTS0612061")</f>
        <v>ODLBOTS0612061</v>
      </c>
      <c r="B892" s="1">
        <f>IFERROR(__xludf.DUMMYFUNCTION("""COMPUTED_VALUE"""),110.0)</f>
        <v>110</v>
      </c>
      <c r="C892" s="1">
        <f>IFERROR(__xludf.DUMMYFUNCTION("""COMPUTED_VALUE"""),110.0)</f>
        <v>110</v>
      </c>
      <c r="D892" s="1">
        <f>IFERROR(__xludf.DUMMYFUNCTION("""COMPUTED_VALUE"""),110.0)</f>
        <v>110</v>
      </c>
      <c r="E892" s="1">
        <f>IFERROR(__xludf.DUMMYFUNCTION("""COMPUTED_VALUE"""),0.0)</f>
        <v>0</v>
      </c>
    </row>
    <row r="893">
      <c r="A893" s="1" t="str">
        <f>IFERROR(__xludf.DUMMYFUNCTION("""COMPUTED_VALUE"""),"ODLBOTS0612071")</f>
        <v>ODLBOTS0612071</v>
      </c>
      <c r="B893" s="1">
        <f>IFERROR(__xludf.DUMMYFUNCTION("""COMPUTED_VALUE"""),62.0)</f>
        <v>62</v>
      </c>
      <c r="C893" s="1">
        <f>IFERROR(__xludf.DUMMYFUNCTION("""COMPUTED_VALUE"""),62.0)</f>
        <v>62</v>
      </c>
      <c r="D893" s="1">
        <f>IFERROR(__xludf.DUMMYFUNCTION("""COMPUTED_VALUE"""),62.0)</f>
        <v>62</v>
      </c>
      <c r="E893" s="1">
        <f>IFERROR(__xludf.DUMMYFUNCTION("""COMPUTED_VALUE"""),0.0)</f>
        <v>0</v>
      </c>
    </row>
    <row r="894">
      <c r="A894" s="1" t="str">
        <f>IFERROR(__xludf.DUMMYFUNCTION("""COMPUTED_VALUE"""),"ODLBOTS0612081")</f>
        <v>ODLBOTS0612081</v>
      </c>
      <c r="B894" s="1">
        <f>IFERROR(__xludf.DUMMYFUNCTION("""COMPUTED_VALUE"""),2.0)</f>
        <v>2</v>
      </c>
      <c r="C894" s="1">
        <f>IFERROR(__xludf.DUMMYFUNCTION("""COMPUTED_VALUE"""),2.0)</f>
        <v>2</v>
      </c>
      <c r="D894" s="1">
        <f>IFERROR(__xludf.DUMMYFUNCTION("""COMPUTED_VALUE"""),2.0)</f>
        <v>2</v>
      </c>
      <c r="E894" s="1">
        <f>IFERROR(__xludf.DUMMYFUNCTION("""COMPUTED_VALUE"""),0.0)</f>
        <v>0</v>
      </c>
    </row>
    <row r="895">
      <c r="A895" s="1" t="str">
        <f>IFERROR(__xludf.DUMMYFUNCTION("""COMPUTED_VALUE"""),"OGB100")</f>
        <v>OGB100</v>
      </c>
      <c r="B895" s="1">
        <f>IFERROR(__xludf.DUMMYFUNCTION("""COMPUTED_VALUE"""),69.0)</f>
        <v>69</v>
      </c>
      <c r="C895" s="1">
        <f>IFERROR(__xludf.DUMMYFUNCTION("""COMPUTED_VALUE"""),94.0)</f>
        <v>94</v>
      </c>
      <c r="D895" s="1">
        <f>IFERROR(__xludf.DUMMYFUNCTION("""COMPUTED_VALUE"""),69.0)</f>
        <v>69</v>
      </c>
      <c r="E895" s="1">
        <f>IFERROR(__xludf.DUMMYFUNCTION("""COMPUTED_VALUE"""),25.0)</f>
        <v>25</v>
      </c>
    </row>
    <row r="896">
      <c r="A896" s="1" t="str">
        <f>IFERROR(__xludf.DUMMYFUNCTION("""COMPUTED_VALUE"""),"OGB150")</f>
        <v>OGB150</v>
      </c>
      <c r="B896" s="1">
        <f>IFERROR(__xludf.DUMMYFUNCTION("""COMPUTED_VALUE"""),43.0)</f>
        <v>43</v>
      </c>
      <c r="C896" s="1">
        <f>IFERROR(__xludf.DUMMYFUNCTION("""COMPUTED_VALUE"""),175.0)</f>
        <v>175</v>
      </c>
      <c r="D896" s="1">
        <f>IFERROR(__xludf.DUMMYFUNCTION("""COMPUTED_VALUE"""),43.0)</f>
        <v>43</v>
      </c>
      <c r="E896" s="1">
        <f>IFERROR(__xludf.DUMMYFUNCTION("""COMPUTED_VALUE"""),132.0)</f>
        <v>132</v>
      </c>
    </row>
    <row r="897">
      <c r="A897" s="1" t="str">
        <f>IFERROR(__xludf.DUMMYFUNCTION("""COMPUTED_VALUE"""),"OGB200")</f>
        <v>OGB200</v>
      </c>
      <c r="B897" s="1">
        <f>IFERROR(__xludf.DUMMYFUNCTION("""COMPUTED_VALUE"""),698.0)</f>
        <v>698</v>
      </c>
      <c r="C897" s="1">
        <f>IFERROR(__xludf.DUMMYFUNCTION("""COMPUTED_VALUE"""),808.0)</f>
        <v>808</v>
      </c>
      <c r="D897" s="1">
        <f>IFERROR(__xludf.DUMMYFUNCTION("""COMPUTED_VALUE"""),698.0)</f>
        <v>698</v>
      </c>
      <c r="E897" s="1">
        <f>IFERROR(__xludf.DUMMYFUNCTION("""COMPUTED_VALUE"""),110.0)</f>
        <v>110</v>
      </c>
    </row>
    <row r="898">
      <c r="A898" s="1" t="str">
        <f>IFERROR(__xludf.DUMMYFUNCTION("""COMPUTED_VALUE"""),"OGB250")</f>
        <v>OGB250</v>
      </c>
      <c r="B898" s="1">
        <f>IFERROR(__xludf.DUMMYFUNCTION("""COMPUTED_VALUE"""),54.0)</f>
        <v>54</v>
      </c>
      <c r="C898" s="1">
        <f>IFERROR(__xludf.DUMMYFUNCTION("""COMPUTED_VALUE"""),203.0)</f>
        <v>203</v>
      </c>
      <c r="D898" s="1">
        <f>IFERROR(__xludf.DUMMYFUNCTION("""COMPUTED_VALUE"""),54.0)</f>
        <v>54</v>
      </c>
      <c r="E898" s="1">
        <f>IFERROR(__xludf.DUMMYFUNCTION("""COMPUTED_VALUE"""),149.0)</f>
        <v>149</v>
      </c>
    </row>
    <row r="899">
      <c r="A899" s="1" t="str">
        <f>IFERROR(__xludf.DUMMYFUNCTION("""COMPUTED_VALUE"""),"OGB300")</f>
        <v>OGB300</v>
      </c>
      <c r="B899" s="1">
        <f>IFERROR(__xludf.DUMMYFUNCTION("""COMPUTED_VALUE"""),0.0)</f>
        <v>0</v>
      </c>
      <c r="C899" s="1">
        <f>IFERROR(__xludf.DUMMYFUNCTION("""COMPUTED_VALUE"""),109.0)</f>
        <v>109</v>
      </c>
      <c r="D899" s="1">
        <f>IFERROR(__xludf.DUMMYFUNCTION("""COMPUTED_VALUE"""),0.0)</f>
        <v>0</v>
      </c>
      <c r="E899" s="1">
        <f>IFERROR(__xludf.DUMMYFUNCTION("""COMPUTED_VALUE"""),109.0)</f>
        <v>109</v>
      </c>
    </row>
    <row r="900">
      <c r="A900" s="1" t="str">
        <f>IFERROR(__xludf.DUMMYFUNCTION("""COMPUTED_VALUE"""),"OGB350")</f>
        <v>OGB350</v>
      </c>
      <c r="B900" s="1">
        <f>IFERROR(__xludf.DUMMYFUNCTION("""COMPUTED_VALUE"""),53.0)</f>
        <v>53</v>
      </c>
      <c r="C900" s="1">
        <f>IFERROR(__xludf.DUMMYFUNCTION("""COMPUTED_VALUE"""),101.0)</f>
        <v>101</v>
      </c>
      <c r="D900" s="1">
        <f>IFERROR(__xludf.DUMMYFUNCTION("""COMPUTED_VALUE"""),53.0)</f>
        <v>53</v>
      </c>
      <c r="E900" s="1">
        <f>IFERROR(__xludf.DUMMYFUNCTION("""COMPUTED_VALUE"""),48.0)</f>
        <v>48</v>
      </c>
    </row>
    <row r="901">
      <c r="A901" s="1" t="str">
        <f>IFERROR(__xludf.DUMMYFUNCTION("""COMPUTED_VALUE"""),"OGB400")</f>
        <v>OGB400</v>
      </c>
      <c r="B901" s="1">
        <f>IFERROR(__xludf.DUMMYFUNCTION("""COMPUTED_VALUE"""),15.0)</f>
        <v>15</v>
      </c>
      <c r="C901" s="1">
        <f>IFERROR(__xludf.DUMMYFUNCTION("""COMPUTED_VALUE"""),15.0)</f>
        <v>15</v>
      </c>
      <c r="D901" s="1">
        <f>IFERROR(__xludf.DUMMYFUNCTION("""COMPUTED_VALUE"""),15.0)</f>
        <v>15</v>
      </c>
      <c r="E901" s="1">
        <f>IFERROR(__xludf.DUMMYFUNCTION("""COMPUTED_VALUE"""),0.0)</f>
        <v>0</v>
      </c>
    </row>
    <row r="902">
      <c r="A902" s="1" t="str">
        <f>IFERROR(__xludf.DUMMYFUNCTION("""COMPUTED_VALUE"""),"OGBPL100")</f>
        <v>OGBPL100</v>
      </c>
      <c r="B902" s="1">
        <f>IFERROR(__xludf.DUMMYFUNCTION("""COMPUTED_VALUE"""),10.0)</f>
        <v>10</v>
      </c>
      <c r="C902" s="1">
        <f>IFERROR(__xludf.DUMMYFUNCTION("""COMPUTED_VALUE"""),10.0)</f>
        <v>10</v>
      </c>
      <c r="D902" s="1">
        <f>IFERROR(__xludf.DUMMYFUNCTION("""COMPUTED_VALUE"""),10.0)</f>
        <v>10</v>
      </c>
      <c r="E902" s="1">
        <f>IFERROR(__xludf.DUMMYFUNCTION("""COMPUTED_VALUE"""),0.0)</f>
        <v>0</v>
      </c>
    </row>
    <row r="903">
      <c r="A903" s="1" t="str">
        <f>IFERROR(__xludf.DUMMYFUNCTION("""COMPUTED_VALUE"""),"OGBPL150")</f>
        <v>OGBPL150</v>
      </c>
      <c r="B903" s="1">
        <f>IFERROR(__xludf.DUMMYFUNCTION("""COMPUTED_VALUE"""),6.0)</f>
        <v>6</v>
      </c>
      <c r="C903" s="1">
        <f>IFERROR(__xludf.DUMMYFUNCTION("""COMPUTED_VALUE"""),6.0)</f>
        <v>6</v>
      </c>
      <c r="D903" s="1">
        <f>IFERROR(__xludf.DUMMYFUNCTION("""COMPUTED_VALUE"""),6.0)</f>
        <v>6</v>
      </c>
      <c r="E903" s="1">
        <f>IFERROR(__xludf.DUMMYFUNCTION("""COMPUTED_VALUE"""),0.0)</f>
        <v>0</v>
      </c>
    </row>
    <row r="904">
      <c r="A904" s="1" t="str">
        <f>IFERROR(__xludf.DUMMYFUNCTION("""COMPUTED_VALUE"""),"OGBPL300")</f>
        <v>OGBPL300</v>
      </c>
      <c r="B904" s="1">
        <f>IFERROR(__xludf.DUMMYFUNCTION("""COMPUTED_VALUE"""),5.0)</f>
        <v>5</v>
      </c>
      <c r="C904" s="1">
        <f>IFERROR(__xludf.DUMMYFUNCTION("""COMPUTED_VALUE"""),6.0)</f>
        <v>6</v>
      </c>
      <c r="D904" s="1">
        <f>IFERROR(__xludf.DUMMYFUNCTION("""COMPUTED_VALUE"""),6.0)</f>
        <v>6</v>
      </c>
      <c r="E904" s="1">
        <f>IFERROR(__xludf.DUMMYFUNCTION("""COMPUTED_VALUE"""),0.0)</f>
        <v>0</v>
      </c>
    </row>
    <row r="905">
      <c r="A905" s="1" t="str">
        <f>IFERROR(__xludf.DUMMYFUNCTION("""COMPUTED_VALUE"""),"OGBSX100PL")</f>
        <v>OGBSX100PL</v>
      </c>
      <c r="B905" s="1">
        <f>IFERROR(__xludf.DUMMYFUNCTION("""COMPUTED_VALUE"""),0.0)</f>
        <v>0</v>
      </c>
      <c r="C905" s="1">
        <f>IFERROR(__xludf.DUMMYFUNCTION("""COMPUTED_VALUE"""),0.0)</f>
        <v>0</v>
      </c>
      <c r="D905" s="1">
        <f>IFERROR(__xludf.DUMMYFUNCTION("""COMPUTED_VALUE"""),0.0)</f>
        <v>0</v>
      </c>
      <c r="E905" s="1">
        <f>IFERROR(__xludf.DUMMYFUNCTION("""COMPUTED_VALUE"""),0.0)</f>
        <v>0</v>
      </c>
    </row>
    <row r="906">
      <c r="A906" s="1" t="str">
        <f>IFERROR(__xludf.DUMMYFUNCTION("""COMPUTED_VALUE"""),"OGBSX150")</f>
        <v>OGBSX150</v>
      </c>
      <c r="B906" s="1">
        <f>IFERROR(__xludf.DUMMYFUNCTION("""COMPUTED_VALUE"""),0.0)</f>
        <v>0</v>
      </c>
      <c r="C906" s="1">
        <f>IFERROR(__xludf.DUMMYFUNCTION("""COMPUTED_VALUE"""),1048.0)</f>
        <v>1048</v>
      </c>
      <c r="D906" s="1">
        <f>IFERROR(__xludf.DUMMYFUNCTION("""COMPUTED_VALUE"""),1048.0)</f>
        <v>1048</v>
      </c>
      <c r="E906" s="1">
        <f>IFERROR(__xludf.DUMMYFUNCTION("""COMPUTED_VALUE"""),0.0)</f>
        <v>0</v>
      </c>
    </row>
    <row r="907">
      <c r="A907" s="1" t="str">
        <f>IFERROR(__xludf.DUMMYFUNCTION("""COMPUTED_VALUE"""),"OGBSX200PL")</f>
        <v>OGBSX200PL</v>
      </c>
      <c r="B907" s="1">
        <f>IFERROR(__xludf.DUMMYFUNCTION("""COMPUTED_VALUE"""),0.0)</f>
        <v>0</v>
      </c>
      <c r="C907" s="1">
        <f>IFERROR(__xludf.DUMMYFUNCTION("""COMPUTED_VALUE"""),395.0)</f>
        <v>395</v>
      </c>
      <c r="D907" s="1">
        <f>IFERROR(__xludf.DUMMYFUNCTION("""COMPUTED_VALUE"""),395.0)</f>
        <v>395</v>
      </c>
      <c r="E907" s="1">
        <f>IFERROR(__xludf.DUMMYFUNCTION("""COMPUTED_VALUE"""),0.0)</f>
        <v>0</v>
      </c>
    </row>
    <row r="908">
      <c r="A908" s="1" t="str">
        <f>IFERROR(__xludf.DUMMYFUNCTION("""COMPUTED_VALUE"""),"OGBSX250")</f>
        <v>OGBSX250</v>
      </c>
      <c r="B908" s="1">
        <f>IFERROR(__xludf.DUMMYFUNCTION("""COMPUTED_VALUE"""),0.0)</f>
        <v>0</v>
      </c>
      <c r="C908" s="1">
        <f>IFERROR(__xludf.DUMMYFUNCTION("""COMPUTED_VALUE"""),456.0)</f>
        <v>456</v>
      </c>
      <c r="D908" s="1">
        <f>IFERROR(__xludf.DUMMYFUNCTION("""COMPUTED_VALUE"""),456.0)</f>
        <v>456</v>
      </c>
      <c r="E908" s="1">
        <f>IFERROR(__xludf.DUMMYFUNCTION("""COMPUTED_VALUE"""),0.0)</f>
        <v>0</v>
      </c>
    </row>
    <row r="909">
      <c r="A909" s="1" t="str">
        <f>IFERROR(__xludf.DUMMYFUNCTION("""COMPUTED_VALUE"""),"OGBSX250PL")</f>
        <v>OGBSX250PL</v>
      </c>
      <c r="B909" s="1">
        <f>IFERROR(__xludf.DUMMYFUNCTION("""COMPUTED_VALUE"""),0.0)</f>
        <v>0</v>
      </c>
      <c r="C909" s="1">
        <f>IFERROR(__xludf.DUMMYFUNCTION("""COMPUTED_VALUE"""),215.0)</f>
        <v>215</v>
      </c>
      <c r="D909" s="1">
        <f>IFERROR(__xludf.DUMMYFUNCTION("""COMPUTED_VALUE"""),215.0)</f>
        <v>215</v>
      </c>
      <c r="E909" s="1">
        <f>IFERROR(__xludf.DUMMYFUNCTION("""COMPUTED_VALUE"""),0.0)</f>
        <v>0</v>
      </c>
    </row>
    <row r="910">
      <c r="A910" s="1" t="str">
        <f>IFERROR(__xludf.DUMMYFUNCTION("""COMPUTED_VALUE"""),"OGBSX300")</f>
        <v>OGBSX300</v>
      </c>
      <c r="B910" s="1">
        <f>IFERROR(__xludf.DUMMYFUNCTION("""COMPUTED_VALUE"""),0.0)</f>
        <v>0</v>
      </c>
      <c r="C910" s="1">
        <f>IFERROR(__xludf.DUMMYFUNCTION("""COMPUTED_VALUE"""),0.0)</f>
        <v>0</v>
      </c>
      <c r="D910" s="1">
        <f>IFERROR(__xludf.DUMMYFUNCTION("""COMPUTED_VALUE"""),0.0)</f>
        <v>0</v>
      </c>
      <c r="E910" s="1">
        <f>IFERROR(__xludf.DUMMYFUNCTION("""COMPUTED_VALUE"""),0.0)</f>
        <v>0</v>
      </c>
    </row>
    <row r="911">
      <c r="A911" s="1" t="str">
        <f>IFERROR(__xludf.DUMMYFUNCTION("""COMPUTED_VALUE"""),"OGBTS100")</f>
        <v>OGBTS100</v>
      </c>
      <c r="B911" s="1">
        <f>IFERROR(__xludf.DUMMYFUNCTION("""COMPUTED_VALUE"""),7.0)</f>
        <v>7</v>
      </c>
      <c r="C911" s="1">
        <f>IFERROR(__xludf.DUMMYFUNCTION("""COMPUTED_VALUE"""),7.0)</f>
        <v>7</v>
      </c>
      <c r="D911" s="1">
        <f>IFERROR(__xludf.DUMMYFUNCTION("""COMPUTED_VALUE"""),7.0)</f>
        <v>7</v>
      </c>
      <c r="E911" s="1">
        <f>IFERROR(__xludf.DUMMYFUNCTION("""COMPUTED_VALUE"""),0.0)</f>
        <v>0</v>
      </c>
    </row>
    <row r="912">
      <c r="A912" s="1" t="str">
        <f>IFERROR(__xludf.DUMMYFUNCTION("""COMPUTED_VALUE"""),"OGBTS150")</f>
        <v>OGBTS150</v>
      </c>
      <c r="B912" s="1">
        <f>IFERROR(__xludf.DUMMYFUNCTION("""COMPUTED_VALUE"""),10.0)</f>
        <v>10</v>
      </c>
      <c r="C912" s="1">
        <f>IFERROR(__xludf.DUMMYFUNCTION("""COMPUTED_VALUE"""),60.0)</f>
        <v>60</v>
      </c>
      <c r="D912" s="1">
        <f>IFERROR(__xludf.DUMMYFUNCTION("""COMPUTED_VALUE"""),10.0)</f>
        <v>10</v>
      </c>
      <c r="E912" s="1">
        <f>IFERROR(__xludf.DUMMYFUNCTION("""COMPUTED_VALUE"""),50.0)</f>
        <v>50</v>
      </c>
    </row>
    <row r="913">
      <c r="A913" s="1" t="str">
        <f>IFERROR(__xludf.DUMMYFUNCTION("""COMPUTED_VALUE"""),"OGBTS200")</f>
        <v>OGBTS200</v>
      </c>
      <c r="B913" s="1">
        <f>IFERROR(__xludf.DUMMYFUNCTION("""COMPUTED_VALUE"""),493.0)</f>
        <v>493</v>
      </c>
      <c r="C913" s="1">
        <f>IFERROR(__xludf.DUMMYFUNCTION("""COMPUTED_VALUE"""),597.0)</f>
        <v>597</v>
      </c>
      <c r="D913" s="1">
        <f>IFERROR(__xludf.DUMMYFUNCTION("""COMPUTED_VALUE"""),493.0)</f>
        <v>493</v>
      </c>
      <c r="E913" s="1">
        <f>IFERROR(__xludf.DUMMYFUNCTION("""COMPUTED_VALUE"""),104.0)</f>
        <v>104</v>
      </c>
    </row>
    <row r="914">
      <c r="A914" s="1" t="str">
        <f>IFERROR(__xludf.DUMMYFUNCTION("""COMPUTED_VALUE"""),"OGBTS20032")</f>
        <v>OGBTS20032</v>
      </c>
      <c r="B914" s="1">
        <f>IFERROR(__xludf.DUMMYFUNCTION("""COMPUTED_VALUE"""),2.0)</f>
        <v>2</v>
      </c>
      <c r="C914" s="1">
        <f>IFERROR(__xludf.DUMMYFUNCTION("""COMPUTED_VALUE"""),2.0)</f>
        <v>2</v>
      </c>
      <c r="D914" s="1">
        <f>IFERROR(__xludf.DUMMYFUNCTION("""COMPUTED_VALUE"""),2.0)</f>
        <v>2</v>
      </c>
      <c r="E914" s="1">
        <f>IFERROR(__xludf.DUMMYFUNCTION("""COMPUTED_VALUE"""),0.0)</f>
        <v>0</v>
      </c>
    </row>
    <row r="915">
      <c r="A915" s="1" t="str">
        <f>IFERROR(__xludf.DUMMYFUNCTION("""COMPUTED_VALUE"""),"OGBTS250")</f>
        <v>OGBTS250</v>
      </c>
      <c r="B915" s="1">
        <f>IFERROR(__xludf.DUMMYFUNCTION("""COMPUTED_VALUE"""),97.0)</f>
        <v>97</v>
      </c>
      <c r="C915" s="1">
        <f>IFERROR(__xludf.DUMMYFUNCTION("""COMPUTED_VALUE"""),147.0)</f>
        <v>147</v>
      </c>
      <c r="D915" s="1">
        <f>IFERROR(__xludf.DUMMYFUNCTION("""COMPUTED_VALUE"""),97.0)</f>
        <v>97</v>
      </c>
      <c r="E915" s="1">
        <f>IFERROR(__xludf.DUMMYFUNCTION("""COMPUTED_VALUE"""),50.0)</f>
        <v>50</v>
      </c>
    </row>
    <row r="916">
      <c r="A916" s="1" t="str">
        <f>IFERROR(__xludf.DUMMYFUNCTION("""COMPUTED_VALUE"""),"OGBTS25032")</f>
        <v>OGBTS25032</v>
      </c>
      <c r="B916" s="1">
        <f>IFERROR(__xludf.DUMMYFUNCTION("""COMPUTED_VALUE"""),2.0)</f>
        <v>2</v>
      </c>
      <c r="C916" s="1">
        <f>IFERROR(__xludf.DUMMYFUNCTION("""COMPUTED_VALUE"""),2.0)</f>
        <v>2</v>
      </c>
      <c r="D916" s="1">
        <f>IFERROR(__xludf.DUMMYFUNCTION("""COMPUTED_VALUE"""),2.0)</f>
        <v>2</v>
      </c>
      <c r="E916" s="1">
        <f>IFERROR(__xludf.DUMMYFUNCTION("""COMPUTED_VALUE"""),0.0)</f>
        <v>0</v>
      </c>
    </row>
    <row r="917">
      <c r="A917" s="1" t="str">
        <f>IFERROR(__xludf.DUMMYFUNCTION("""COMPUTED_VALUE"""),"OGBTS300")</f>
        <v>OGBTS300</v>
      </c>
      <c r="B917" s="1">
        <f>IFERROR(__xludf.DUMMYFUNCTION("""COMPUTED_VALUE"""),57.0)</f>
        <v>57</v>
      </c>
      <c r="C917" s="1">
        <f>IFERROR(__xludf.DUMMYFUNCTION("""COMPUTED_VALUE"""),73.0)</f>
        <v>73</v>
      </c>
      <c r="D917" s="1">
        <f>IFERROR(__xludf.DUMMYFUNCTION("""COMPUTED_VALUE"""),57.0)</f>
        <v>57</v>
      </c>
      <c r="E917" s="1">
        <f>IFERROR(__xludf.DUMMYFUNCTION("""COMPUTED_VALUE"""),16.0)</f>
        <v>16</v>
      </c>
    </row>
    <row r="918">
      <c r="A918" s="1" t="str">
        <f>IFERROR(__xludf.DUMMYFUNCTION("""COMPUTED_VALUE"""),"OGBTS30032")</f>
        <v>OGBTS30032</v>
      </c>
      <c r="B918" s="1">
        <f>IFERROR(__xludf.DUMMYFUNCTION("""COMPUTED_VALUE"""),12.0)</f>
        <v>12</v>
      </c>
      <c r="C918" s="1">
        <f>IFERROR(__xludf.DUMMYFUNCTION("""COMPUTED_VALUE"""),12.0)</f>
        <v>12</v>
      </c>
      <c r="D918" s="1">
        <f>IFERROR(__xludf.DUMMYFUNCTION("""COMPUTED_VALUE"""),12.0)</f>
        <v>12</v>
      </c>
      <c r="E918" s="1">
        <f>IFERROR(__xludf.DUMMYFUNCTION("""COMPUTED_VALUE"""),0.0)</f>
        <v>0</v>
      </c>
    </row>
    <row r="919">
      <c r="A919" s="1" t="str">
        <f>IFERROR(__xludf.DUMMYFUNCTION("""COMPUTED_VALUE"""),"OGBTSPL100")</f>
        <v>OGBTSPL100</v>
      </c>
      <c r="B919" s="1">
        <f>IFERROR(__xludf.DUMMYFUNCTION("""COMPUTED_VALUE"""),2.0)</f>
        <v>2</v>
      </c>
      <c r="C919" s="1">
        <f>IFERROR(__xludf.DUMMYFUNCTION("""COMPUTED_VALUE"""),2.0)</f>
        <v>2</v>
      </c>
      <c r="D919" s="1">
        <f>IFERROR(__xludf.DUMMYFUNCTION("""COMPUTED_VALUE"""),2.0)</f>
        <v>2</v>
      </c>
      <c r="E919" s="1">
        <f>IFERROR(__xludf.DUMMYFUNCTION("""COMPUTED_VALUE"""),0.0)</f>
        <v>0</v>
      </c>
    </row>
    <row r="920">
      <c r="A920" s="1" t="str">
        <f>IFERROR(__xludf.DUMMYFUNCTION("""COMPUTED_VALUE"""),"OGBTSPL150")</f>
        <v>OGBTSPL150</v>
      </c>
      <c r="B920" s="1">
        <f>IFERROR(__xludf.DUMMYFUNCTION("""COMPUTED_VALUE"""),47.0)</f>
        <v>47</v>
      </c>
      <c r="C920" s="1">
        <f>IFERROR(__xludf.DUMMYFUNCTION("""COMPUTED_VALUE"""),47.0)</f>
        <v>47</v>
      </c>
      <c r="D920" s="1">
        <f>IFERROR(__xludf.DUMMYFUNCTION("""COMPUTED_VALUE"""),47.0)</f>
        <v>47</v>
      </c>
      <c r="E920" s="1">
        <f>IFERROR(__xludf.DUMMYFUNCTION("""COMPUTED_VALUE"""),0.0)</f>
        <v>0</v>
      </c>
    </row>
    <row r="921">
      <c r="A921" s="1" t="str">
        <f>IFERROR(__xludf.DUMMYFUNCTION("""COMPUTED_VALUE"""),"OGBTSPL200")</f>
        <v>OGBTSPL200</v>
      </c>
      <c r="B921" s="1">
        <f>IFERROR(__xludf.DUMMYFUNCTION("""COMPUTED_VALUE"""),142.0)</f>
        <v>142</v>
      </c>
      <c r="C921" s="1">
        <f>IFERROR(__xludf.DUMMYFUNCTION("""COMPUTED_VALUE"""),142.0)</f>
        <v>142</v>
      </c>
      <c r="D921" s="1">
        <f>IFERROR(__xludf.DUMMYFUNCTION("""COMPUTED_VALUE"""),142.0)</f>
        <v>142</v>
      </c>
      <c r="E921" s="1">
        <f>IFERROR(__xludf.DUMMYFUNCTION("""COMPUTED_VALUE"""),0.0)</f>
        <v>0</v>
      </c>
    </row>
    <row r="922">
      <c r="A922" s="1" t="str">
        <f>IFERROR(__xludf.DUMMYFUNCTION("""COMPUTED_VALUE"""),"OGBTSPL250")</f>
        <v>OGBTSPL250</v>
      </c>
      <c r="B922" s="1">
        <f>IFERROR(__xludf.DUMMYFUNCTION("""COMPUTED_VALUE"""),55.0)</f>
        <v>55</v>
      </c>
      <c r="C922" s="1">
        <f>IFERROR(__xludf.DUMMYFUNCTION("""COMPUTED_VALUE"""),55.0)</f>
        <v>55</v>
      </c>
      <c r="D922" s="1">
        <f>IFERROR(__xludf.DUMMYFUNCTION("""COMPUTED_VALUE"""),55.0)</f>
        <v>55</v>
      </c>
      <c r="E922" s="1">
        <f>IFERROR(__xludf.DUMMYFUNCTION("""COMPUTED_VALUE"""),0.0)</f>
        <v>0</v>
      </c>
    </row>
    <row r="923">
      <c r="A923" s="1" t="str">
        <f>IFERROR(__xludf.DUMMYFUNCTION("""COMPUTED_VALUE"""),"OGT100")</f>
        <v>OGT100</v>
      </c>
      <c r="B923" s="1">
        <f>IFERROR(__xludf.DUMMYFUNCTION("""COMPUTED_VALUE"""),345.0)</f>
        <v>345</v>
      </c>
      <c r="C923" s="1">
        <f>IFERROR(__xludf.DUMMYFUNCTION("""COMPUTED_VALUE"""),540.0)</f>
        <v>540</v>
      </c>
      <c r="D923" s="1">
        <f>IFERROR(__xludf.DUMMYFUNCTION("""COMPUTED_VALUE"""),345.0)</f>
        <v>345</v>
      </c>
      <c r="E923" s="1">
        <f>IFERROR(__xludf.DUMMYFUNCTION("""COMPUTED_VALUE"""),195.0)</f>
        <v>195</v>
      </c>
    </row>
    <row r="924">
      <c r="A924" s="1" t="str">
        <f>IFERROR(__xludf.DUMMYFUNCTION("""COMPUTED_VALUE"""),"OGT125")</f>
        <v>OGT125</v>
      </c>
      <c r="B924" s="1">
        <f>IFERROR(__xludf.DUMMYFUNCTION("""COMPUTED_VALUE"""),63.0)</f>
        <v>63</v>
      </c>
      <c r="C924" s="1">
        <f>IFERROR(__xludf.DUMMYFUNCTION("""COMPUTED_VALUE"""),172.0)</f>
        <v>172</v>
      </c>
      <c r="D924" s="1">
        <f>IFERROR(__xludf.DUMMYFUNCTION("""COMPUTED_VALUE"""),63.0)</f>
        <v>63</v>
      </c>
      <c r="E924" s="1">
        <f>IFERROR(__xludf.DUMMYFUNCTION("""COMPUTED_VALUE"""),109.0)</f>
        <v>109</v>
      </c>
    </row>
    <row r="925">
      <c r="A925" s="1" t="str">
        <f>IFERROR(__xludf.DUMMYFUNCTION("""COMPUTED_VALUE"""),"OGT150")</f>
        <v>OGT150</v>
      </c>
      <c r="B925" s="1">
        <f>IFERROR(__xludf.DUMMYFUNCTION("""COMPUTED_VALUE"""),99.0)</f>
        <v>99</v>
      </c>
      <c r="C925" s="1">
        <f>IFERROR(__xludf.DUMMYFUNCTION("""COMPUTED_VALUE"""),257.0)</f>
        <v>257</v>
      </c>
      <c r="D925" s="1">
        <f>IFERROR(__xludf.DUMMYFUNCTION("""COMPUTED_VALUE"""),99.0)</f>
        <v>99</v>
      </c>
      <c r="E925" s="1">
        <f>IFERROR(__xludf.DUMMYFUNCTION("""COMPUTED_VALUE"""),158.0)</f>
        <v>158</v>
      </c>
    </row>
    <row r="926">
      <c r="A926" s="1" t="str">
        <f>IFERROR(__xludf.DUMMYFUNCTION("""COMPUTED_VALUE"""),"OGT200")</f>
        <v>OGT200</v>
      </c>
      <c r="B926" s="1">
        <f>IFERROR(__xludf.DUMMYFUNCTION("""COMPUTED_VALUE"""),79.0)</f>
        <v>79</v>
      </c>
      <c r="C926" s="1">
        <f>IFERROR(__xludf.DUMMYFUNCTION("""COMPUTED_VALUE"""),141.0)</f>
        <v>141</v>
      </c>
      <c r="D926" s="1">
        <f>IFERROR(__xludf.DUMMYFUNCTION("""COMPUTED_VALUE"""),79.0)</f>
        <v>79</v>
      </c>
      <c r="E926" s="1">
        <f>IFERROR(__xludf.DUMMYFUNCTION("""COMPUTED_VALUE"""),62.0)</f>
        <v>62</v>
      </c>
    </row>
    <row r="927">
      <c r="A927" s="1" t="str">
        <f>IFERROR(__xludf.DUMMYFUNCTION("""COMPUTED_VALUE"""),"OGT250")</f>
        <v>OGT250</v>
      </c>
      <c r="B927" s="1">
        <f>IFERROR(__xludf.DUMMYFUNCTION("""COMPUTED_VALUE"""),91.0)</f>
        <v>91</v>
      </c>
      <c r="C927" s="1">
        <f>IFERROR(__xludf.DUMMYFUNCTION("""COMPUTED_VALUE"""),151.0)</f>
        <v>151</v>
      </c>
      <c r="D927" s="1">
        <f>IFERROR(__xludf.DUMMYFUNCTION("""COMPUTED_VALUE"""),91.0)</f>
        <v>91</v>
      </c>
      <c r="E927" s="1">
        <f>IFERROR(__xludf.DUMMYFUNCTION("""COMPUTED_VALUE"""),60.0)</f>
        <v>60</v>
      </c>
    </row>
    <row r="928">
      <c r="A928" s="1" t="str">
        <f>IFERROR(__xludf.DUMMYFUNCTION("""COMPUTED_VALUE"""),"OGT300")</f>
        <v>OGT300</v>
      </c>
      <c r="B928" s="1">
        <f>IFERROR(__xludf.DUMMYFUNCTION("""COMPUTED_VALUE"""),33.0)</f>
        <v>33</v>
      </c>
      <c r="C928" s="1">
        <f>IFERROR(__xludf.DUMMYFUNCTION("""COMPUTED_VALUE"""),61.0)</f>
        <v>61</v>
      </c>
      <c r="D928" s="1">
        <f>IFERROR(__xludf.DUMMYFUNCTION("""COMPUTED_VALUE"""),33.0)</f>
        <v>33</v>
      </c>
      <c r="E928" s="1">
        <f>IFERROR(__xludf.DUMMYFUNCTION("""COMPUTED_VALUE"""),28.0)</f>
        <v>28</v>
      </c>
    </row>
    <row r="929">
      <c r="A929" s="1" t="str">
        <f>IFERROR(__xludf.DUMMYFUNCTION("""COMPUTED_VALUE"""),"OGT350")</f>
        <v>OGT350</v>
      </c>
      <c r="B929" s="1">
        <f>IFERROR(__xludf.DUMMYFUNCTION("""COMPUTED_VALUE"""),29.0)</f>
        <v>29</v>
      </c>
      <c r="C929" s="1">
        <f>IFERROR(__xludf.DUMMYFUNCTION("""COMPUTED_VALUE"""),40.0)</f>
        <v>40</v>
      </c>
      <c r="D929" s="1">
        <f>IFERROR(__xludf.DUMMYFUNCTION("""COMPUTED_VALUE"""),29.0)</f>
        <v>29</v>
      </c>
      <c r="E929" s="1">
        <f>IFERROR(__xludf.DUMMYFUNCTION("""COMPUTED_VALUE"""),11.0)</f>
        <v>11</v>
      </c>
    </row>
    <row r="930">
      <c r="A930" s="1" t="str">
        <f>IFERROR(__xludf.DUMMYFUNCTION("""COMPUTED_VALUE"""),"OGT400")</f>
        <v>OGT400</v>
      </c>
      <c r="B930" s="1">
        <f>IFERROR(__xludf.DUMMYFUNCTION("""COMPUTED_VALUE"""),8.0)</f>
        <v>8</v>
      </c>
      <c r="C930" s="1">
        <f>IFERROR(__xludf.DUMMYFUNCTION("""COMPUTED_VALUE"""),8.0)</f>
        <v>8</v>
      </c>
      <c r="D930" s="1">
        <f>IFERROR(__xludf.DUMMYFUNCTION("""COMPUTED_VALUE"""),8.0)</f>
        <v>8</v>
      </c>
      <c r="E930" s="1">
        <f>IFERROR(__xludf.DUMMYFUNCTION("""COMPUTED_VALUE"""),0.0)</f>
        <v>0</v>
      </c>
    </row>
    <row r="931">
      <c r="A931" s="1" t="str">
        <f>IFERROR(__xludf.DUMMYFUNCTION("""COMPUTED_VALUE"""),"OGTTS100")</f>
        <v>OGTTS100</v>
      </c>
      <c r="B931" s="1">
        <f>IFERROR(__xludf.DUMMYFUNCTION("""COMPUTED_VALUE"""),0.0)</f>
        <v>0</v>
      </c>
      <c r="C931" s="1">
        <f>IFERROR(__xludf.DUMMYFUNCTION("""COMPUTED_VALUE"""),0.0)</f>
        <v>0</v>
      </c>
      <c r="D931" s="1">
        <f>IFERROR(__xludf.DUMMYFUNCTION("""COMPUTED_VALUE"""),0.0)</f>
        <v>0</v>
      </c>
      <c r="E931" s="1">
        <f>IFERROR(__xludf.DUMMYFUNCTION("""COMPUTED_VALUE"""),0.0)</f>
        <v>0</v>
      </c>
    </row>
    <row r="932">
      <c r="A932" s="1" t="str">
        <f>IFERROR(__xludf.DUMMYFUNCTION("""COMPUTED_VALUE"""),"OGTTS125")</f>
        <v>OGTTS125</v>
      </c>
      <c r="B932" s="1">
        <f>IFERROR(__xludf.DUMMYFUNCTION("""COMPUTED_VALUE"""),0.0)</f>
        <v>0</v>
      </c>
      <c r="C932" s="1">
        <f>IFERROR(__xludf.DUMMYFUNCTION("""COMPUTED_VALUE"""),0.0)</f>
        <v>0</v>
      </c>
      <c r="D932" s="1">
        <f>IFERROR(__xludf.DUMMYFUNCTION("""COMPUTED_VALUE"""),0.0)</f>
        <v>0</v>
      </c>
      <c r="E932" s="1">
        <f>IFERROR(__xludf.DUMMYFUNCTION("""COMPUTED_VALUE"""),0.0)</f>
        <v>0</v>
      </c>
    </row>
    <row r="933">
      <c r="A933" s="1" t="str">
        <f>IFERROR(__xludf.DUMMYFUNCTION("""COMPUTED_VALUE"""),"OGTTS250")</f>
        <v>OGTTS250</v>
      </c>
      <c r="B933" s="1">
        <f>IFERROR(__xludf.DUMMYFUNCTION("""COMPUTED_VALUE"""),15.0)</f>
        <v>15</v>
      </c>
      <c r="C933" s="1">
        <f>IFERROR(__xludf.DUMMYFUNCTION("""COMPUTED_VALUE"""),15.0)</f>
        <v>15</v>
      </c>
      <c r="D933" s="1">
        <f>IFERROR(__xludf.DUMMYFUNCTION("""COMPUTED_VALUE"""),15.0)</f>
        <v>15</v>
      </c>
      <c r="E933" s="1">
        <f>IFERROR(__xludf.DUMMYFUNCTION("""COMPUTED_VALUE"""),0.0)</f>
        <v>0</v>
      </c>
    </row>
    <row r="934">
      <c r="A934" s="1" t="str">
        <f>IFERROR(__xludf.DUMMYFUNCTION("""COMPUTED_VALUE"""),"PHINLDDCL303PHIN10")</f>
        <v>PHINLDDCL303PHIN10</v>
      </c>
      <c r="B934" s="1">
        <f>IFERROR(__xludf.DUMMYFUNCTION("""COMPUTED_VALUE"""),3.0)</f>
        <v>3</v>
      </c>
      <c r="C934" s="1">
        <f>IFERROR(__xludf.DUMMYFUNCTION("""COMPUTED_VALUE"""),3.0)</f>
        <v>3</v>
      </c>
      <c r="D934" s="1">
        <f>IFERROR(__xludf.DUMMYFUNCTION("""COMPUTED_VALUE"""),3.0)</f>
        <v>3</v>
      </c>
      <c r="E934" s="1">
        <f>IFERROR(__xludf.DUMMYFUNCTION("""COMPUTED_VALUE"""),0.0)</f>
        <v>0</v>
      </c>
    </row>
    <row r="935">
      <c r="A935" s="1" t="str">
        <f>IFERROR(__xludf.DUMMYFUNCTION("""COMPUTED_VALUE"""),"PHINLDDCL305")</f>
        <v>PHINLDDCL305</v>
      </c>
      <c r="B935" s="1">
        <f>IFERROR(__xludf.DUMMYFUNCTION("""COMPUTED_VALUE"""),1.0)</f>
        <v>1</v>
      </c>
      <c r="C935" s="1">
        <f>IFERROR(__xludf.DUMMYFUNCTION("""COMPUTED_VALUE"""),1.0)</f>
        <v>1</v>
      </c>
      <c r="D935" s="1">
        <f>IFERROR(__xludf.DUMMYFUNCTION("""COMPUTED_VALUE"""),1.0)</f>
        <v>1</v>
      </c>
      <c r="E935" s="1">
        <f>IFERROR(__xludf.DUMMYFUNCTION("""COMPUTED_VALUE"""),0.0)</f>
        <v>0</v>
      </c>
    </row>
    <row r="936">
      <c r="A936" s="1" t="str">
        <f>IFERROR(__xludf.DUMMYFUNCTION("""COMPUTED_VALUE"""),"PHINLDDML306PHIN19")</f>
        <v>PHINLDDML306PHIN19</v>
      </c>
      <c r="B936" s="1">
        <f>IFERROR(__xludf.DUMMYFUNCTION("""COMPUTED_VALUE"""),40.0)</f>
        <v>40</v>
      </c>
      <c r="C936" s="1">
        <f>IFERROR(__xludf.DUMMYFUNCTION("""COMPUTED_VALUE"""),40.0)</f>
        <v>40</v>
      </c>
      <c r="D936" s="1">
        <f>IFERROR(__xludf.DUMMYFUNCTION("""COMPUTED_VALUE"""),40.0)</f>
        <v>40</v>
      </c>
      <c r="E936" s="1">
        <f>IFERROR(__xludf.DUMMYFUNCTION("""COMPUTED_VALUE"""),0.0)</f>
        <v>0</v>
      </c>
    </row>
    <row r="937">
      <c r="A937" s="1" t="str">
        <f>IFERROR(__xludf.DUMMYFUNCTION("""COMPUTED_VALUE"""),"PHINLEMERSON048222")</f>
        <v>PHINLEMERSON048222</v>
      </c>
      <c r="B937" s="1">
        <f>IFERROR(__xludf.DUMMYFUNCTION("""COMPUTED_VALUE"""),7.0)</f>
        <v>7</v>
      </c>
      <c r="C937" s="1">
        <f>IFERROR(__xludf.DUMMYFUNCTION("""COMPUTED_VALUE"""),7.0)</f>
        <v>7</v>
      </c>
      <c r="D937" s="1">
        <f>IFERROR(__xludf.DUMMYFUNCTION("""COMPUTED_VALUE"""),7.0)</f>
        <v>7</v>
      </c>
      <c r="E937" s="1">
        <f>IFERROR(__xludf.DUMMYFUNCTION("""COMPUTED_VALUE"""),0.0)</f>
        <v>0</v>
      </c>
    </row>
    <row r="938">
      <c r="A938" s="1" t="str">
        <f>IFERROR(__xludf.DUMMYFUNCTION("""COMPUTED_VALUE"""),"QCG1.5JL")</f>
        <v>QCG1.5JL</v>
      </c>
      <c r="B938" s="1">
        <f>IFERROR(__xludf.DUMMYFUNCTION("""COMPUTED_VALUE"""),1.0)</f>
        <v>1</v>
      </c>
      <c r="C938" s="1">
        <f>IFERROR(__xludf.DUMMYFUNCTION("""COMPUTED_VALUE"""),1.0)</f>
        <v>1</v>
      </c>
      <c r="D938" s="1">
        <f>IFERROR(__xludf.DUMMYFUNCTION("""COMPUTED_VALUE"""),1.0)</f>
        <v>1</v>
      </c>
      <c r="E938" s="1">
        <f>IFERROR(__xludf.DUMMYFUNCTION("""COMPUTED_VALUE"""),0.0)</f>
        <v>0</v>
      </c>
    </row>
    <row r="939">
      <c r="A939" s="1" t="str">
        <f>IFERROR(__xludf.DUMMYFUNCTION("""COMPUTED_VALUE"""),"QHD0")</f>
        <v>QHD0</v>
      </c>
      <c r="B939" s="1">
        <f>IFERROR(__xludf.DUMMYFUNCTION("""COMPUTED_VALUE"""),5033.36)</f>
        <v>5033.36</v>
      </c>
      <c r="C939" s="1">
        <f>IFERROR(__xludf.DUMMYFUNCTION("""COMPUTED_VALUE"""),8632.81)</f>
        <v>8632.81</v>
      </c>
      <c r="D939" s="1">
        <f>IFERROR(__xludf.DUMMYFUNCTION("""COMPUTED_VALUE"""),5033.36)</f>
        <v>5033.36</v>
      </c>
      <c r="E939" s="1">
        <f>IFERROR(__xludf.DUMMYFUNCTION("""COMPUTED_VALUE"""),3599.45)</f>
        <v>3599.45</v>
      </c>
    </row>
    <row r="940">
      <c r="A940" s="1" t="str">
        <f>IFERROR(__xludf.DUMMYFUNCTION("""COMPUTED_VALUE"""),"QHD0Q")</f>
        <v>QHD0Q</v>
      </c>
      <c r="B940" s="1">
        <f>IFERROR(__xludf.DUMMYFUNCTION("""COMPUTED_VALUE"""),258.0)</f>
        <v>258</v>
      </c>
      <c r="C940" s="1">
        <f>IFERROR(__xludf.DUMMYFUNCTION("""COMPUTED_VALUE"""),568.0)</f>
        <v>568</v>
      </c>
      <c r="D940" s="1">
        <f>IFERROR(__xludf.DUMMYFUNCTION("""COMPUTED_VALUE"""),258.0)</f>
        <v>258</v>
      </c>
      <c r="E940" s="1">
        <f>IFERROR(__xludf.DUMMYFUNCTION("""COMPUTED_VALUE"""),310.0)</f>
        <v>310</v>
      </c>
    </row>
    <row r="941">
      <c r="A941" s="1" t="str">
        <f>IFERROR(__xludf.DUMMYFUNCTION("""COMPUTED_VALUE"""),"QHD15")</f>
        <v>QHD15</v>
      </c>
      <c r="B941" s="1">
        <f>IFERROR(__xludf.DUMMYFUNCTION("""COMPUTED_VALUE"""),9.26)</f>
        <v>9.26</v>
      </c>
      <c r="C941" s="1">
        <f>IFERROR(__xludf.DUMMYFUNCTION("""COMPUTED_VALUE"""),9.26)</f>
        <v>9.26</v>
      </c>
      <c r="D941" s="1">
        <f>IFERROR(__xludf.DUMMYFUNCTION("""COMPUTED_VALUE"""),9.26)</f>
        <v>9.26</v>
      </c>
      <c r="E941" s="1">
        <f>IFERROR(__xludf.DUMMYFUNCTION("""COMPUTED_VALUE"""),0.0)</f>
        <v>0</v>
      </c>
    </row>
    <row r="942">
      <c r="A942" s="1" t="str">
        <f>IFERROR(__xludf.DUMMYFUNCTION("""COMPUTED_VALUE"""),"QHD2")</f>
        <v>QHD2</v>
      </c>
      <c r="B942" s="1">
        <f>IFERROR(__xludf.DUMMYFUNCTION("""COMPUTED_VALUE"""),45.6)</f>
        <v>45.6</v>
      </c>
      <c r="C942" s="1">
        <f>IFERROR(__xludf.DUMMYFUNCTION("""COMPUTED_VALUE"""),45.6)</f>
        <v>45.6</v>
      </c>
      <c r="D942" s="1">
        <f>IFERROR(__xludf.DUMMYFUNCTION("""COMPUTED_VALUE"""),45.6)</f>
        <v>45.6</v>
      </c>
      <c r="E942" s="1">
        <f>IFERROR(__xludf.DUMMYFUNCTION("""COMPUTED_VALUE"""),0.0)</f>
        <v>0</v>
      </c>
    </row>
    <row r="943">
      <c r="A943" s="1" t="str">
        <f>IFERROR(__xludf.DUMMYFUNCTION("""COMPUTED_VALUE"""),"QHD5")</f>
        <v>QHD5</v>
      </c>
      <c r="B943" s="1">
        <f>IFERROR(__xludf.DUMMYFUNCTION("""COMPUTED_VALUE"""),410.35)</f>
        <v>410.35</v>
      </c>
      <c r="C943" s="1">
        <f>IFERROR(__xludf.DUMMYFUNCTION("""COMPUTED_VALUE"""),433.03000000000003)</f>
        <v>433.03</v>
      </c>
      <c r="D943" s="1">
        <f>IFERROR(__xludf.DUMMYFUNCTION("""COMPUTED_VALUE"""),410.35)</f>
        <v>410.35</v>
      </c>
      <c r="E943" s="1">
        <f>IFERROR(__xludf.DUMMYFUNCTION("""COMPUTED_VALUE"""),22.68)</f>
        <v>22.68</v>
      </c>
    </row>
    <row r="944">
      <c r="A944" s="1" t="str">
        <f>IFERROR(__xludf.DUMMYFUNCTION("""COMPUTED_VALUE"""),"QUATCN")</f>
        <v>QUATCN</v>
      </c>
      <c r="B944" s="1">
        <f>IFERROR(__xludf.DUMMYFUNCTION("""COMPUTED_VALUE"""),1.0)</f>
        <v>1</v>
      </c>
      <c r="C944" s="1">
        <f>IFERROR(__xludf.DUMMYFUNCTION("""COMPUTED_VALUE"""),1.0)</f>
        <v>1</v>
      </c>
      <c r="D944" s="1">
        <f>IFERROR(__xludf.DUMMYFUNCTION("""COMPUTED_VALUE"""),1.0)</f>
        <v>1</v>
      </c>
      <c r="E944" s="1">
        <f>IFERROR(__xludf.DUMMYFUNCTION("""COMPUTED_VALUE"""),0.0)</f>
        <v>0</v>
      </c>
    </row>
    <row r="945">
      <c r="A945" s="1" t="str">
        <f>IFERROR(__xludf.DUMMYFUNCTION("""COMPUTED_VALUE"""),"QUATCOCA")</f>
        <v>QUATCOCA</v>
      </c>
      <c r="B945" s="1">
        <f>IFERROR(__xludf.DUMMYFUNCTION("""COMPUTED_VALUE"""),12.0)</f>
        <v>12</v>
      </c>
      <c r="C945" s="1">
        <f>IFERROR(__xludf.DUMMYFUNCTION("""COMPUTED_VALUE"""),12.0)</f>
        <v>12</v>
      </c>
      <c r="D945" s="1">
        <f>IFERROR(__xludf.DUMMYFUNCTION("""COMPUTED_VALUE"""),12.0)</f>
        <v>12</v>
      </c>
      <c r="E945" s="1">
        <f>IFERROR(__xludf.DUMMYFUNCTION("""COMPUTED_VALUE"""),0.0)</f>
        <v>0</v>
      </c>
    </row>
    <row r="946">
      <c r="A946" s="1" t="str">
        <f>IFERROR(__xludf.DUMMYFUNCTION("""COMPUTED_VALUE"""),"RACCAM")</f>
        <v>RACCAM</v>
      </c>
      <c r="B946" s="1">
        <f>IFERROR(__xludf.DUMMYFUNCTION("""COMPUTED_VALUE"""),19.0)</f>
        <v>19</v>
      </c>
      <c r="C946" s="1">
        <f>IFERROR(__xludf.DUMMYFUNCTION("""COMPUTED_VALUE"""),24.0)</f>
        <v>24</v>
      </c>
      <c r="D946" s="1">
        <f>IFERROR(__xludf.DUMMYFUNCTION("""COMPUTED_VALUE"""),19.0)</f>
        <v>19</v>
      </c>
      <c r="E946" s="1">
        <f>IFERROR(__xludf.DUMMYFUNCTION("""COMPUTED_VALUE"""),5.0)</f>
        <v>5</v>
      </c>
    </row>
    <row r="947">
      <c r="A947" s="1" t="str">
        <f>IFERROR(__xludf.DUMMYFUNCTION("""COMPUTED_VALUE"""),"RASDTKP1")</f>
        <v>RASDTKP1</v>
      </c>
      <c r="B947" s="1">
        <f>IFERROR(__xludf.DUMMYFUNCTION("""COMPUTED_VALUE"""),49.0)</f>
        <v>49</v>
      </c>
      <c r="C947" s="1">
        <f>IFERROR(__xludf.DUMMYFUNCTION("""COMPUTED_VALUE"""),49.0)</f>
        <v>49</v>
      </c>
      <c r="D947" s="1">
        <f>IFERROR(__xludf.DUMMYFUNCTION("""COMPUTED_VALUE"""),49.0)</f>
        <v>49</v>
      </c>
      <c r="E947" s="1">
        <f>IFERROR(__xludf.DUMMYFUNCTION("""COMPUTED_VALUE"""),0.0)</f>
        <v>0</v>
      </c>
    </row>
    <row r="948">
      <c r="A948" s="1" t="str">
        <f>IFERROR(__xludf.DUMMYFUNCTION("""COMPUTED_VALUE"""),"RLASDCKP5")</f>
        <v>RLASDCKP5</v>
      </c>
      <c r="B948" s="1">
        <f>IFERROR(__xludf.DUMMYFUNCTION("""COMPUTED_VALUE"""),49.0)</f>
        <v>49</v>
      </c>
      <c r="C948" s="1">
        <f>IFERROR(__xludf.DUMMYFUNCTION("""COMPUTED_VALUE"""),49.0)</f>
        <v>49</v>
      </c>
      <c r="D948" s="1">
        <f>IFERROR(__xludf.DUMMYFUNCTION("""COMPUTED_VALUE"""),49.0)</f>
        <v>49</v>
      </c>
      <c r="E948" s="1">
        <f>IFERROR(__xludf.DUMMYFUNCTION("""COMPUTED_VALUE"""),0.0)</f>
        <v>0</v>
      </c>
    </row>
    <row r="949">
      <c r="A949" s="1" t="str">
        <f>IFERROR(__xludf.DUMMYFUNCTION("""COMPUTED_VALUE"""),"RLASDCTQ")</f>
        <v>RLASDCTQ</v>
      </c>
      <c r="B949" s="1">
        <f>IFERROR(__xludf.DUMMYFUNCTION("""COMPUTED_VALUE"""),4.0)</f>
        <v>4</v>
      </c>
      <c r="C949" s="1">
        <f>IFERROR(__xludf.DUMMYFUNCTION("""COMPUTED_VALUE"""),4.0)</f>
        <v>4</v>
      </c>
      <c r="D949" s="1">
        <f>IFERROR(__xludf.DUMMYFUNCTION("""COMPUTED_VALUE"""),4.0)</f>
        <v>4</v>
      </c>
      <c r="E949" s="1">
        <f>IFERROR(__xludf.DUMMYFUNCTION("""COMPUTED_VALUE"""),0.0)</f>
        <v>0</v>
      </c>
    </row>
    <row r="950">
      <c r="A950" s="1" t="str">
        <f>IFERROR(__xludf.DUMMYFUNCTION("""COMPUTED_VALUE"""),"Rơ le AS kép")</f>
        <v>Rơ le AS kép</v>
      </c>
      <c r="B950" s="1">
        <f>IFERROR(__xludf.DUMMYFUNCTION("""COMPUTED_VALUE"""),2.0)</f>
        <v>2</v>
      </c>
      <c r="C950" s="1">
        <f>IFERROR(__xludf.DUMMYFUNCTION("""COMPUTED_VALUE"""),2.0)</f>
        <v>2</v>
      </c>
      <c r="D950" s="1">
        <f>IFERROR(__xludf.DUMMYFUNCTION("""COMPUTED_VALUE"""),2.0)</f>
        <v>2</v>
      </c>
      <c r="E950" s="1">
        <f>IFERROR(__xludf.DUMMYFUNCTION("""COMPUTED_VALUE"""),0.0)</f>
        <v>0</v>
      </c>
    </row>
    <row r="951">
      <c r="A951" s="1" t="str">
        <f>IFERROR(__xludf.DUMMYFUNCTION("""COMPUTED_VALUE"""),"Rơ le bán dẫn")</f>
        <v>Rơ le bán dẫn</v>
      </c>
      <c r="B951" s="1">
        <f>IFERROR(__xludf.DUMMYFUNCTION("""COMPUTED_VALUE"""),90.0)</f>
        <v>90</v>
      </c>
      <c r="C951" s="1">
        <f>IFERROR(__xludf.DUMMYFUNCTION("""COMPUTED_VALUE"""),90.0)</f>
        <v>90</v>
      </c>
      <c r="D951" s="1">
        <f>IFERROR(__xludf.DUMMYFUNCTION("""COMPUTED_VALUE"""),90.0)</f>
        <v>90</v>
      </c>
      <c r="E951" s="1">
        <f>IFERROR(__xludf.DUMMYFUNCTION("""COMPUTED_VALUE"""),0.0)</f>
        <v>0</v>
      </c>
    </row>
    <row r="952">
      <c r="A952" s="1" t="str">
        <f>IFERROR(__xludf.DUMMYFUNCTION("""COMPUTED_VALUE"""),"RƠLETGNTMF603AP1")</f>
        <v>RƠLETGNTMF603AP1</v>
      </c>
      <c r="B952" s="1">
        <f>IFERROR(__xludf.DUMMYFUNCTION("""COMPUTED_VALUE"""),17.0)</f>
        <v>17</v>
      </c>
      <c r="C952" s="1">
        <f>IFERROR(__xludf.DUMMYFUNCTION("""COMPUTED_VALUE"""),17.0)</f>
        <v>17</v>
      </c>
      <c r="D952" s="1">
        <f>IFERROR(__xludf.DUMMYFUNCTION("""COMPUTED_VALUE"""),17.0)</f>
        <v>17</v>
      </c>
      <c r="E952" s="1">
        <f>IFERROR(__xludf.DUMMYFUNCTION("""COMPUTED_VALUE"""),0.0)</f>
        <v>0</v>
      </c>
    </row>
    <row r="953">
      <c r="A953" s="1" t="str">
        <f>IFERROR(__xludf.DUMMYFUNCTION("""COMPUTED_VALUE"""),"TAYHAN13772")</f>
        <v>TAYHAN13772</v>
      </c>
      <c r="B953" s="1">
        <f>IFERROR(__xludf.DUMMYFUNCTION("""COMPUTED_VALUE"""),2.0)</f>
        <v>2</v>
      </c>
      <c r="C953" s="1">
        <f>IFERROR(__xludf.DUMMYFUNCTION("""COMPUTED_VALUE"""),2.0)</f>
        <v>2</v>
      </c>
      <c r="D953" s="1">
        <f>IFERROR(__xludf.DUMMYFUNCTION("""COMPUTED_VALUE"""),2.0)</f>
        <v>2</v>
      </c>
      <c r="E953" s="1">
        <f>IFERROR(__xludf.DUMMYFUNCTION("""COMPUTED_VALUE"""),0.0)</f>
        <v>0</v>
      </c>
    </row>
    <row r="954">
      <c r="A954" s="1" t="str">
        <f>IFERROR(__xludf.DUMMYFUNCTION("""COMPUTED_VALUE"""),"TĐĐD")</f>
        <v>TĐĐD</v>
      </c>
      <c r="B954" s="1">
        <f>IFERROR(__xludf.DUMMYFUNCTION("""COMPUTED_VALUE"""),3.0)</f>
        <v>3</v>
      </c>
      <c r="C954" s="1">
        <f>IFERROR(__xludf.DUMMYFUNCTION("""COMPUTED_VALUE"""),3.0)</f>
        <v>3</v>
      </c>
      <c r="D954" s="1">
        <f>IFERROR(__xludf.DUMMYFUNCTION("""COMPUTED_VALUE"""),3.0)</f>
        <v>3</v>
      </c>
      <c r="E954" s="1">
        <f>IFERROR(__xludf.DUMMYFUNCTION("""COMPUTED_VALUE"""),0.0)</f>
        <v>0</v>
      </c>
    </row>
    <row r="955">
      <c r="A955" s="1" t="str">
        <f>IFERROR(__xludf.DUMMYFUNCTION("""COMPUTED_VALUE"""),"TE67")</f>
        <v>TE67</v>
      </c>
      <c r="B955" s="1">
        <f>IFERROR(__xludf.DUMMYFUNCTION("""COMPUTED_VALUE"""),189.0)</f>
        <v>189</v>
      </c>
      <c r="C955" s="1">
        <f>IFERROR(__xludf.DUMMYFUNCTION("""COMPUTED_VALUE"""),198.0)</f>
        <v>198</v>
      </c>
      <c r="D955" s="1">
        <f>IFERROR(__xludf.DUMMYFUNCTION("""COMPUTED_VALUE"""),189.0)</f>
        <v>189</v>
      </c>
      <c r="E955" s="1">
        <f>IFERROR(__xludf.DUMMYFUNCTION("""COMPUTED_VALUE"""),9.0)</f>
        <v>9</v>
      </c>
    </row>
    <row r="956">
      <c r="A956" s="1" t="str">
        <f>IFERROR(__xludf.DUMMYFUNCTION("""COMPUTED_VALUE"""),"TEMCHG15x30")</f>
        <v>TEMCHG15x30</v>
      </c>
      <c r="B956" s="1">
        <f>IFERROR(__xludf.DUMMYFUNCTION("""COMPUTED_VALUE"""),14688.0)</f>
        <v>14688</v>
      </c>
      <c r="C956" s="1">
        <f>IFERROR(__xludf.DUMMYFUNCTION("""COMPUTED_VALUE"""),14688.0)</f>
        <v>14688</v>
      </c>
      <c r="D956" s="1">
        <f>IFERROR(__xludf.DUMMYFUNCTION("""COMPUTED_VALUE"""),14688.0)</f>
        <v>14688</v>
      </c>
      <c r="E956" s="1">
        <f>IFERROR(__xludf.DUMMYFUNCTION("""COMPUTED_VALUE"""),0.0)</f>
        <v>0</v>
      </c>
    </row>
    <row r="957">
      <c r="A957" s="1" t="str">
        <f>IFERROR(__xludf.DUMMYFUNCTION("""COMPUTED_VALUE"""),"TMOCTA2CTWPF8.5070725")</f>
        <v>TMOCTA2CTWPF8.5070725</v>
      </c>
      <c r="B957" s="1">
        <f>IFERROR(__xludf.DUMMYFUNCTION("""COMPUTED_VALUE"""),6.0)</f>
        <v>6</v>
      </c>
      <c r="C957" s="1">
        <f>IFERROR(__xludf.DUMMYFUNCTION("""COMPUTED_VALUE"""),6.0)</f>
        <v>6</v>
      </c>
      <c r="D957" s="1">
        <f>IFERROR(__xludf.DUMMYFUNCTION("""COMPUTED_VALUE"""),6.0)</f>
        <v>6</v>
      </c>
      <c r="E957" s="1">
        <f>IFERROR(__xludf.DUMMYFUNCTION("""COMPUTED_VALUE"""),0.0)</f>
        <v>0</v>
      </c>
    </row>
    <row r="958">
      <c r="A958" s="1" t="str">
        <f>IFERROR(__xludf.DUMMYFUNCTION("""COMPUTED_VALUE"""),"TUIMAUS")</f>
        <v>TUIMAUS</v>
      </c>
      <c r="B958" s="1">
        <f>IFERROR(__xludf.DUMMYFUNCTION("""COMPUTED_VALUE"""),100.0)</f>
        <v>100</v>
      </c>
      <c r="C958" s="1">
        <f>IFERROR(__xludf.DUMMYFUNCTION("""COMPUTED_VALUE"""),100.0)</f>
        <v>100</v>
      </c>
      <c r="D958" s="1">
        <f>IFERROR(__xludf.DUMMYFUNCTION("""COMPUTED_VALUE"""),100.0)</f>
        <v>100</v>
      </c>
      <c r="E958" s="1">
        <f>IFERROR(__xludf.DUMMYFUNCTION("""COMPUTED_VALUE"""),0.0)</f>
        <v>0</v>
      </c>
    </row>
    <row r="959">
      <c r="A959" s="1" t="str">
        <f>IFERROR(__xludf.DUMMYFUNCTION("""COMPUTED_VALUE"""),"VANC10")</f>
        <v>VANC10</v>
      </c>
      <c r="B959" s="1">
        <f>IFERROR(__xludf.DUMMYFUNCTION("""COMPUTED_VALUE"""),28.0)</f>
        <v>28</v>
      </c>
      <c r="C959" s="1">
        <f>IFERROR(__xludf.DUMMYFUNCTION("""COMPUTED_VALUE"""),28.0)</f>
        <v>28</v>
      </c>
      <c r="D959" s="1">
        <f>IFERROR(__xludf.DUMMYFUNCTION("""COMPUTED_VALUE"""),28.0)</f>
        <v>28</v>
      </c>
      <c r="E959" s="1">
        <f>IFERROR(__xludf.DUMMYFUNCTION("""COMPUTED_VALUE"""),0.0)</f>
        <v>0</v>
      </c>
    </row>
    <row r="960">
      <c r="A960" s="1" t="str">
        <f>IFERROR(__xludf.DUMMYFUNCTION("""COMPUTED_VALUE"""),"VANC19")</f>
        <v>VANC19</v>
      </c>
      <c r="B960" s="1">
        <f>IFERROR(__xludf.DUMMYFUNCTION("""COMPUTED_VALUE"""),31.0)</f>
        <v>31</v>
      </c>
      <c r="C960" s="1">
        <f>IFERROR(__xludf.DUMMYFUNCTION("""COMPUTED_VALUE"""),31.0)</f>
        <v>31</v>
      </c>
      <c r="D960" s="1">
        <f>IFERROR(__xludf.DUMMYFUNCTION("""COMPUTED_VALUE"""),31.0)</f>
        <v>31</v>
      </c>
      <c r="E960" s="1">
        <f>IFERROR(__xludf.DUMMYFUNCTION("""COMPUTED_VALUE"""),0.0)</f>
        <v>0</v>
      </c>
    </row>
    <row r="961">
      <c r="A961" s="1" t="str">
        <f>IFERROR(__xludf.DUMMYFUNCTION("""COMPUTED_VALUE"""),"VANCH19")</f>
        <v>VANCH19</v>
      </c>
      <c r="B961" s="1">
        <f>IFERROR(__xludf.DUMMYFUNCTION("""COMPUTED_VALUE"""),1.0)</f>
        <v>1</v>
      </c>
      <c r="C961" s="1">
        <f>IFERROR(__xludf.DUMMYFUNCTION("""COMPUTED_VALUE"""),1.0)</f>
        <v>1</v>
      </c>
      <c r="D961" s="1">
        <f>IFERROR(__xludf.DUMMYFUNCTION("""COMPUTED_VALUE"""),1.0)</f>
        <v>1</v>
      </c>
      <c r="E961" s="1">
        <f>IFERROR(__xludf.DUMMYFUNCTION("""COMPUTED_VALUE"""),0.0)</f>
        <v>0</v>
      </c>
    </row>
    <row r="962">
      <c r="A962" s="1" t="str">
        <f>IFERROR(__xludf.DUMMYFUNCTION("""COMPUTED_VALUE"""),"VANCH22")</f>
        <v>VANCH22</v>
      </c>
      <c r="B962" s="1">
        <f>IFERROR(__xludf.DUMMYFUNCTION("""COMPUTED_VALUE"""),8.0)</f>
        <v>8</v>
      </c>
      <c r="C962" s="1">
        <f>IFERROR(__xludf.DUMMYFUNCTION("""COMPUTED_VALUE"""),8.0)</f>
        <v>8</v>
      </c>
      <c r="D962" s="1">
        <f>IFERROR(__xludf.DUMMYFUNCTION("""COMPUTED_VALUE"""),8.0)</f>
        <v>8</v>
      </c>
      <c r="E962" s="1">
        <f>IFERROR(__xludf.DUMMYFUNCTION("""COMPUTED_VALUE"""),0.0)</f>
        <v>0</v>
      </c>
    </row>
    <row r="963">
      <c r="A963" s="1" t="str">
        <f>IFERROR(__xludf.DUMMYFUNCTION("""COMPUTED_VALUE"""),"XAMGI")</f>
        <v>XAMGI</v>
      </c>
      <c r="B963" s="1">
        <f>IFERROR(__xludf.DUMMYFUNCTION("""COMPUTED_VALUE"""),17.0)</f>
        <v>17</v>
      </c>
      <c r="C963" s="1">
        <f>IFERROR(__xludf.DUMMYFUNCTION("""COMPUTED_VALUE"""),17.0)</f>
        <v>17</v>
      </c>
      <c r="D963" s="1">
        <f>IFERROR(__xludf.DUMMYFUNCTION("""COMPUTED_VALUE"""),17.0)</f>
        <v>17</v>
      </c>
      <c r="E963" s="1">
        <f>IFERROR(__xludf.DUMMYFUNCTION("""COMPUTED_VALUE"""),0.0)</f>
        <v>0</v>
      </c>
    </row>
    <row r="964">
      <c r="A964" s="1" t="str">
        <f>IFERROR(__xludf.DUMMYFUNCTION("""COMPUTED_VALUE"""),"XBOA012X13")</f>
        <v>XBOA012X13</v>
      </c>
      <c r="B964" s="1">
        <f>IFERROR(__xludf.DUMMYFUNCTION("""COMPUTED_VALUE"""),1129.0)</f>
        <v>1129</v>
      </c>
      <c r="C964" s="1">
        <f>IFERROR(__xludf.DUMMYFUNCTION("""COMPUTED_VALUE"""),1129.0)</f>
        <v>1129</v>
      </c>
      <c r="D964" s="1">
        <f>IFERROR(__xludf.DUMMYFUNCTION("""COMPUTED_VALUE"""),1129.0)</f>
        <v>1129</v>
      </c>
      <c r="E964" s="1">
        <f>IFERROR(__xludf.DUMMYFUNCTION("""COMPUTED_VALUE"""),0.0)</f>
        <v>0</v>
      </c>
    </row>
    <row r="965">
      <c r="A965" s="1" t="str">
        <f>IFERROR(__xludf.DUMMYFUNCTION("""COMPUTED_VALUE"""),"XBOA012X19")</f>
        <v>XBOA012X19</v>
      </c>
      <c r="B965" s="1">
        <f>IFERROR(__xludf.DUMMYFUNCTION("""COMPUTED_VALUE"""),2028.0)</f>
        <v>2028</v>
      </c>
      <c r="C965" s="1">
        <f>IFERROR(__xludf.DUMMYFUNCTION("""COMPUTED_VALUE"""),2028.0)</f>
        <v>2028</v>
      </c>
      <c r="D965" s="1">
        <f>IFERROR(__xludf.DUMMYFUNCTION("""COMPUTED_VALUE"""),2028.0)</f>
        <v>2028</v>
      </c>
      <c r="E965" s="1">
        <f>IFERROR(__xludf.DUMMYFUNCTION("""COMPUTED_VALUE"""),0.0)</f>
        <v>0</v>
      </c>
    </row>
    <row r="966">
      <c r="A966" s="1" t="str">
        <f>IFERROR(__xludf.DUMMYFUNCTION("""COMPUTED_VALUE"""),"XBOA012X19C0")</f>
        <v>XBOA012X19C0</v>
      </c>
      <c r="B966" s="1">
        <f>IFERROR(__xludf.DUMMYFUNCTION("""COMPUTED_VALUE"""),571.0)</f>
        <v>571</v>
      </c>
      <c r="C966" s="1">
        <f>IFERROR(__xludf.DUMMYFUNCTION("""COMPUTED_VALUE"""),595.0)</f>
        <v>595</v>
      </c>
      <c r="D966" s="1">
        <f>IFERROR(__xludf.DUMMYFUNCTION("""COMPUTED_VALUE"""),571.0)</f>
        <v>571</v>
      </c>
      <c r="E966" s="1">
        <f>IFERROR(__xludf.DUMMYFUNCTION("""COMPUTED_VALUE"""),24.0)</f>
        <v>24</v>
      </c>
    </row>
    <row r="967">
      <c r="A967" s="1" t="str">
        <f>IFERROR(__xludf.DUMMYFUNCTION("""COMPUTED_VALUE"""),"XBOA020X13")</f>
        <v>XBOA020X13</v>
      </c>
      <c r="B967" s="1">
        <f>IFERROR(__xludf.DUMMYFUNCTION("""COMPUTED_VALUE"""),550.0)</f>
        <v>550</v>
      </c>
      <c r="C967" s="1">
        <f>IFERROR(__xludf.DUMMYFUNCTION("""COMPUTED_VALUE"""),550.0)</f>
        <v>550</v>
      </c>
      <c r="D967" s="1">
        <f>IFERROR(__xludf.DUMMYFUNCTION("""COMPUTED_VALUE"""),550.0)</f>
        <v>550</v>
      </c>
      <c r="E967" s="1">
        <f>IFERROR(__xludf.DUMMYFUNCTION("""COMPUTED_VALUE"""),0.0)</f>
        <v>0</v>
      </c>
    </row>
    <row r="968">
      <c r="A968" s="1" t="str">
        <f>IFERROR(__xludf.DUMMYFUNCTION("""COMPUTED_VALUE"""),"XBOA020X19C0")</f>
        <v>XBOA020X19C0</v>
      </c>
      <c r="B968" s="1">
        <f>IFERROR(__xludf.DUMMYFUNCTION("""COMPUTED_VALUE"""),776.0)</f>
        <v>776</v>
      </c>
      <c r="C968" s="1">
        <f>IFERROR(__xludf.DUMMYFUNCTION("""COMPUTED_VALUE"""),875.0)</f>
        <v>875</v>
      </c>
      <c r="D968" s="1">
        <f>IFERROR(__xludf.DUMMYFUNCTION("""COMPUTED_VALUE"""),776.0)</f>
        <v>776</v>
      </c>
      <c r="E968" s="1">
        <f>IFERROR(__xludf.DUMMYFUNCTION("""COMPUTED_VALUE"""),99.0)</f>
        <v>99</v>
      </c>
    </row>
    <row r="969">
      <c r="A969" s="1" t="str">
        <f>IFERROR(__xludf.DUMMYFUNCTION("""COMPUTED_VALUE"""),"XBOA022X19")</f>
        <v>XBOA022X19</v>
      </c>
      <c r="B969" s="1">
        <f>IFERROR(__xludf.DUMMYFUNCTION("""COMPUTED_VALUE"""),1017.0)</f>
        <v>1017</v>
      </c>
      <c r="C969" s="1">
        <f>IFERROR(__xludf.DUMMYFUNCTION("""COMPUTED_VALUE"""),1017.0)</f>
        <v>1017</v>
      </c>
      <c r="D969" s="1">
        <f>IFERROR(__xludf.DUMMYFUNCTION("""COMPUTED_VALUE"""),1017.0)</f>
        <v>1017</v>
      </c>
      <c r="E969" s="1">
        <f>IFERROR(__xludf.DUMMYFUNCTION("""COMPUTED_VALUE"""),0.0)</f>
        <v>0</v>
      </c>
    </row>
    <row r="970">
      <c r="A970" s="1" t="str">
        <f>IFERROR(__xludf.DUMMYFUNCTION("""COMPUTED_VALUE"""),"XBOA025X13")</f>
        <v>XBOA025X13</v>
      </c>
      <c r="B970" s="1">
        <f>IFERROR(__xludf.DUMMYFUNCTION("""COMPUTED_VALUE"""),171.0)</f>
        <v>171</v>
      </c>
      <c r="C970" s="1">
        <f>IFERROR(__xludf.DUMMYFUNCTION("""COMPUTED_VALUE"""),171.0)</f>
        <v>171</v>
      </c>
      <c r="D970" s="1">
        <f>IFERROR(__xludf.DUMMYFUNCTION("""COMPUTED_VALUE"""),171.0)</f>
        <v>171</v>
      </c>
      <c r="E970" s="1">
        <f>IFERROR(__xludf.DUMMYFUNCTION("""COMPUTED_VALUE"""),0.0)</f>
        <v>0</v>
      </c>
    </row>
    <row r="971">
      <c r="A971" s="1" t="str">
        <f>IFERROR(__xludf.DUMMYFUNCTION("""COMPUTED_VALUE"""),"XBOA028X19")</f>
        <v>XBOA028X19</v>
      </c>
      <c r="B971" s="1">
        <f>IFERROR(__xludf.DUMMYFUNCTION("""COMPUTED_VALUE"""),210.0)</f>
        <v>210</v>
      </c>
      <c r="C971" s="1">
        <f>IFERROR(__xludf.DUMMYFUNCTION("""COMPUTED_VALUE"""),210.0)</f>
        <v>210</v>
      </c>
      <c r="D971" s="1">
        <f>IFERROR(__xludf.DUMMYFUNCTION("""COMPUTED_VALUE"""),210.0)</f>
        <v>210</v>
      </c>
      <c r="E971" s="1">
        <f>IFERROR(__xludf.DUMMYFUNCTION("""COMPUTED_VALUE"""),0.0)</f>
        <v>0</v>
      </c>
    </row>
    <row r="972">
      <c r="A972" s="1" t="str">
        <f>IFERROR(__xludf.DUMMYFUNCTION("""COMPUTED_VALUE"""),"XBOA028X19C0")</f>
        <v>XBOA028X19C0</v>
      </c>
      <c r="B972" s="1">
        <f>IFERROR(__xludf.DUMMYFUNCTION("""COMPUTED_VALUE"""),609.0)</f>
        <v>609</v>
      </c>
      <c r="C972" s="1">
        <f>IFERROR(__xludf.DUMMYFUNCTION("""COMPUTED_VALUE"""),1103.0)</f>
        <v>1103</v>
      </c>
      <c r="D972" s="1">
        <f>IFERROR(__xludf.DUMMYFUNCTION("""COMPUTED_VALUE"""),609.0)</f>
        <v>609</v>
      </c>
      <c r="E972" s="1">
        <f>IFERROR(__xludf.DUMMYFUNCTION("""COMPUTED_VALUE"""),494.0)</f>
        <v>494</v>
      </c>
    </row>
    <row r="973">
      <c r="A973" s="1" t="str">
        <f>IFERROR(__xludf.DUMMYFUNCTION("""COMPUTED_VALUE"""),"XBOA028X25C0")</f>
        <v>XBOA028X25C0</v>
      </c>
      <c r="B973" s="1">
        <f>IFERROR(__xludf.DUMMYFUNCTION("""COMPUTED_VALUE"""),26.0)</f>
        <v>26</v>
      </c>
      <c r="C973" s="1">
        <f>IFERROR(__xludf.DUMMYFUNCTION("""COMPUTED_VALUE"""),26.0)</f>
        <v>26</v>
      </c>
      <c r="D973" s="1">
        <f>IFERROR(__xludf.DUMMYFUNCTION("""COMPUTED_VALUE"""),26.0)</f>
        <v>26</v>
      </c>
      <c r="E973" s="1">
        <f>IFERROR(__xludf.DUMMYFUNCTION("""COMPUTED_VALUE"""),0.0)</f>
        <v>0</v>
      </c>
    </row>
    <row r="974">
      <c r="A974" s="1" t="str">
        <f>IFERROR(__xludf.DUMMYFUNCTION("""COMPUTED_VALUE"""),"XBOA028X32")</f>
        <v>XBOA028X32</v>
      </c>
      <c r="B974" s="1">
        <f>IFERROR(__xludf.DUMMYFUNCTION("""COMPUTED_VALUE"""),86.0)</f>
        <v>86</v>
      </c>
      <c r="C974" s="1">
        <f>IFERROR(__xludf.DUMMYFUNCTION("""COMPUTED_VALUE"""),86.0)</f>
        <v>86</v>
      </c>
      <c r="D974" s="1">
        <f>IFERROR(__xludf.DUMMYFUNCTION("""COMPUTED_VALUE"""),86.0)</f>
        <v>86</v>
      </c>
      <c r="E974" s="1">
        <f>IFERROR(__xludf.DUMMYFUNCTION("""COMPUTED_VALUE"""),0.0)</f>
        <v>0</v>
      </c>
    </row>
    <row r="975">
      <c r="A975" s="1" t="str">
        <f>IFERROR(__xludf.DUMMYFUNCTION("""COMPUTED_VALUE"""),"XBOA032X09C0")</f>
        <v>XBOA032X09C0</v>
      </c>
      <c r="B975" s="1">
        <f>IFERROR(__xludf.DUMMYFUNCTION("""COMPUTED_VALUE"""),126.0)</f>
        <v>126</v>
      </c>
      <c r="C975" s="1">
        <f>IFERROR(__xludf.DUMMYFUNCTION("""COMPUTED_VALUE"""),126.0)</f>
        <v>126</v>
      </c>
      <c r="D975" s="1">
        <f>IFERROR(__xludf.DUMMYFUNCTION("""COMPUTED_VALUE"""),126.0)</f>
        <v>126</v>
      </c>
      <c r="E975" s="1">
        <f>IFERROR(__xludf.DUMMYFUNCTION("""COMPUTED_VALUE"""),0.0)</f>
        <v>0</v>
      </c>
    </row>
    <row r="976">
      <c r="A976" s="1" t="str">
        <f>IFERROR(__xludf.DUMMYFUNCTION("""COMPUTED_VALUE"""),"XBOA032X19")</f>
        <v>XBOA032X19</v>
      </c>
      <c r="B976" s="1">
        <f>IFERROR(__xludf.DUMMYFUNCTION("""COMPUTED_VALUE"""),52.0)</f>
        <v>52</v>
      </c>
      <c r="C976" s="1">
        <f>IFERROR(__xludf.DUMMYFUNCTION("""COMPUTED_VALUE"""),52.0)</f>
        <v>52</v>
      </c>
      <c r="D976" s="1">
        <f>IFERROR(__xludf.DUMMYFUNCTION("""COMPUTED_VALUE"""),52.0)</f>
        <v>52</v>
      </c>
      <c r="E976" s="1">
        <f>IFERROR(__xludf.DUMMYFUNCTION("""COMPUTED_VALUE"""),0.0)</f>
        <v>0</v>
      </c>
    </row>
    <row r="977">
      <c r="A977" s="1" t="str">
        <f>IFERROR(__xludf.DUMMYFUNCTION("""COMPUTED_VALUE"""),"XBOA035X13")</f>
        <v>XBOA035X13</v>
      </c>
      <c r="B977" s="1">
        <f>IFERROR(__xludf.DUMMYFUNCTION("""COMPUTED_VALUE"""),726.0)</f>
        <v>726</v>
      </c>
      <c r="C977" s="1">
        <f>IFERROR(__xludf.DUMMYFUNCTION("""COMPUTED_VALUE"""),726.0)</f>
        <v>726</v>
      </c>
      <c r="D977" s="1">
        <f>IFERROR(__xludf.DUMMYFUNCTION("""COMPUTED_VALUE"""),726.0)</f>
        <v>726</v>
      </c>
      <c r="E977" s="1">
        <f>IFERROR(__xludf.DUMMYFUNCTION("""COMPUTED_VALUE"""),0.0)</f>
        <v>0</v>
      </c>
    </row>
    <row r="978">
      <c r="A978" s="1" t="str">
        <f>IFERROR(__xludf.DUMMYFUNCTION("""COMPUTED_VALUE"""),"XBOA035X13C0")</f>
        <v>XBOA035X13C0</v>
      </c>
      <c r="B978" s="1">
        <f>IFERROR(__xludf.DUMMYFUNCTION("""COMPUTED_VALUE"""),207.0)</f>
        <v>207</v>
      </c>
      <c r="C978" s="1">
        <f>IFERROR(__xludf.DUMMYFUNCTION("""COMPUTED_VALUE"""),254.0)</f>
        <v>254</v>
      </c>
      <c r="D978" s="1">
        <f>IFERROR(__xludf.DUMMYFUNCTION("""COMPUTED_VALUE"""),207.0)</f>
        <v>207</v>
      </c>
      <c r="E978" s="1">
        <f>IFERROR(__xludf.DUMMYFUNCTION("""COMPUTED_VALUE"""),47.0)</f>
        <v>47</v>
      </c>
    </row>
    <row r="979">
      <c r="A979" s="1" t="str">
        <f>IFERROR(__xludf.DUMMYFUNCTION("""COMPUTED_VALUE"""),"XBOA035X25C0")</f>
        <v>XBOA035X25C0</v>
      </c>
      <c r="B979" s="1">
        <f>IFERROR(__xludf.DUMMYFUNCTION("""COMPUTED_VALUE"""),810.0)</f>
        <v>810</v>
      </c>
      <c r="C979" s="1">
        <f>IFERROR(__xludf.DUMMYFUNCTION("""COMPUTED_VALUE"""),810.0)</f>
        <v>810</v>
      </c>
      <c r="D979" s="1">
        <f>IFERROR(__xludf.DUMMYFUNCTION("""COMPUTED_VALUE"""),810.0)</f>
        <v>810</v>
      </c>
      <c r="E979" s="1">
        <f>IFERROR(__xludf.DUMMYFUNCTION("""COMPUTED_VALUE"""),0.0)</f>
        <v>0</v>
      </c>
    </row>
    <row r="980">
      <c r="A980" s="1" t="str">
        <f>IFERROR(__xludf.DUMMYFUNCTION("""COMPUTED_VALUE"""),"XBOA035X38")</f>
        <v>XBOA035X38</v>
      </c>
      <c r="B980" s="1">
        <f>IFERROR(__xludf.DUMMYFUNCTION("""COMPUTED_VALUE"""),27.0)</f>
        <v>27</v>
      </c>
      <c r="C980" s="1">
        <f>IFERROR(__xludf.DUMMYFUNCTION("""COMPUTED_VALUE"""),27.0)</f>
        <v>27</v>
      </c>
      <c r="D980" s="1">
        <f>IFERROR(__xludf.DUMMYFUNCTION("""COMPUTED_VALUE"""),27.0)</f>
        <v>27</v>
      </c>
      <c r="E980" s="1">
        <f>IFERROR(__xludf.DUMMYFUNCTION("""COMPUTED_VALUE"""),0.0)</f>
        <v>0</v>
      </c>
    </row>
    <row r="981">
      <c r="A981" s="1" t="str">
        <f>IFERROR(__xludf.DUMMYFUNCTION("""COMPUTED_VALUE"""),"XBOA042X09")</f>
        <v>XBOA042X09</v>
      </c>
      <c r="B981" s="1">
        <f>IFERROR(__xludf.DUMMYFUNCTION("""COMPUTED_VALUE"""),280.0)</f>
        <v>280</v>
      </c>
      <c r="C981" s="1">
        <f>IFERROR(__xludf.DUMMYFUNCTION("""COMPUTED_VALUE"""),280.0)</f>
        <v>280</v>
      </c>
      <c r="D981" s="1">
        <f>IFERROR(__xludf.DUMMYFUNCTION("""COMPUTED_VALUE"""),280.0)</f>
        <v>280</v>
      </c>
      <c r="E981" s="1">
        <f>IFERROR(__xludf.DUMMYFUNCTION("""COMPUTED_VALUE"""),0.0)</f>
        <v>0</v>
      </c>
    </row>
    <row r="982">
      <c r="A982" s="1" t="str">
        <f>IFERROR(__xludf.DUMMYFUNCTION("""COMPUTED_VALUE"""),"XBOA042X13")</f>
        <v>XBOA042X13</v>
      </c>
      <c r="B982" s="1">
        <f>IFERROR(__xludf.DUMMYFUNCTION("""COMPUTED_VALUE"""),2277.0)</f>
        <v>2277</v>
      </c>
      <c r="C982" s="1">
        <f>IFERROR(__xludf.DUMMYFUNCTION("""COMPUTED_VALUE"""),2277.0)</f>
        <v>2277</v>
      </c>
      <c r="D982" s="1">
        <f>IFERROR(__xludf.DUMMYFUNCTION("""COMPUTED_VALUE"""),2277.0)</f>
        <v>2277</v>
      </c>
      <c r="E982" s="1">
        <f>IFERROR(__xludf.DUMMYFUNCTION("""COMPUTED_VALUE"""),0.0)</f>
        <v>0</v>
      </c>
    </row>
    <row r="983">
      <c r="A983" s="1" t="str">
        <f>IFERROR(__xludf.DUMMYFUNCTION("""COMPUTED_VALUE"""),"XBOA048X38")</f>
        <v>XBOA048X38</v>
      </c>
      <c r="B983" s="1">
        <f>IFERROR(__xludf.DUMMYFUNCTION("""COMPUTED_VALUE"""),3.0)</f>
        <v>3</v>
      </c>
      <c r="C983" s="1">
        <f>IFERROR(__xludf.DUMMYFUNCTION("""COMPUTED_VALUE"""),3.0)</f>
        <v>3</v>
      </c>
      <c r="D983" s="1">
        <f>IFERROR(__xludf.DUMMYFUNCTION("""COMPUTED_VALUE"""),3.0)</f>
        <v>3</v>
      </c>
      <c r="E983" s="1">
        <f>IFERROR(__xludf.DUMMYFUNCTION("""COMPUTED_VALUE"""),0.0)</f>
        <v>0</v>
      </c>
    </row>
    <row r="984">
      <c r="A984" s="1" t="str">
        <f>IFERROR(__xludf.DUMMYFUNCTION("""COMPUTED_VALUE"""),"XBOA060X13")</f>
        <v>XBOA060X13</v>
      </c>
      <c r="B984" s="1">
        <f>IFERROR(__xludf.DUMMYFUNCTION("""COMPUTED_VALUE"""),737.0)</f>
        <v>737</v>
      </c>
      <c r="C984" s="1">
        <f>IFERROR(__xludf.DUMMYFUNCTION("""COMPUTED_VALUE"""),737.0)</f>
        <v>737</v>
      </c>
      <c r="D984" s="1">
        <f>IFERROR(__xludf.DUMMYFUNCTION("""COMPUTED_VALUE"""),737.0)</f>
        <v>737</v>
      </c>
      <c r="E984" s="1">
        <f>IFERROR(__xludf.DUMMYFUNCTION("""COMPUTED_VALUE"""),0.0)</f>
        <v>0</v>
      </c>
    </row>
    <row r="985">
      <c r="A985" s="1" t="str">
        <f>IFERROR(__xludf.DUMMYFUNCTION("""COMPUTED_VALUE"""),"XBOA060X13C0")</f>
        <v>XBOA060X13C0</v>
      </c>
      <c r="B985" s="1">
        <f>IFERROR(__xludf.DUMMYFUNCTION("""COMPUTED_VALUE"""),61.0)</f>
        <v>61</v>
      </c>
      <c r="C985" s="1">
        <f>IFERROR(__xludf.DUMMYFUNCTION("""COMPUTED_VALUE"""),61.0)</f>
        <v>61</v>
      </c>
      <c r="D985" s="1">
        <f>IFERROR(__xludf.DUMMYFUNCTION("""COMPUTED_VALUE"""),61.0)</f>
        <v>61</v>
      </c>
      <c r="E985" s="1">
        <f>IFERROR(__xludf.DUMMYFUNCTION("""COMPUTED_VALUE"""),0.0)</f>
        <v>0</v>
      </c>
    </row>
    <row r="986">
      <c r="A986" s="1" t="str">
        <f>IFERROR(__xludf.DUMMYFUNCTION("""COMPUTED_VALUE"""),"XBOA060X25C0")</f>
        <v>XBOA060X25C0</v>
      </c>
      <c r="B986" s="1">
        <f>IFERROR(__xludf.DUMMYFUNCTION("""COMPUTED_VALUE"""),4.0)</f>
        <v>4</v>
      </c>
      <c r="C986" s="1">
        <f>IFERROR(__xludf.DUMMYFUNCTION("""COMPUTED_VALUE"""),32.0)</f>
        <v>32</v>
      </c>
      <c r="D986" s="1">
        <f>IFERROR(__xludf.DUMMYFUNCTION("""COMPUTED_VALUE"""),4.0)</f>
        <v>4</v>
      </c>
      <c r="E986" s="1">
        <f>IFERROR(__xludf.DUMMYFUNCTION("""COMPUTED_VALUE"""),28.0)</f>
        <v>28</v>
      </c>
    </row>
    <row r="987">
      <c r="A987" s="1" t="str">
        <f>IFERROR(__xludf.DUMMYFUNCTION("""COMPUTED_VALUE"""),"XBOA060X38")</f>
        <v>XBOA060X38</v>
      </c>
      <c r="B987" s="1">
        <f>IFERROR(__xludf.DUMMYFUNCTION("""COMPUTED_VALUE"""),1.0)</f>
        <v>1</v>
      </c>
      <c r="C987" s="1">
        <f>IFERROR(__xludf.DUMMYFUNCTION("""COMPUTED_VALUE"""),1.0)</f>
        <v>1</v>
      </c>
      <c r="D987" s="1">
        <f>IFERROR(__xludf.DUMMYFUNCTION("""COMPUTED_VALUE"""),1.0)</f>
        <v>1</v>
      </c>
      <c r="E987" s="1">
        <f>IFERROR(__xludf.DUMMYFUNCTION("""COMPUTED_VALUE"""),0.0)</f>
        <v>0</v>
      </c>
    </row>
    <row r="988">
      <c r="A988" s="1" t="str">
        <f>IFERROR(__xludf.DUMMYFUNCTION("""COMPUTED_VALUE"""),"XBOA060X40C0")</f>
        <v>XBOA060X40C0</v>
      </c>
      <c r="B988" s="1">
        <f>IFERROR(__xludf.DUMMYFUNCTION("""COMPUTED_VALUE"""),5.0)</f>
        <v>5</v>
      </c>
      <c r="C988" s="1">
        <f>IFERROR(__xludf.DUMMYFUNCTION("""COMPUTED_VALUE"""),5.0)</f>
        <v>5</v>
      </c>
      <c r="D988" s="1">
        <f>IFERROR(__xludf.DUMMYFUNCTION("""COMPUTED_VALUE"""),5.0)</f>
        <v>5</v>
      </c>
      <c r="E988" s="1">
        <f>IFERROR(__xludf.DUMMYFUNCTION("""COMPUTED_VALUE"""),0.0)</f>
        <v>0</v>
      </c>
    </row>
    <row r="989">
      <c r="A989" s="1" t="str">
        <f>IFERROR(__xludf.DUMMYFUNCTION("""COMPUTED_VALUE"""),"XBOA076X50C0")</f>
        <v>XBOA076X50C0</v>
      </c>
      <c r="B989" s="1">
        <f>IFERROR(__xludf.DUMMYFUNCTION("""COMPUTED_VALUE"""),6.0)</f>
        <v>6</v>
      </c>
      <c r="C989" s="1">
        <f>IFERROR(__xludf.DUMMYFUNCTION("""COMPUTED_VALUE"""),6.0)</f>
        <v>6</v>
      </c>
      <c r="D989" s="1">
        <f>IFERROR(__xludf.DUMMYFUNCTION("""COMPUTED_VALUE"""),6.0)</f>
        <v>6</v>
      </c>
      <c r="E989" s="1">
        <f>IFERROR(__xludf.DUMMYFUNCTION("""COMPUTED_VALUE"""),0.0)</f>
        <v>0</v>
      </c>
    </row>
    <row r="990">
      <c r="A990" s="1" t="str">
        <f>IFERROR(__xludf.DUMMYFUNCTION("""COMPUTED_VALUE"""),"XBOA089X25")</f>
        <v>XBOA089X25</v>
      </c>
      <c r="B990" s="1">
        <f>IFERROR(__xludf.DUMMYFUNCTION("""COMPUTED_VALUE"""),69.0)</f>
        <v>69</v>
      </c>
      <c r="C990" s="1">
        <f>IFERROR(__xludf.DUMMYFUNCTION("""COMPUTED_VALUE"""),69.0)</f>
        <v>69</v>
      </c>
      <c r="D990" s="1">
        <f>IFERROR(__xludf.DUMMYFUNCTION("""COMPUTED_VALUE"""),69.0)</f>
        <v>69</v>
      </c>
      <c r="E990" s="1">
        <f>IFERROR(__xludf.DUMMYFUNCTION("""COMPUTED_VALUE"""),0.0)</f>
        <v>0</v>
      </c>
    </row>
    <row r="991">
      <c r="A991" s="1" t="str">
        <f>IFERROR(__xludf.DUMMYFUNCTION("""COMPUTED_VALUE"""),"XBOA089X38")</f>
        <v>XBOA089X38</v>
      </c>
      <c r="B991" s="1">
        <f>IFERROR(__xludf.DUMMYFUNCTION("""COMPUTED_VALUE"""),12.0)</f>
        <v>12</v>
      </c>
      <c r="C991" s="1">
        <f>IFERROR(__xludf.DUMMYFUNCTION("""COMPUTED_VALUE"""),12.0)</f>
        <v>12</v>
      </c>
      <c r="D991" s="1">
        <f>IFERROR(__xludf.DUMMYFUNCTION("""COMPUTED_VALUE"""),12.0)</f>
        <v>12</v>
      </c>
      <c r="E991" s="1">
        <f>IFERROR(__xludf.DUMMYFUNCTION("""COMPUTED_VALUE"""),0.0)</f>
        <v>0</v>
      </c>
    </row>
    <row r="992">
      <c r="A992" s="1" t="str">
        <f>IFERROR(__xludf.DUMMYFUNCTION("""COMPUTED_VALUE"""),"XBOA089X50")</f>
        <v>XBOA089X50</v>
      </c>
      <c r="B992" s="1">
        <f>IFERROR(__xludf.DUMMYFUNCTION("""COMPUTED_VALUE"""),5.0)</f>
        <v>5</v>
      </c>
      <c r="C992" s="1">
        <f>IFERROR(__xludf.DUMMYFUNCTION("""COMPUTED_VALUE"""),5.0)</f>
        <v>5</v>
      </c>
      <c r="D992" s="1">
        <f>IFERROR(__xludf.DUMMYFUNCTION("""COMPUTED_VALUE"""),5.0)</f>
        <v>5</v>
      </c>
      <c r="E992" s="1">
        <f>IFERROR(__xludf.DUMMYFUNCTION("""COMPUTED_VALUE"""),0.0)</f>
        <v>0</v>
      </c>
    </row>
    <row r="993">
      <c r="A993" s="1" t="str">
        <f>IFERROR(__xludf.DUMMYFUNCTION("""COMPUTED_VALUE"""),"XBOA089X50C0")</f>
        <v>XBOA089X50C0</v>
      </c>
      <c r="B993" s="1">
        <f>IFERROR(__xludf.DUMMYFUNCTION("""COMPUTED_VALUE"""),50.0)</f>
        <v>50</v>
      </c>
      <c r="C993" s="1">
        <f>IFERROR(__xludf.DUMMYFUNCTION("""COMPUTED_VALUE"""),50.0)</f>
        <v>50</v>
      </c>
      <c r="D993" s="1">
        <f>IFERROR(__xludf.DUMMYFUNCTION("""COMPUTED_VALUE"""),50.0)</f>
        <v>50</v>
      </c>
      <c r="E993" s="1">
        <f>IFERROR(__xludf.DUMMYFUNCTION("""COMPUTED_VALUE"""),0.0)</f>
        <v>0</v>
      </c>
    </row>
    <row r="994">
      <c r="A994" s="1" t="str">
        <f>IFERROR(__xludf.DUMMYFUNCTION("""COMPUTED_VALUE"""),"XBOA114X38")</f>
        <v>XBOA114X38</v>
      </c>
      <c r="B994" s="1">
        <f>IFERROR(__xludf.DUMMYFUNCTION("""COMPUTED_VALUE"""),28.0)</f>
        <v>28</v>
      </c>
      <c r="C994" s="1">
        <f>IFERROR(__xludf.DUMMYFUNCTION("""COMPUTED_VALUE"""),28.0)</f>
        <v>28</v>
      </c>
      <c r="D994" s="1">
        <f>IFERROR(__xludf.DUMMYFUNCTION("""COMPUTED_VALUE"""),28.0)</f>
        <v>28</v>
      </c>
      <c r="E994" s="1">
        <f>IFERROR(__xludf.DUMMYFUNCTION("""COMPUTED_VALUE"""),0.0)</f>
        <v>0</v>
      </c>
    </row>
    <row r="995">
      <c r="A995" s="1" t="str">
        <f>IFERROR(__xludf.DUMMYFUNCTION("""COMPUTED_VALUE"""),"XBOAE00613")</f>
        <v>XBOAE00613</v>
      </c>
      <c r="B995" s="1">
        <f>IFERROR(__xludf.DUMMYFUNCTION("""COMPUTED_VALUE"""),7507.0)</f>
        <v>7507</v>
      </c>
      <c r="C995" s="1">
        <f>IFERROR(__xludf.DUMMYFUNCTION("""COMPUTED_VALUE"""),9816.0)</f>
        <v>9816</v>
      </c>
      <c r="D995" s="1">
        <f>IFERROR(__xludf.DUMMYFUNCTION("""COMPUTED_VALUE"""),7507.0)</f>
        <v>7507</v>
      </c>
      <c r="E995" s="1">
        <f>IFERROR(__xludf.DUMMYFUNCTION("""COMPUTED_VALUE"""),2309.0)</f>
        <v>2309</v>
      </c>
    </row>
    <row r="996">
      <c r="A996" s="1" t="str">
        <f>IFERROR(__xludf.DUMMYFUNCTION("""COMPUTED_VALUE"""),"XBOAE00619")</f>
        <v>XBOAE00619</v>
      </c>
      <c r="B996" s="1">
        <f>IFERROR(__xludf.DUMMYFUNCTION("""COMPUTED_VALUE"""),6235.0)</f>
        <v>6235</v>
      </c>
      <c r="C996" s="1">
        <f>IFERROR(__xludf.DUMMYFUNCTION("""COMPUTED_VALUE"""),6807.0)</f>
        <v>6807</v>
      </c>
      <c r="D996" s="1">
        <f>IFERROR(__xludf.DUMMYFUNCTION("""COMPUTED_VALUE"""),6235.0)</f>
        <v>6235</v>
      </c>
      <c r="E996" s="1">
        <f>IFERROR(__xludf.DUMMYFUNCTION("""COMPUTED_VALUE"""),572.0)</f>
        <v>572</v>
      </c>
    </row>
    <row r="997">
      <c r="A997" s="1" t="str">
        <f>IFERROR(__xludf.DUMMYFUNCTION("""COMPUTED_VALUE"""),"XBOAE01013")</f>
        <v>XBOAE01013</v>
      </c>
      <c r="B997" s="1">
        <f>IFERROR(__xludf.DUMMYFUNCTION("""COMPUTED_VALUE"""),3617.0)</f>
        <v>3617</v>
      </c>
      <c r="C997" s="1">
        <f>IFERROR(__xludf.DUMMYFUNCTION("""COMPUTED_VALUE"""),5106.0)</f>
        <v>5106</v>
      </c>
      <c r="D997" s="1">
        <f>IFERROR(__xludf.DUMMYFUNCTION("""COMPUTED_VALUE"""),3617.0)</f>
        <v>3617</v>
      </c>
      <c r="E997" s="1">
        <f>IFERROR(__xludf.DUMMYFUNCTION("""COMPUTED_VALUE"""),1489.0)</f>
        <v>1489</v>
      </c>
    </row>
    <row r="998">
      <c r="A998" s="1" t="str">
        <f>IFERROR(__xludf.DUMMYFUNCTION("""COMPUTED_VALUE"""),"XBOAE01019")</f>
        <v>XBOAE01019</v>
      </c>
      <c r="B998" s="1">
        <f>IFERROR(__xludf.DUMMYFUNCTION("""COMPUTED_VALUE"""),1506.0)</f>
        <v>1506</v>
      </c>
      <c r="C998" s="1">
        <f>IFERROR(__xludf.DUMMYFUNCTION("""COMPUTED_VALUE"""),1878.0)</f>
        <v>1878</v>
      </c>
      <c r="D998" s="1">
        <f>IFERROR(__xludf.DUMMYFUNCTION("""COMPUTED_VALUE"""),1506.0)</f>
        <v>1506</v>
      </c>
      <c r="E998" s="1">
        <f>IFERROR(__xludf.DUMMYFUNCTION("""COMPUTED_VALUE"""),372.0)</f>
        <v>372</v>
      </c>
    </row>
    <row r="999">
      <c r="A999" s="1" t="str">
        <f>IFERROR(__xludf.DUMMYFUNCTION("""COMPUTED_VALUE"""),"XBOAE01025")</f>
        <v>XBOAE01025</v>
      </c>
      <c r="B999" s="1">
        <f>IFERROR(__xludf.DUMMYFUNCTION("""COMPUTED_VALUE"""),301.0)</f>
        <v>301</v>
      </c>
      <c r="C999" s="1">
        <f>IFERROR(__xludf.DUMMYFUNCTION("""COMPUTED_VALUE"""),301.0)</f>
        <v>301</v>
      </c>
      <c r="D999" s="1">
        <f>IFERROR(__xludf.DUMMYFUNCTION("""COMPUTED_VALUE"""),301.0)</f>
        <v>301</v>
      </c>
      <c r="E999" s="1">
        <f>IFERROR(__xludf.DUMMYFUNCTION("""COMPUTED_VALUE"""),0.0)</f>
        <v>0</v>
      </c>
    </row>
    <row r="1000">
      <c r="A1000" s="1" t="str">
        <f>IFERROR(__xludf.DUMMYFUNCTION("""COMPUTED_VALUE"""),"XBOAE01313")</f>
        <v>XBOAE01313</v>
      </c>
      <c r="B1000" s="1">
        <f>IFERROR(__xludf.DUMMYFUNCTION("""COMPUTED_VALUE"""),4293.0)</f>
        <v>4293</v>
      </c>
      <c r="C1000" s="1">
        <f>IFERROR(__xludf.DUMMYFUNCTION("""COMPUTED_VALUE"""),5490.0)</f>
        <v>5490</v>
      </c>
      <c r="D1000" s="1">
        <f>IFERROR(__xludf.DUMMYFUNCTION("""COMPUTED_VALUE"""),4293.0)</f>
        <v>4293</v>
      </c>
      <c r="E1000" s="1">
        <f>IFERROR(__xludf.DUMMYFUNCTION("""COMPUTED_VALUE"""),1197.0)</f>
        <v>1197</v>
      </c>
    </row>
    <row r="1001">
      <c r="A1001" s="1" t="str">
        <f>IFERROR(__xludf.DUMMYFUNCTION("""COMPUTED_VALUE"""),"XBOAE01319")</f>
        <v>XBOAE01319</v>
      </c>
      <c r="B1001" s="1">
        <f>IFERROR(__xludf.DUMMYFUNCTION("""COMPUTED_VALUE"""),1204.0)</f>
        <v>1204</v>
      </c>
      <c r="C1001" s="1">
        <f>IFERROR(__xludf.DUMMYFUNCTION("""COMPUTED_VALUE"""),1421.0)</f>
        <v>1421</v>
      </c>
      <c r="D1001" s="1">
        <f>IFERROR(__xludf.DUMMYFUNCTION("""COMPUTED_VALUE"""),1204.0)</f>
        <v>1204</v>
      </c>
      <c r="E1001" s="1">
        <f>IFERROR(__xludf.DUMMYFUNCTION("""COMPUTED_VALUE"""),217.0)</f>
        <v>217</v>
      </c>
    </row>
    <row r="1002">
      <c r="A1002" s="1" t="str">
        <f>IFERROR(__xludf.DUMMYFUNCTION("""COMPUTED_VALUE"""),"XBOAE01325")</f>
        <v>XBOAE01325</v>
      </c>
      <c r="B1002" s="1">
        <f>IFERROR(__xludf.DUMMYFUNCTION("""COMPUTED_VALUE"""),722.0)</f>
        <v>722</v>
      </c>
      <c r="C1002" s="1">
        <f>IFERROR(__xludf.DUMMYFUNCTION("""COMPUTED_VALUE"""),722.0)</f>
        <v>722</v>
      </c>
      <c r="D1002" s="1">
        <f>IFERROR(__xludf.DUMMYFUNCTION("""COMPUTED_VALUE"""),722.0)</f>
        <v>722</v>
      </c>
      <c r="E1002" s="1">
        <f>IFERROR(__xludf.DUMMYFUNCTION("""COMPUTED_VALUE"""),0.0)</f>
        <v>0</v>
      </c>
    </row>
    <row r="1003">
      <c r="A1003" s="1" t="str">
        <f>IFERROR(__xludf.DUMMYFUNCTION("""COMPUTED_VALUE"""),"XBOAE01613")</f>
        <v>XBOAE01613</v>
      </c>
      <c r="B1003" s="1">
        <f>IFERROR(__xludf.DUMMYFUNCTION("""COMPUTED_VALUE"""),2707.0)</f>
        <v>2707</v>
      </c>
      <c r="C1003" s="1">
        <f>IFERROR(__xludf.DUMMYFUNCTION("""COMPUTED_VALUE"""),2754.0)</f>
        <v>2754</v>
      </c>
      <c r="D1003" s="1">
        <f>IFERROR(__xludf.DUMMYFUNCTION("""COMPUTED_VALUE"""),2707.0)</f>
        <v>2707</v>
      </c>
      <c r="E1003" s="1">
        <f>IFERROR(__xludf.DUMMYFUNCTION("""COMPUTED_VALUE"""),47.0)</f>
        <v>47</v>
      </c>
    </row>
    <row r="1004">
      <c r="A1004" s="1" t="str">
        <f>IFERROR(__xludf.DUMMYFUNCTION("""COMPUTED_VALUE"""),"XBOAE01619")</f>
        <v>XBOAE01619</v>
      </c>
      <c r="B1004" s="1">
        <f>IFERROR(__xludf.DUMMYFUNCTION("""COMPUTED_VALUE"""),2440.0)</f>
        <v>2440</v>
      </c>
      <c r="C1004" s="1">
        <f>IFERROR(__xludf.DUMMYFUNCTION("""COMPUTED_VALUE"""),2491.0)</f>
        <v>2491</v>
      </c>
      <c r="D1004" s="1">
        <f>IFERROR(__xludf.DUMMYFUNCTION("""COMPUTED_VALUE"""),2440.0)</f>
        <v>2440</v>
      </c>
      <c r="E1004" s="1">
        <f>IFERROR(__xludf.DUMMYFUNCTION("""COMPUTED_VALUE"""),51.0)</f>
        <v>51</v>
      </c>
    </row>
    <row r="1005">
      <c r="A1005" s="1" t="str">
        <f>IFERROR(__xludf.DUMMYFUNCTION("""COMPUTED_VALUE"""),"XBOAE01625")</f>
        <v>XBOAE01625</v>
      </c>
      <c r="B1005" s="1">
        <f>IFERROR(__xludf.DUMMYFUNCTION("""COMPUTED_VALUE"""),592.0)</f>
        <v>592</v>
      </c>
      <c r="C1005" s="1">
        <f>IFERROR(__xludf.DUMMYFUNCTION("""COMPUTED_VALUE"""),592.0)</f>
        <v>592</v>
      </c>
      <c r="D1005" s="1">
        <f>IFERROR(__xludf.DUMMYFUNCTION("""COMPUTED_VALUE"""),592.0)</f>
        <v>592</v>
      </c>
      <c r="E1005" s="1">
        <f>IFERROR(__xludf.DUMMYFUNCTION("""COMPUTED_VALUE"""),0.0)</f>
        <v>0</v>
      </c>
    </row>
    <row r="1006">
      <c r="A1006" s="1" t="str">
        <f>IFERROR(__xludf.DUMMYFUNCTION("""COMPUTED_VALUE"""),"XBOAE01919")</f>
        <v>XBOAE01919</v>
      </c>
      <c r="B1006" s="1">
        <f>IFERROR(__xludf.DUMMYFUNCTION("""COMPUTED_VALUE"""),2217.0)</f>
        <v>2217</v>
      </c>
      <c r="C1006" s="1">
        <f>IFERROR(__xludf.DUMMYFUNCTION("""COMPUTED_VALUE"""),2252.0)</f>
        <v>2252</v>
      </c>
      <c r="D1006" s="1">
        <f>IFERROR(__xludf.DUMMYFUNCTION("""COMPUTED_VALUE"""),2217.0)</f>
        <v>2217</v>
      </c>
      <c r="E1006" s="1">
        <f>IFERROR(__xludf.DUMMYFUNCTION("""COMPUTED_VALUE"""),35.0)</f>
        <v>35</v>
      </c>
    </row>
    <row r="1007">
      <c r="A1007" s="1" t="str">
        <f>IFERROR(__xludf.DUMMYFUNCTION("""COMPUTED_VALUE"""),"XBOAE01925")</f>
        <v>XBOAE01925</v>
      </c>
      <c r="B1007" s="1">
        <f>IFERROR(__xludf.DUMMYFUNCTION("""COMPUTED_VALUE"""),886.0)</f>
        <v>886</v>
      </c>
      <c r="C1007" s="1">
        <f>IFERROR(__xludf.DUMMYFUNCTION("""COMPUTED_VALUE"""),886.0)</f>
        <v>886</v>
      </c>
      <c r="D1007" s="1">
        <f>IFERROR(__xludf.DUMMYFUNCTION("""COMPUTED_VALUE"""),886.0)</f>
        <v>886</v>
      </c>
      <c r="E1007" s="1">
        <f>IFERROR(__xludf.DUMMYFUNCTION("""COMPUTED_VALUE"""),0.0)</f>
        <v>0</v>
      </c>
    </row>
    <row r="1008">
      <c r="A1008" s="1" t="str">
        <f>IFERROR(__xludf.DUMMYFUNCTION("""COMPUTED_VALUE"""),"XBOAE02213")</f>
        <v>XBOAE02213</v>
      </c>
      <c r="B1008" s="1">
        <f>IFERROR(__xludf.DUMMYFUNCTION("""COMPUTED_VALUE"""),1629.0)</f>
        <v>1629</v>
      </c>
      <c r="C1008" s="1">
        <f>IFERROR(__xludf.DUMMYFUNCTION("""COMPUTED_VALUE"""),2300.0)</f>
        <v>2300</v>
      </c>
      <c r="D1008" s="1">
        <f>IFERROR(__xludf.DUMMYFUNCTION("""COMPUTED_VALUE"""),1629.0)</f>
        <v>1629</v>
      </c>
      <c r="E1008" s="1">
        <f>IFERROR(__xludf.DUMMYFUNCTION("""COMPUTED_VALUE"""),671.0)</f>
        <v>671</v>
      </c>
    </row>
    <row r="1009">
      <c r="A1009" s="1" t="str">
        <f>IFERROR(__xludf.DUMMYFUNCTION("""COMPUTED_VALUE"""),"XBOAE02219")</f>
        <v>XBOAE02219</v>
      </c>
      <c r="B1009" s="1">
        <f>IFERROR(__xludf.DUMMYFUNCTION("""COMPUTED_VALUE"""),1010.0)</f>
        <v>1010</v>
      </c>
      <c r="C1009" s="1">
        <f>IFERROR(__xludf.DUMMYFUNCTION("""COMPUTED_VALUE"""),1207.0)</f>
        <v>1207</v>
      </c>
      <c r="D1009" s="1">
        <f>IFERROR(__xludf.DUMMYFUNCTION("""COMPUTED_VALUE"""),1010.0)</f>
        <v>1010</v>
      </c>
      <c r="E1009" s="1">
        <f>IFERROR(__xludf.DUMMYFUNCTION("""COMPUTED_VALUE"""),197.0)</f>
        <v>197</v>
      </c>
    </row>
    <row r="1010">
      <c r="A1010" s="1" t="str">
        <f>IFERROR(__xludf.DUMMYFUNCTION("""COMPUTED_VALUE"""),"XBOAE02225")</f>
        <v>XBOAE02225</v>
      </c>
      <c r="B1010" s="1">
        <f>IFERROR(__xludf.DUMMYFUNCTION("""COMPUTED_VALUE"""),266.0)</f>
        <v>266</v>
      </c>
      <c r="C1010" s="1">
        <f>IFERROR(__xludf.DUMMYFUNCTION("""COMPUTED_VALUE"""),426.0)</f>
        <v>426</v>
      </c>
      <c r="D1010" s="1">
        <f>IFERROR(__xludf.DUMMYFUNCTION("""COMPUTED_VALUE"""),266.0)</f>
        <v>266</v>
      </c>
      <c r="E1010" s="1">
        <f>IFERROR(__xludf.DUMMYFUNCTION("""COMPUTED_VALUE"""),160.0)</f>
        <v>160</v>
      </c>
    </row>
    <row r="1011">
      <c r="A1011" s="1" t="str">
        <f>IFERROR(__xludf.DUMMYFUNCTION("""COMPUTED_VALUE"""),"XBOAE02519")</f>
        <v>XBOAE02519</v>
      </c>
      <c r="B1011" s="1">
        <f>IFERROR(__xludf.DUMMYFUNCTION("""COMPUTED_VALUE"""),191.0)</f>
        <v>191</v>
      </c>
      <c r="C1011" s="1">
        <f>IFERROR(__xludf.DUMMYFUNCTION("""COMPUTED_VALUE"""),191.0)</f>
        <v>191</v>
      </c>
      <c r="D1011" s="1">
        <f>IFERROR(__xludf.DUMMYFUNCTION("""COMPUTED_VALUE"""),191.0)</f>
        <v>191</v>
      </c>
      <c r="E1011" s="1">
        <f>IFERROR(__xludf.DUMMYFUNCTION("""COMPUTED_VALUE"""),0.0)</f>
        <v>0</v>
      </c>
    </row>
    <row r="1012">
      <c r="A1012" s="1" t="str">
        <f>IFERROR(__xludf.DUMMYFUNCTION("""COMPUTED_VALUE"""),"XBOAE02525")</f>
        <v>XBOAE02525</v>
      </c>
      <c r="B1012" s="1">
        <f>IFERROR(__xludf.DUMMYFUNCTION("""COMPUTED_VALUE"""),7.0)</f>
        <v>7</v>
      </c>
      <c r="C1012" s="1">
        <f>IFERROR(__xludf.DUMMYFUNCTION("""COMPUTED_VALUE"""),7.0)</f>
        <v>7</v>
      </c>
      <c r="D1012" s="1">
        <f>IFERROR(__xludf.DUMMYFUNCTION("""COMPUTED_VALUE"""),7.0)</f>
        <v>7</v>
      </c>
      <c r="E1012" s="1">
        <f>IFERROR(__xludf.DUMMYFUNCTION("""COMPUTED_VALUE"""),0.0)</f>
        <v>0</v>
      </c>
    </row>
    <row r="1013">
      <c r="A1013" s="1" t="str">
        <f>IFERROR(__xludf.DUMMYFUNCTION("""COMPUTED_VALUE"""),"XBOAE02809")</f>
        <v>XBOAE02809</v>
      </c>
      <c r="B1013" s="1">
        <f>IFERROR(__xludf.DUMMYFUNCTION("""COMPUTED_VALUE"""),1340.0)</f>
        <v>1340</v>
      </c>
      <c r="C1013" s="1">
        <f>IFERROR(__xludf.DUMMYFUNCTION("""COMPUTED_VALUE"""),1340.0)</f>
        <v>1340</v>
      </c>
      <c r="D1013" s="1">
        <f>IFERROR(__xludf.DUMMYFUNCTION("""COMPUTED_VALUE"""),1340.0)</f>
        <v>1340</v>
      </c>
      <c r="E1013" s="1">
        <f>IFERROR(__xludf.DUMMYFUNCTION("""COMPUTED_VALUE"""),0.0)</f>
        <v>0</v>
      </c>
    </row>
    <row r="1014">
      <c r="A1014" s="1" t="str">
        <f>IFERROR(__xludf.DUMMYFUNCTION("""COMPUTED_VALUE"""),"XBOAE02813")</f>
        <v>XBOAE02813</v>
      </c>
      <c r="B1014" s="1">
        <f>IFERROR(__xludf.DUMMYFUNCTION("""COMPUTED_VALUE"""),1399.0)</f>
        <v>1399</v>
      </c>
      <c r="C1014" s="1">
        <f>IFERROR(__xludf.DUMMYFUNCTION("""COMPUTED_VALUE"""),2027.0)</f>
        <v>2027</v>
      </c>
      <c r="D1014" s="1">
        <f>IFERROR(__xludf.DUMMYFUNCTION("""COMPUTED_VALUE"""),1399.0)</f>
        <v>1399</v>
      </c>
      <c r="E1014" s="1">
        <f>IFERROR(__xludf.DUMMYFUNCTION("""COMPUTED_VALUE"""),628.0)</f>
        <v>628</v>
      </c>
    </row>
    <row r="1015">
      <c r="A1015" s="1" t="str">
        <f>IFERROR(__xludf.DUMMYFUNCTION("""COMPUTED_VALUE"""),"XBOAE02819")</f>
        <v>XBOAE02819</v>
      </c>
      <c r="B1015" s="1">
        <f>IFERROR(__xludf.DUMMYFUNCTION("""COMPUTED_VALUE"""),2168.0)</f>
        <v>2168</v>
      </c>
      <c r="C1015" s="1">
        <f>IFERROR(__xludf.DUMMYFUNCTION("""COMPUTED_VALUE"""),2259.0)</f>
        <v>2259</v>
      </c>
      <c r="D1015" s="1">
        <f>IFERROR(__xludf.DUMMYFUNCTION("""COMPUTED_VALUE"""),2168.0)</f>
        <v>2168</v>
      </c>
      <c r="E1015" s="1">
        <f>IFERROR(__xludf.DUMMYFUNCTION("""COMPUTED_VALUE"""),91.0)</f>
        <v>91</v>
      </c>
    </row>
    <row r="1016">
      <c r="A1016" s="1" t="str">
        <f>IFERROR(__xludf.DUMMYFUNCTION("""COMPUTED_VALUE"""),"XBOAE02825")</f>
        <v>XBOAE02825</v>
      </c>
      <c r="B1016" s="1">
        <f>IFERROR(__xludf.DUMMYFUNCTION("""COMPUTED_VALUE"""),827.0)</f>
        <v>827</v>
      </c>
      <c r="C1016" s="1">
        <f>IFERROR(__xludf.DUMMYFUNCTION("""COMPUTED_VALUE"""),897.0)</f>
        <v>897</v>
      </c>
      <c r="D1016" s="1">
        <f>IFERROR(__xludf.DUMMYFUNCTION("""COMPUTED_VALUE"""),827.0)</f>
        <v>827</v>
      </c>
      <c r="E1016" s="1">
        <f>IFERROR(__xludf.DUMMYFUNCTION("""COMPUTED_VALUE"""),70.0)</f>
        <v>70</v>
      </c>
    </row>
    <row r="1017">
      <c r="A1017" s="1" t="str">
        <f>IFERROR(__xludf.DUMMYFUNCTION("""COMPUTED_VALUE"""),"XBOAE03219")</f>
        <v>XBOAE03219</v>
      </c>
      <c r="B1017" s="1">
        <f>IFERROR(__xludf.DUMMYFUNCTION("""COMPUTED_VALUE"""),2.0)</f>
        <v>2</v>
      </c>
      <c r="C1017" s="1">
        <f>IFERROR(__xludf.DUMMYFUNCTION("""COMPUTED_VALUE"""),2.0)</f>
        <v>2</v>
      </c>
      <c r="D1017" s="1">
        <f>IFERROR(__xludf.DUMMYFUNCTION("""COMPUTED_VALUE"""),2.0)</f>
        <v>2</v>
      </c>
      <c r="E1017" s="1">
        <f>IFERROR(__xludf.DUMMYFUNCTION("""COMPUTED_VALUE"""),0.0)</f>
        <v>0</v>
      </c>
    </row>
    <row r="1018">
      <c r="A1018" s="1" t="str">
        <f>IFERROR(__xludf.DUMMYFUNCTION("""COMPUTED_VALUE"""),"XBOAE03225")</f>
        <v>XBOAE03225</v>
      </c>
      <c r="B1018" s="1">
        <f>IFERROR(__xludf.DUMMYFUNCTION("""COMPUTED_VALUE"""),319.0)</f>
        <v>319</v>
      </c>
      <c r="C1018" s="1">
        <f>IFERROR(__xludf.DUMMYFUNCTION("""COMPUTED_VALUE"""),319.0)</f>
        <v>319</v>
      </c>
      <c r="D1018" s="1">
        <f>IFERROR(__xludf.DUMMYFUNCTION("""COMPUTED_VALUE"""),319.0)</f>
        <v>319</v>
      </c>
      <c r="E1018" s="1">
        <f>IFERROR(__xludf.DUMMYFUNCTION("""COMPUTED_VALUE"""),0.0)</f>
        <v>0</v>
      </c>
    </row>
    <row r="1019">
      <c r="A1019" s="1" t="str">
        <f>IFERROR(__xludf.DUMMYFUNCTION("""COMPUTED_VALUE"""),"XBOAE03513")</f>
        <v>XBOAE03513</v>
      </c>
      <c r="B1019" s="1">
        <f>IFERROR(__xludf.DUMMYFUNCTION("""COMPUTED_VALUE"""),1314.0)</f>
        <v>1314</v>
      </c>
      <c r="C1019" s="1">
        <f>IFERROR(__xludf.DUMMYFUNCTION("""COMPUTED_VALUE"""),1464.0)</f>
        <v>1464</v>
      </c>
      <c r="D1019" s="1">
        <f>IFERROR(__xludf.DUMMYFUNCTION("""COMPUTED_VALUE"""),1314.0)</f>
        <v>1314</v>
      </c>
      <c r="E1019" s="1">
        <f>IFERROR(__xludf.DUMMYFUNCTION("""COMPUTED_VALUE"""),150.0)</f>
        <v>150</v>
      </c>
    </row>
    <row r="1020">
      <c r="A1020" s="1" t="str">
        <f>IFERROR(__xludf.DUMMYFUNCTION("""COMPUTED_VALUE"""),"XBOAE03519")</f>
        <v>XBOAE03519</v>
      </c>
      <c r="B1020" s="1">
        <f>IFERROR(__xludf.DUMMYFUNCTION("""COMPUTED_VALUE"""),894.0)</f>
        <v>894</v>
      </c>
      <c r="C1020" s="1">
        <f>IFERROR(__xludf.DUMMYFUNCTION("""COMPUTED_VALUE"""),1006.0)</f>
        <v>1006</v>
      </c>
      <c r="D1020" s="1">
        <f>IFERROR(__xludf.DUMMYFUNCTION("""COMPUTED_VALUE"""),894.0)</f>
        <v>894</v>
      </c>
      <c r="E1020" s="1">
        <f>IFERROR(__xludf.DUMMYFUNCTION("""COMPUTED_VALUE"""),112.0)</f>
        <v>112</v>
      </c>
    </row>
    <row r="1021">
      <c r="A1021" s="1" t="str">
        <f>IFERROR(__xludf.DUMMYFUNCTION("""COMPUTED_VALUE"""),"XBOAE03525")</f>
        <v>XBOAE03525</v>
      </c>
      <c r="B1021" s="1">
        <f>IFERROR(__xludf.DUMMYFUNCTION("""COMPUTED_VALUE"""),254.0)</f>
        <v>254</v>
      </c>
      <c r="C1021" s="1">
        <f>IFERROR(__xludf.DUMMYFUNCTION("""COMPUTED_VALUE"""),413.0)</f>
        <v>413</v>
      </c>
      <c r="D1021" s="1">
        <f>IFERROR(__xludf.DUMMYFUNCTION("""COMPUTED_VALUE"""),254.0)</f>
        <v>254</v>
      </c>
      <c r="E1021" s="1">
        <f>IFERROR(__xludf.DUMMYFUNCTION("""COMPUTED_VALUE"""),159.0)</f>
        <v>159</v>
      </c>
    </row>
    <row r="1022">
      <c r="A1022" s="1" t="str">
        <f>IFERROR(__xludf.DUMMYFUNCTION("""COMPUTED_VALUE"""),"XBOAE03819")</f>
        <v>XBOAE03819</v>
      </c>
      <c r="B1022" s="1">
        <f>IFERROR(__xludf.DUMMYFUNCTION("""COMPUTED_VALUE"""),342.0)</f>
        <v>342</v>
      </c>
      <c r="C1022" s="1">
        <f>IFERROR(__xludf.DUMMYFUNCTION("""COMPUTED_VALUE"""),342.0)</f>
        <v>342</v>
      </c>
      <c r="D1022" s="1">
        <f>IFERROR(__xludf.DUMMYFUNCTION("""COMPUTED_VALUE"""),342.0)</f>
        <v>342</v>
      </c>
      <c r="E1022" s="1">
        <f>IFERROR(__xludf.DUMMYFUNCTION("""COMPUTED_VALUE"""),0.0)</f>
        <v>0</v>
      </c>
    </row>
    <row r="1023">
      <c r="A1023" s="1" t="str">
        <f>IFERROR(__xludf.DUMMYFUNCTION("""COMPUTED_VALUE"""),"XBOAE03825")</f>
        <v>XBOAE03825</v>
      </c>
      <c r="B1023" s="1">
        <f>IFERROR(__xludf.DUMMYFUNCTION("""COMPUTED_VALUE"""),300.0)</f>
        <v>300</v>
      </c>
      <c r="C1023" s="1">
        <f>IFERROR(__xludf.DUMMYFUNCTION("""COMPUTED_VALUE"""),300.0)</f>
        <v>300</v>
      </c>
      <c r="D1023" s="1">
        <f>IFERROR(__xludf.DUMMYFUNCTION("""COMPUTED_VALUE"""),300.0)</f>
        <v>300</v>
      </c>
      <c r="E1023" s="1">
        <f>IFERROR(__xludf.DUMMYFUNCTION("""COMPUTED_VALUE"""),0.0)</f>
        <v>0</v>
      </c>
    </row>
    <row r="1024">
      <c r="A1024" s="1" t="str">
        <f>IFERROR(__xludf.DUMMYFUNCTION("""COMPUTED_VALUE"""),"XBOAE04213")</f>
        <v>XBOAE04213</v>
      </c>
      <c r="B1024" s="1">
        <f>IFERROR(__xludf.DUMMYFUNCTION("""COMPUTED_VALUE"""),504.0)</f>
        <v>504</v>
      </c>
      <c r="C1024" s="1">
        <f>IFERROR(__xludf.DUMMYFUNCTION("""COMPUTED_VALUE"""),637.0)</f>
        <v>637</v>
      </c>
      <c r="D1024" s="1">
        <f>IFERROR(__xludf.DUMMYFUNCTION("""COMPUTED_VALUE"""),504.0)</f>
        <v>504</v>
      </c>
      <c r="E1024" s="1">
        <f>IFERROR(__xludf.DUMMYFUNCTION("""COMPUTED_VALUE"""),133.0)</f>
        <v>133</v>
      </c>
    </row>
    <row r="1025">
      <c r="A1025" s="1" t="str">
        <f>IFERROR(__xludf.DUMMYFUNCTION("""COMPUTED_VALUE"""),"XBOAE04219")</f>
        <v>XBOAE04219</v>
      </c>
      <c r="B1025" s="1">
        <f>IFERROR(__xludf.DUMMYFUNCTION("""COMPUTED_VALUE"""),324.0)</f>
        <v>324</v>
      </c>
      <c r="C1025" s="1">
        <f>IFERROR(__xludf.DUMMYFUNCTION("""COMPUTED_VALUE"""),448.0)</f>
        <v>448</v>
      </c>
      <c r="D1025" s="1">
        <f>IFERROR(__xludf.DUMMYFUNCTION("""COMPUTED_VALUE"""),324.0)</f>
        <v>324</v>
      </c>
      <c r="E1025" s="1">
        <f>IFERROR(__xludf.DUMMYFUNCTION("""COMPUTED_VALUE"""),124.0)</f>
        <v>124</v>
      </c>
    </row>
    <row r="1026">
      <c r="A1026" s="1" t="str">
        <f>IFERROR(__xludf.DUMMYFUNCTION("""COMPUTED_VALUE"""),"XBOAE04225")</f>
        <v>XBOAE04225</v>
      </c>
      <c r="B1026" s="1">
        <f>IFERROR(__xludf.DUMMYFUNCTION("""COMPUTED_VALUE"""),4.0)</f>
        <v>4</v>
      </c>
      <c r="C1026" s="1">
        <f>IFERROR(__xludf.DUMMYFUNCTION("""COMPUTED_VALUE"""),220.0)</f>
        <v>220</v>
      </c>
      <c r="D1026" s="1">
        <f>IFERROR(__xludf.DUMMYFUNCTION("""COMPUTED_VALUE"""),4.0)</f>
        <v>4</v>
      </c>
      <c r="E1026" s="1">
        <f>IFERROR(__xludf.DUMMYFUNCTION("""COMPUTED_VALUE"""),216.0)</f>
        <v>216</v>
      </c>
    </row>
    <row r="1027">
      <c r="A1027" s="1" t="str">
        <f>IFERROR(__xludf.DUMMYFUNCTION("""COMPUTED_VALUE"""),"XBOAE04232")</f>
        <v>XBOAE04232</v>
      </c>
      <c r="B1027" s="1">
        <f>IFERROR(__xludf.DUMMYFUNCTION("""COMPUTED_VALUE"""),143.0)</f>
        <v>143</v>
      </c>
      <c r="C1027" s="1">
        <f>IFERROR(__xludf.DUMMYFUNCTION("""COMPUTED_VALUE"""),143.0)</f>
        <v>143</v>
      </c>
      <c r="D1027" s="1">
        <f>IFERROR(__xludf.DUMMYFUNCTION("""COMPUTED_VALUE"""),143.0)</f>
        <v>143</v>
      </c>
      <c r="E1027" s="1">
        <f>IFERROR(__xludf.DUMMYFUNCTION("""COMPUTED_VALUE"""),0.0)</f>
        <v>0</v>
      </c>
    </row>
    <row r="1028">
      <c r="A1028" s="1" t="str">
        <f>IFERROR(__xludf.DUMMYFUNCTION("""COMPUTED_VALUE"""),"XBOAE04813")</f>
        <v>XBOAE04813</v>
      </c>
      <c r="B1028" s="1">
        <f>IFERROR(__xludf.DUMMYFUNCTION("""COMPUTED_VALUE"""),608.0)</f>
        <v>608</v>
      </c>
      <c r="C1028" s="1">
        <f>IFERROR(__xludf.DUMMYFUNCTION("""COMPUTED_VALUE"""),751.0)</f>
        <v>751</v>
      </c>
      <c r="D1028" s="1">
        <f>IFERROR(__xludf.DUMMYFUNCTION("""COMPUTED_VALUE"""),608.0)</f>
        <v>608</v>
      </c>
      <c r="E1028" s="1">
        <f>IFERROR(__xludf.DUMMYFUNCTION("""COMPUTED_VALUE"""),143.0)</f>
        <v>143</v>
      </c>
    </row>
    <row r="1029">
      <c r="A1029" s="1" t="str">
        <f>IFERROR(__xludf.DUMMYFUNCTION("""COMPUTED_VALUE"""),"XBOAE04819")</f>
        <v>XBOAE04819</v>
      </c>
      <c r="B1029" s="1">
        <f>IFERROR(__xludf.DUMMYFUNCTION("""COMPUTED_VALUE"""),275.0)</f>
        <v>275</v>
      </c>
      <c r="C1029" s="1">
        <f>IFERROR(__xludf.DUMMYFUNCTION("""COMPUTED_VALUE"""),275.0)</f>
        <v>275</v>
      </c>
      <c r="D1029" s="1">
        <f>IFERROR(__xludf.DUMMYFUNCTION("""COMPUTED_VALUE"""),275.0)</f>
        <v>275</v>
      </c>
      <c r="E1029" s="1">
        <f>IFERROR(__xludf.DUMMYFUNCTION("""COMPUTED_VALUE"""),0.0)</f>
        <v>0</v>
      </c>
    </row>
    <row r="1030">
      <c r="A1030" s="1" t="str">
        <f>IFERROR(__xludf.DUMMYFUNCTION("""COMPUTED_VALUE"""),"XBOAE04825")</f>
        <v>XBOAE04825</v>
      </c>
      <c r="B1030" s="1">
        <f>IFERROR(__xludf.DUMMYFUNCTION("""COMPUTED_VALUE"""),103.0)</f>
        <v>103</v>
      </c>
      <c r="C1030" s="1">
        <f>IFERROR(__xludf.DUMMYFUNCTION("""COMPUTED_VALUE"""),103.0)</f>
        <v>103</v>
      </c>
      <c r="D1030" s="1">
        <f>IFERROR(__xludf.DUMMYFUNCTION("""COMPUTED_VALUE"""),103.0)</f>
        <v>103</v>
      </c>
      <c r="E1030" s="1">
        <f>IFERROR(__xludf.DUMMYFUNCTION("""COMPUTED_VALUE"""),0.0)</f>
        <v>0</v>
      </c>
    </row>
    <row r="1031">
      <c r="A1031" s="1" t="str">
        <f>IFERROR(__xludf.DUMMYFUNCTION("""COMPUTED_VALUE"""),"XBOAE04838")</f>
        <v>XBOAE04838</v>
      </c>
      <c r="B1031" s="1">
        <f>IFERROR(__xludf.DUMMYFUNCTION("""COMPUTED_VALUE"""),240.0)</f>
        <v>240</v>
      </c>
      <c r="C1031" s="1">
        <f>IFERROR(__xludf.DUMMYFUNCTION("""COMPUTED_VALUE"""),240.0)</f>
        <v>240</v>
      </c>
      <c r="D1031" s="1">
        <f>IFERROR(__xludf.DUMMYFUNCTION("""COMPUTED_VALUE"""),240.0)</f>
        <v>240</v>
      </c>
      <c r="E1031" s="1">
        <f>IFERROR(__xludf.DUMMYFUNCTION("""COMPUTED_VALUE"""),0.0)</f>
        <v>0</v>
      </c>
    </row>
    <row r="1032">
      <c r="A1032" s="1" t="str">
        <f>IFERROR(__xludf.DUMMYFUNCTION("""COMPUTED_VALUE"""),"XBOAE05119")</f>
        <v>XBOAE05119</v>
      </c>
      <c r="B1032" s="1">
        <f>IFERROR(__xludf.DUMMYFUNCTION("""COMPUTED_VALUE"""),140.0)</f>
        <v>140</v>
      </c>
      <c r="C1032" s="1">
        <f>IFERROR(__xludf.DUMMYFUNCTION("""COMPUTED_VALUE"""),140.0)</f>
        <v>140</v>
      </c>
      <c r="D1032" s="1">
        <f>IFERROR(__xludf.DUMMYFUNCTION("""COMPUTED_VALUE"""),140.0)</f>
        <v>140</v>
      </c>
      <c r="E1032" s="1">
        <f>IFERROR(__xludf.DUMMYFUNCTION("""COMPUTED_VALUE"""),0.0)</f>
        <v>0</v>
      </c>
    </row>
    <row r="1033">
      <c r="A1033" s="1" t="str">
        <f>IFERROR(__xludf.DUMMYFUNCTION("""COMPUTED_VALUE"""),"XBOAE06013")</f>
        <v>XBOAE06013</v>
      </c>
      <c r="B1033" s="1">
        <f>IFERROR(__xludf.DUMMYFUNCTION("""COMPUTED_VALUE"""),404.0)</f>
        <v>404</v>
      </c>
      <c r="C1033" s="1">
        <f>IFERROR(__xludf.DUMMYFUNCTION("""COMPUTED_VALUE"""),436.0)</f>
        <v>436</v>
      </c>
      <c r="D1033" s="1">
        <f>IFERROR(__xludf.DUMMYFUNCTION("""COMPUTED_VALUE"""),404.0)</f>
        <v>404</v>
      </c>
      <c r="E1033" s="1">
        <f>IFERROR(__xludf.DUMMYFUNCTION("""COMPUTED_VALUE"""),32.0)</f>
        <v>32</v>
      </c>
    </row>
    <row r="1034">
      <c r="A1034" s="1" t="str">
        <f>IFERROR(__xludf.DUMMYFUNCTION("""COMPUTED_VALUE"""),"XBOAE06025")</f>
        <v>XBOAE06025</v>
      </c>
      <c r="B1034" s="1">
        <f>IFERROR(__xludf.DUMMYFUNCTION("""COMPUTED_VALUE"""),262.0)</f>
        <v>262</v>
      </c>
      <c r="C1034" s="1">
        <f>IFERROR(__xludf.DUMMYFUNCTION("""COMPUTED_VALUE"""),262.0)</f>
        <v>262</v>
      </c>
      <c r="D1034" s="1">
        <f>IFERROR(__xludf.DUMMYFUNCTION("""COMPUTED_VALUE"""),262.0)</f>
        <v>262</v>
      </c>
      <c r="E1034" s="1">
        <f>IFERROR(__xludf.DUMMYFUNCTION("""COMPUTED_VALUE"""),0.0)</f>
        <v>0</v>
      </c>
    </row>
    <row r="1035">
      <c r="A1035" s="1" t="str">
        <f>IFERROR(__xludf.DUMMYFUNCTION("""COMPUTED_VALUE"""),"XBOAE07613")</f>
        <v>XBOAE07613</v>
      </c>
      <c r="B1035" s="1">
        <f>IFERROR(__xludf.DUMMYFUNCTION("""COMPUTED_VALUE"""),321.0)</f>
        <v>321</v>
      </c>
      <c r="C1035" s="1">
        <f>IFERROR(__xludf.DUMMYFUNCTION("""COMPUTED_VALUE"""),321.0)</f>
        <v>321</v>
      </c>
      <c r="D1035" s="1">
        <f>IFERROR(__xludf.DUMMYFUNCTION("""COMPUTED_VALUE"""),321.0)</f>
        <v>321</v>
      </c>
      <c r="E1035" s="1">
        <f>IFERROR(__xludf.DUMMYFUNCTION("""COMPUTED_VALUE"""),0.0)</f>
        <v>0</v>
      </c>
    </row>
    <row r="1036">
      <c r="A1036" s="1" t="str">
        <f>IFERROR(__xludf.DUMMYFUNCTION("""COMPUTED_VALUE"""),"XBOAE07625")</f>
        <v>XBOAE07625</v>
      </c>
      <c r="B1036" s="1">
        <f>IFERROR(__xludf.DUMMYFUNCTION("""COMPUTED_VALUE"""),50.0)</f>
        <v>50</v>
      </c>
      <c r="C1036" s="1">
        <f>IFERROR(__xludf.DUMMYFUNCTION("""COMPUTED_VALUE"""),50.0)</f>
        <v>50</v>
      </c>
      <c r="D1036" s="1">
        <f>IFERROR(__xludf.DUMMYFUNCTION("""COMPUTED_VALUE"""),50.0)</f>
        <v>50</v>
      </c>
      <c r="E1036" s="1">
        <f>IFERROR(__xludf.DUMMYFUNCTION("""COMPUTED_VALUE"""),0.0)</f>
        <v>0</v>
      </c>
    </row>
    <row r="1037">
      <c r="A1037" s="1" t="str">
        <f>IFERROR(__xludf.DUMMYFUNCTION("""COMPUTED_VALUE"""),"XBOAE07632")</f>
        <v>XBOAE07632</v>
      </c>
      <c r="B1037" s="1">
        <f>IFERROR(__xludf.DUMMYFUNCTION("""COMPUTED_VALUE"""),2.0)</f>
        <v>2</v>
      </c>
      <c r="C1037" s="1">
        <f>IFERROR(__xludf.DUMMYFUNCTION("""COMPUTED_VALUE"""),2.0)</f>
        <v>2</v>
      </c>
      <c r="D1037" s="1">
        <f>IFERROR(__xludf.DUMMYFUNCTION("""COMPUTED_VALUE"""),2.0)</f>
        <v>2</v>
      </c>
      <c r="E1037" s="1">
        <f>IFERROR(__xludf.DUMMYFUNCTION("""COMPUTED_VALUE"""),0.0)</f>
        <v>0</v>
      </c>
    </row>
    <row r="1038">
      <c r="A1038" s="1" t="str">
        <f>IFERROR(__xludf.DUMMYFUNCTION("""COMPUTED_VALUE"""),"XBOAE09013")</f>
        <v>XBOAE09013</v>
      </c>
      <c r="B1038" s="1">
        <f>IFERROR(__xludf.DUMMYFUNCTION("""COMPUTED_VALUE"""),11.0)</f>
        <v>11</v>
      </c>
      <c r="C1038" s="1">
        <f>IFERROR(__xludf.DUMMYFUNCTION("""COMPUTED_VALUE"""),11.0)</f>
        <v>11</v>
      </c>
      <c r="D1038" s="1">
        <f>IFERROR(__xludf.DUMMYFUNCTION("""COMPUTED_VALUE"""),11.0)</f>
        <v>11</v>
      </c>
      <c r="E1038" s="1">
        <f>IFERROR(__xludf.DUMMYFUNCTION("""COMPUTED_VALUE"""),0.0)</f>
        <v>0</v>
      </c>
    </row>
    <row r="1039">
      <c r="A1039" s="1" t="str">
        <f>IFERROR(__xludf.DUMMYFUNCTION("""COMPUTED_VALUE"""),"XBOAE09019")</f>
        <v>XBOAE09019</v>
      </c>
      <c r="B1039" s="1">
        <f>IFERROR(__xludf.DUMMYFUNCTION("""COMPUTED_VALUE"""),0.0)</f>
        <v>0</v>
      </c>
      <c r="C1039" s="1">
        <f>IFERROR(__xludf.DUMMYFUNCTION("""COMPUTED_VALUE"""),0.0)</f>
        <v>0</v>
      </c>
      <c r="D1039" s="1">
        <f>IFERROR(__xludf.DUMMYFUNCTION("""COMPUTED_VALUE"""),0.0)</f>
        <v>0</v>
      </c>
      <c r="E1039" s="1">
        <f>IFERROR(__xludf.DUMMYFUNCTION("""COMPUTED_VALUE"""),0.0)</f>
        <v>0</v>
      </c>
    </row>
    <row r="1040">
      <c r="A1040" s="1" t="str">
        <f>IFERROR(__xludf.DUMMYFUNCTION("""COMPUTED_VALUE"""),"XBOAE09032")</f>
        <v>XBOAE09032</v>
      </c>
      <c r="B1040" s="1">
        <f>IFERROR(__xludf.DUMMYFUNCTION("""COMPUTED_VALUE"""),3.0)</f>
        <v>3</v>
      </c>
      <c r="C1040" s="1">
        <f>IFERROR(__xludf.DUMMYFUNCTION("""COMPUTED_VALUE"""),3.0)</f>
        <v>3</v>
      </c>
      <c r="D1040" s="1">
        <f>IFERROR(__xludf.DUMMYFUNCTION("""COMPUTED_VALUE"""),3.0)</f>
        <v>3</v>
      </c>
      <c r="E1040" s="1">
        <f>IFERROR(__xludf.DUMMYFUNCTION("""COMPUTED_VALUE"""),0.0)</f>
        <v>0</v>
      </c>
    </row>
    <row r="1041">
      <c r="A1041" s="1" t="str">
        <f>IFERROR(__xludf.DUMMYFUNCTION("""COMPUTED_VALUE"""),"XBOAE09038")</f>
        <v>XBOAE09038</v>
      </c>
      <c r="B1041" s="1">
        <f>IFERROR(__xludf.DUMMYFUNCTION("""COMPUTED_VALUE"""),0.0)</f>
        <v>0</v>
      </c>
      <c r="C1041" s="1">
        <f>IFERROR(__xludf.DUMMYFUNCTION("""COMPUTED_VALUE"""),-36.0)</f>
        <v>-36</v>
      </c>
      <c r="D1041" s="1">
        <f>IFERROR(__xludf.DUMMYFUNCTION("""COMPUTED_VALUE"""),-36.0)</f>
        <v>-36</v>
      </c>
      <c r="E1041" s="1">
        <f>IFERROR(__xludf.DUMMYFUNCTION("""COMPUTED_VALUE"""),0.0)</f>
        <v>0</v>
      </c>
    </row>
    <row r="1042">
      <c r="A1042" s="1" t="str">
        <f>IFERROR(__xludf.DUMMYFUNCTION("""COMPUTED_VALUE"""),"XBOAE11519")</f>
        <v>XBOAE11519</v>
      </c>
      <c r="B1042" s="1">
        <f>IFERROR(__xludf.DUMMYFUNCTION("""COMPUTED_VALUE"""),0.0)</f>
        <v>0</v>
      </c>
      <c r="C1042" s="1">
        <f>IFERROR(__xludf.DUMMYFUNCTION("""COMPUTED_VALUE"""),0.0)</f>
        <v>0</v>
      </c>
      <c r="D1042" s="1">
        <f>IFERROR(__xludf.DUMMYFUNCTION("""COMPUTED_VALUE"""),0.0)</f>
        <v>0</v>
      </c>
      <c r="E1042" s="1">
        <f>IFERROR(__xludf.DUMMYFUNCTION("""COMPUTED_VALUE"""),0.0)</f>
        <v>0</v>
      </c>
    </row>
    <row r="1043">
      <c r="A1043" s="1" t="str">
        <f>IFERROR(__xludf.DUMMYFUNCTION("""COMPUTED_VALUE"""),"XBOAE11525")</f>
        <v>XBOAE11525</v>
      </c>
      <c r="B1043" s="1">
        <f>IFERROR(__xludf.DUMMYFUNCTION("""COMPUTED_VALUE"""),113.0)</f>
        <v>113</v>
      </c>
      <c r="C1043" s="1">
        <f>IFERROR(__xludf.DUMMYFUNCTION("""COMPUTED_VALUE"""),113.0)</f>
        <v>113</v>
      </c>
      <c r="D1043" s="1">
        <f>IFERROR(__xludf.DUMMYFUNCTION("""COMPUTED_VALUE"""),113.0)</f>
        <v>113</v>
      </c>
      <c r="E1043" s="1">
        <f>IFERROR(__xludf.DUMMYFUNCTION("""COMPUTED_VALUE"""),0.0)</f>
        <v>0</v>
      </c>
    </row>
    <row r="1044">
      <c r="A1044" s="1" t="str">
        <f>IFERROR(__xludf.DUMMYFUNCTION("""COMPUTED_VALUE"""),"XBOAE11538")</f>
        <v>XBOAE11538</v>
      </c>
      <c r="B1044" s="1">
        <f>IFERROR(__xludf.DUMMYFUNCTION("""COMPUTED_VALUE"""),0.0)</f>
        <v>0</v>
      </c>
      <c r="C1044" s="1">
        <f>IFERROR(__xludf.DUMMYFUNCTION("""COMPUTED_VALUE"""),-68.0)</f>
        <v>-68</v>
      </c>
      <c r="D1044" s="1">
        <f>IFERROR(__xludf.DUMMYFUNCTION("""COMPUTED_VALUE"""),-68.0)</f>
        <v>-68</v>
      </c>
      <c r="E1044" s="1">
        <f>IFERROR(__xludf.DUMMYFUNCTION("""COMPUTED_VALUE"""),0.0)</f>
        <v>0</v>
      </c>
    </row>
    <row r="1045">
      <c r="A1045" s="1" t="str">
        <f>IFERROR(__xludf.DUMMYFUNCTION("""COMPUTED_VALUE"""),"XBOAE11550")</f>
        <v>XBOAE11550</v>
      </c>
      <c r="B1045" s="1">
        <f>IFERROR(__xludf.DUMMYFUNCTION("""COMPUTED_VALUE"""),20.0)</f>
        <v>20</v>
      </c>
      <c r="C1045" s="1">
        <f>IFERROR(__xludf.DUMMYFUNCTION("""COMPUTED_VALUE"""),20.0)</f>
        <v>20</v>
      </c>
      <c r="D1045" s="1">
        <f>IFERROR(__xludf.DUMMYFUNCTION("""COMPUTED_VALUE"""),20.0)</f>
        <v>20</v>
      </c>
      <c r="E1045" s="1">
        <f>IFERROR(__xludf.DUMMYFUNCTION("""COMPUTED_VALUE"""),0.0)</f>
        <v>0</v>
      </c>
    </row>
    <row r="1046">
      <c r="A1046" s="1" t="str">
        <f>IFERROR(__xludf.DUMMYFUNCTION("""COMPUTED_VALUE"""),"XBOAF006X19")</f>
        <v>XBOAF006X19</v>
      </c>
      <c r="B1046" s="1">
        <f>IFERROR(__xludf.DUMMYFUNCTION("""COMPUTED_VALUE"""),1365.0)</f>
        <v>1365</v>
      </c>
      <c r="C1046" s="1">
        <f>IFERROR(__xludf.DUMMYFUNCTION("""COMPUTED_VALUE"""),1419.0)</f>
        <v>1419</v>
      </c>
      <c r="D1046" s="1">
        <f>IFERROR(__xludf.DUMMYFUNCTION("""COMPUTED_VALUE"""),1365.0)</f>
        <v>1365</v>
      </c>
      <c r="E1046" s="1">
        <f>IFERROR(__xludf.DUMMYFUNCTION("""COMPUTED_VALUE"""),54.0)</f>
        <v>54</v>
      </c>
    </row>
    <row r="1047">
      <c r="A1047" s="1" t="str">
        <f>IFERROR(__xludf.DUMMYFUNCTION("""COMPUTED_VALUE"""),"XBOAF012X19")</f>
        <v>XBOAF012X19</v>
      </c>
      <c r="B1047" s="1">
        <f>IFERROR(__xludf.DUMMYFUNCTION("""COMPUTED_VALUE"""),921.0)</f>
        <v>921</v>
      </c>
      <c r="C1047" s="1">
        <f>IFERROR(__xludf.DUMMYFUNCTION("""COMPUTED_VALUE"""),921.0)</f>
        <v>921</v>
      </c>
      <c r="D1047" s="1">
        <f>IFERROR(__xludf.DUMMYFUNCTION("""COMPUTED_VALUE"""),921.0)</f>
        <v>921</v>
      </c>
      <c r="E1047" s="1">
        <f>IFERROR(__xludf.DUMMYFUNCTION("""COMPUTED_VALUE"""),0.0)</f>
        <v>0</v>
      </c>
    </row>
    <row r="1048">
      <c r="A1048" s="1" t="str">
        <f>IFERROR(__xludf.DUMMYFUNCTION("""COMPUTED_VALUE"""),"XBOAF020X25")</f>
        <v>XBOAF020X25</v>
      </c>
      <c r="B1048" s="1">
        <f>IFERROR(__xludf.DUMMYFUNCTION("""COMPUTED_VALUE"""),428.0)</f>
        <v>428</v>
      </c>
      <c r="C1048" s="1">
        <f>IFERROR(__xludf.DUMMYFUNCTION("""COMPUTED_VALUE"""),428.0)</f>
        <v>428</v>
      </c>
      <c r="D1048" s="1">
        <f>IFERROR(__xludf.DUMMYFUNCTION("""COMPUTED_VALUE"""),428.0)</f>
        <v>428</v>
      </c>
      <c r="E1048" s="1">
        <f>IFERROR(__xludf.DUMMYFUNCTION("""COMPUTED_VALUE"""),0.0)</f>
        <v>0</v>
      </c>
    </row>
    <row r="1049">
      <c r="A1049" s="1" t="str">
        <f>IFERROR(__xludf.DUMMYFUNCTION("""COMPUTED_VALUE"""),"XBOAF022X13")</f>
        <v>XBOAF022X13</v>
      </c>
      <c r="B1049" s="1">
        <f>IFERROR(__xludf.DUMMYFUNCTION("""COMPUTED_VALUE"""),1154.0)</f>
        <v>1154</v>
      </c>
      <c r="C1049" s="1">
        <f>IFERROR(__xludf.DUMMYFUNCTION("""COMPUTED_VALUE"""),1154.0)</f>
        <v>1154</v>
      </c>
      <c r="D1049" s="1">
        <f>IFERROR(__xludf.DUMMYFUNCTION("""COMPUTED_VALUE"""),1154.0)</f>
        <v>1154</v>
      </c>
      <c r="E1049" s="1">
        <f>IFERROR(__xludf.DUMMYFUNCTION("""COMPUTED_VALUE"""),0.0)</f>
        <v>0</v>
      </c>
    </row>
    <row r="1050">
      <c r="A1050" s="1" t="str">
        <f>IFERROR(__xludf.DUMMYFUNCTION("""COMPUTED_VALUE"""),"XBOAF022X19")</f>
        <v>XBOAF022X19</v>
      </c>
      <c r="B1050" s="1">
        <f>IFERROR(__xludf.DUMMYFUNCTION("""COMPUTED_VALUE"""),132.0)</f>
        <v>132</v>
      </c>
      <c r="C1050" s="1">
        <f>IFERROR(__xludf.DUMMYFUNCTION("""COMPUTED_VALUE"""),132.0)</f>
        <v>132</v>
      </c>
      <c r="D1050" s="1">
        <f>IFERROR(__xludf.DUMMYFUNCTION("""COMPUTED_VALUE"""),132.0)</f>
        <v>132</v>
      </c>
      <c r="E1050" s="1">
        <f>IFERROR(__xludf.DUMMYFUNCTION("""COMPUTED_VALUE"""),0.0)</f>
        <v>0</v>
      </c>
    </row>
    <row r="1051">
      <c r="A1051" s="1" t="str">
        <f>IFERROR(__xludf.DUMMYFUNCTION("""COMPUTED_VALUE"""),"XBOAF022X25")</f>
        <v>XBOAF022X25</v>
      </c>
      <c r="B1051" s="1">
        <f>IFERROR(__xludf.DUMMYFUNCTION("""COMPUTED_VALUE"""),817.0)</f>
        <v>817</v>
      </c>
      <c r="C1051" s="1">
        <f>IFERROR(__xludf.DUMMYFUNCTION("""COMPUTED_VALUE"""),817.0)</f>
        <v>817</v>
      </c>
      <c r="D1051" s="1">
        <f>IFERROR(__xludf.DUMMYFUNCTION("""COMPUTED_VALUE"""),817.0)</f>
        <v>817</v>
      </c>
      <c r="E1051" s="1">
        <f>IFERROR(__xludf.DUMMYFUNCTION("""COMPUTED_VALUE"""),0.0)</f>
        <v>0</v>
      </c>
    </row>
    <row r="1052">
      <c r="A1052" s="1" t="str">
        <f>IFERROR(__xludf.DUMMYFUNCTION("""COMPUTED_VALUE"""),"XBOAF028X13")</f>
        <v>XBOAF028X13</v>
      </c>
      <c r="B1052" s="1">
        <f>IFERROR(__xludf.DUMMYFUNCTION("""COMPUTED_VALUE"""),7.0)</f>
        <v>7</v>
      </c>
      <c r="C1052" s="1">
        <f>IFERROR(__xludf.DUMMYFUNCTION("""COMPUTED_VALUE"""),7.0)</f>
        <v>7</v>
      </c>
      <c r="D1052" s="1">
        <f>IFERROR(__xludf.DUMMYFUNCTION("""COMPUTED_VALUE"""),7.0)</f>
        <v>7</v>
      </c>
      <c r="E1052" s="1">
        <f>IFERROR(__xludf.DUMMYFUNCTION("""COMPUTED_VALUE"""),0.0)</f>
        <v>0</v>
      </c>
    </row>
    <row r="1053">
      <c r="A1053" s="1" t="str">
        <f>IFERROR(__xludf.DUMMYFUNCTION("""COMPUTED_VALUE"""),"XBOAF028X19")</f>
        <v>XBOAF028X19</v>
      </c>
      <c r="B1053" s="1">
        <f>IFERROR(__xludf.DUMMYFUNCTION("""COMPUTED_VALUE"""),36.0)</f>
        <v>36</v>
      </c>
      <c r="C1053" s="1">
        <f>IFERROR(__xludf.DUMMYFUNCTION("""COMPUTED_VALUE"""),36.0)</f>
        <v>36</v>
      </c>
      <c r="D1053" s="1">
        <f>IFERROR(__xludf.DUMMYFUNCTION("""COMPUTED_VALUE"""),36.0)</f>
        <v>36</v>
      </c>
      <c r="E1053" s="1">
        <f>IFERROR(__xludf.DUMMYFUNCTION("""COMPUTED_VALUE"""),0.0)</f>
        <v>0</v>
      </c>
    </row>
    <row r="1054">
      <c r="A1054" s="1" t="str">
        <f>IFERROR(__xludf.DUMMYFUNCTION("""COMPUTED_VALUE"""),"XBOAF035X13")</f>
        <v>XBOAF035X13</v>
      </c>
      <c r="B1054" s="1">
        <f>IFERROR(__xludf.DUMMYFUNCTION("""COMPUTED_VALUE"""),22.0)</f>
        <v>22</v>
      </c>
      <c r="C1054" s="1">
        <f>IFERROR(__xludf.DUMMYFUNCTION("""COMPUTED_VALUE"""),22.0)</f>
        <v>22</v>
      </c>
      <c r="D1054" s="1">
        <f>IFERROR(__xludf.DUMMYFUNCTION("""COMPUTED_VALUE"""),22.0)</f>
        <v>22</v>
      </c>
      <c r="E1054" s="1">
        <f>IFERROR(__xludf.DUMMYFUNCTION("""COMPUTED_VALUE"""),0.0)</f>
        <v>0</v>
      </c>
    </row>
    <row r="1055">
      <c r="A1055" s="1" t="str">
        <f>IFERROR(__xludf.DUMMYFUNCTION("""COMPUTED_VALUE"""),"XBOAF035X25")</f>
        <v>XBOAF035X25</v>
      </c>
      <c r="B1055" s="1">
        <f>IFERROR(__xludf.DUMMYFUNCTION("""COMPUTED_VALUE"""),46.0)</f>
        <v>46</v>
      </c>
      <c r="C1055" s="1">
        <f>IFERROR(__xludf.DUMMYFUNCTION("""COMPUTED_VALUE"""),46.0)</f>
        <v>46</v>
      </c>
      <c r="D1055" s="1">
        <f>IFERROR(__xludf.DUMMYFUNCTION("""COMPUTED_VALUE"""),46.0)</f>
        <v>46</v>
      </c>
      <c r="E1055" s="1">
        <f>IFERROR(__xludf.DUMMYFUNCTION("""COMPUTED_VALUE"""),0.0)</f>
        <v>0</v>
      </c>
    </row>
    <row r="1056">
      <c r="A1056" s="1" t="str">
        <f>IFERROR(__xludf.DUMMYFUNCTION("""COMPUTED_VALUE"""),"XBOAF042X13")</f>
        <v>XBOAF042X13</v>
      </c>
      <c r="B1056" s="1">
        <f>IFERROR(__xludf.DUMMYFUNCTION("""COMPUTED_VALUE"""),148.0)</f>
        <v>148</v>
      </c>
      <c r="C1056" s="1">
        <f>IFERROR(__xludf.DUMMYFUNCTION("""COMPUTED_VALUE"""),148.0)</f>
        <v>148</v>
      </c>
      <c r="D1056" s="1">
        <f>IFERROR(__xludf.DUMMYFUNCTION("""COMPUTED_VALUE"""),148.0)</f>
        <v>148</v>
      </c>
      <c r="E1056" s="1">
        <f>IFERROR(__xludf.DUMMYFUNCTION("""COMPUTED_VALUE"""),0.0)</f>
        <v>0</v>
      </c>
    </row>
    <row r="1057">
      <c r="A1057" s="1" t="str">
        <f>IFERROR(__xludf.DUMMYFUNCTION("""COMPUTED_VALUE"""),"XBOAF042X19")</f>
        <v>XBOAF042X19</v>
      </c>
      <c r="B1057" s="1">
        <f>IFERROR(__xludf.DUMMYFUNCTION("""COMPUTED_VALUE"""),389.0)</f>
        <v>389</v>
      </c>
      <c r="C1057" s="1">
        <f>IFERROR(__xludf.DUMMYFUNCTION("""COMPUTED_VALUE"""),389.0)</f>
        <v>389</v>
      </c>
      <c r="D1057" s="1">
        <f>IFERROR(__xludf.DUMMYFUNCTION("""COMPUTED_VALUE"""),389.0)</f>
        <v>389</v>
      </c>
      <c r="E1057" s="1">
        <f>IFERROR(__xludf.DUMMYFUNCTION("""COMPUTED_VALUE"""),0.0)</f>
        <v>0</v>
      </c>
    </row>
    <row r="1058">
      <c r="A1058" s="1" t="str">
        <f>IFERROR(__xludf.DUMMYFUNCTION("""COMPUTED_VALUE"""),"XBOAF048X13")</f>
        <v>XBOAF048X13</v>
      </c>
      <c r="B1058" s="1">
        <f>IFERROR(__xludf.DUMMYFUNCTION("""COMPUTED_VALUE"""),163.0)</f>
        <v>163</v>
      </c>
      <c r="C1058" s="1">
        <f>IFERROR(__xludf.DUMMYFUNCTION("""COMPUTED_VALUE"""),163.0)</f>
        <v>163</v>
      </c>
      <c r="D1058" s="1">
        <f>IFERROR(__xludf.DUMMYFUNCTION("""COMPUTED_VALUE"""),163.0)</f>
        <v>163</v>
      </c>
      <c r="E1058" s="1">
        <f>IFERROR(__xludf.DUMMYFUNCTION("""COMPUTED_VALUE"""),0.0)</f>
        <v>0</v>
      </c>
    </row>
    <row r="1059">
      <c r="A1059" s="1" t="str">
        <f>IFERROR(__xludf.DUMMYFUNCTION("""COMPUTED_VALUE"""),"XBOAF060X13")</f>
        <v>XBOAF060X13</v>
      </c>
      <c r="B1059" s="1">
        <f>IFERROR(__xludf.DUMMYFUNCTION("""COMPUTED_VALUE"""),93.0)</f>
        <v>93</v>
      </c>
      <c r="C1059" s="1">
        <f>IFERROR(__xludf.DUMMYFUNCTION("""COMPUTED_VALUE"""),93.0)</f>
        <v>93</v>
      </c>
      <c r="D1059" s="1">
        <f>IFERROR(__xludf.DUMMYFUNCTION("""COMPUTED_VALUE"""),93.0)</f>
        <v>93</v>
      </c>
      <c r="E1059" s="1">
        <f>IFERROR(__xludf.DUMMYFUNCTION("""COMPUTED_VALUE"""),0.0)</f>
        <v>0</v>
      </c>
    </row>
    <row r="1060">
      <c r="A1060" s="1" t="str">
        <f>IFERROR(__xludf.DUMMYFUNCTION("""COMPUTED_VALUE"""),"XBOAF073X13")</f>
        <v>XBOAF073X13</v>
      </c>
      <c r="B1060" s="1">
        <f>IFERROR(__xludf.DUMMYFUNCTION("""COMPUTED_VALUE"""),60.0)</f>
        <v>60</v>
      </c>
      <c r="C1060" s="1">
        <f>IFERROR(__xludf.DUMMYFUNCTION("""COMPUTED_VALUE"""),60.0)</f>
        <v>60</v>
      </c>
      <c r="D1060" s="1">
        <f>IFERROR(__xludf.DUMMYFUNCTION("""COMPUTED_VALUE"""),60.0)</f>
        <v>60</v>
      </c>
      <c r="E1060" s="1">
        <f>IFERROR(__xludf.DUMMYFUNCTION("""COMPUTED_VALUE"""),0.0)</f>
        <v>0</v>
      </c>
    </row>
    <row r="1061">
      <c r="A1061" s="1" t="str">
        <f>IFERROR(__xludf.DUMMYFUNCTION("""COMPUTED_VALUE"""),"XBOAF089X50")</f>
        <v>XBOAF089X50</v>
      </c>
      <c r="B1061" s="1">
        <f>IFERROR(__xludf.DUMMYFUNCTION("""COMPUTED_VALUE"""),1.0)</f>
        <v>1</v>
      </c>
      <c r="C1061" s="1">
        <f>IFERROR(__xludf.DUMMYFUNCTION("""COMPUTED_VALUE"""),1.0)</f>
        <v>1</v>
      </c>
      <c r="D1061" s="1">
        <f>IFERROR(__xludf.DUMMYFUNCTION("""COMPUTED_VALUE"""),1.0)</f>
        <v>1</v>
      </c>
      <c r="E1061" s="1">
        <f>IFERROR(__xludf.DUMMYFUNCTION("""COMPUTED_VALUE"""),0.0)</f>
        <v>0</v>
      </c>
    </row>
    <row r="1062">
      <c r="A1062" s="1" t="str">
        <f>IFERROR(__xludf.DUMMYFUNCTION("""COMPUTED_VALUE"""),"XBOATT114X19")</f>
        <v>XBOATT114X19</v>
      </c>
      <c r="B1062" s="1">
        <f>IFERROR(__xludf.DUMMYFUNCTION("""COMPUTED_VALUE"""),44.0)</f>
        <v>44</v>
      </c>
      <c r="C1062" s="1">
        <f>IFERROR(__xludf.DUMMYFUNCTION("""COMPUTED_VALUE"""),44.0)</f>
        <v>44</v>
      </c>
      <c r="D1062" s="1">
        <f>IFERROR(__xludf.DUMMYFUNCTION("""COMPUTED_VALUE"""),44.0)</f>
        <v>44</v>
      </c>
      <c r="E1062" s="1">
        <f>IFERROR(__xludf.DUMMYFUNCTION("""COMPUTED_VALUE"""),0.0)</f>
        <v>0</v>
      </c>
    </row>
    <row r="1063">
      <c r="A1063" s="1" t="str">
        <f>IFERROR(__xludf.DUMMYFUNCTION("""COMPUTED_VALUE"""),"XBOATT67X13")</f>
        <v>XBOATT67X13</v>
      </c>
      <c r="B1063" s="1">
        <f>IFERROR(__xludf.DUMMYFUNCTION("""COMPUTED_VALUE"""),119.0)</f>
        <v>119</v>
      </c>
      <c r="C1063" s="1">
        <f>IFERROR(__xludf.DUMMYFUNCTION("""COMPUTED_VALUE"""),119.0)</f>
        <v>119</v>
      </c>
      <c r="D1063" s="1">
        <f>IFERROR(__xludf.DUMMYFUNCTION("""COMPUTED_VALUE"""),119.0)</f>
        <v>119</v>
      </c>
      <c r="E1063" s="1">
        <f>IFERROR(__xludf.DUMMYFUNCTION("""COMPUTED_VALUE"""),0.0)</f>
        <v>0</v>
      </c>
    </row>
    <row r="1064">
      <c r="A1064" s="1" t="str">
        <f>IFERROR(__xludf.DUMMYFUNCTION("""COMPUTED_VALUE"""),"XBOJ010X09")</f>
        <v>XBOJ010X09</v>
      </c>
      <c r="B1064" s="1">
        <f>IFERROR(__xludf.DUMMYFUNCTION("""COMPUTED_VALUE"""),787.0)</f>
        <v>787</v>
      </c>
      <c r="C1064" s="1">
        <f>IFERROR(__xludf.DUMMYFUNCTION("""COMPUTED_VALUE"""),787.0)</f>
        <v>787</v>
      </c>
      <c r="D1064" s="1">
        <f>IFERROR(__xludf.DUMMYFUNCTION("""COMPUTED_VALUE"""),787.0)</f>
        <v>787</v>
      </c>
      <c r="E1064" s="1">
        <f>IFERROR(__xludf.DUMMYFUNCTION("""COMPUTED_VALUE"""),0.0)</f>
        <v>0</v>
      </c>
    </row>
    <row r="1065">
      <c r="A1065" s="1" t="str">
        <f>IFERROR(__xludf.DUMMYFUNCTION("""COMPUTED_VALUE"""),"XBOJ013X09")</f>
        <v>XBOJ013X09</v>
      </c>
      <c r="B1065" s="1">
        <f>IFERROR(__xludf.DUMMYFUNCTION("""COMPUTED_VALUE"""),240.0)</f>
        <v>240</v>
      </c>
      <c r="C1065" s="1">
        <f>IFERROR(__xludf.DUMMYFUNCTION("""COMPUTED_VALUE"""),240.0)</f>
        <v>240</v>
      </c>
      <c r="D1065" s="1">
        <f>IFERROR(__xludf.DUMMYFUNCTION("""COMPUTED_VALUE"""),240.0)</f>
        <v>240</v>
      </c>
      <c r="E1065" s="1">
        <f>IFERROR(__xludf.DUMMYFUNCTION("""COMPUTED_VALUE"""),0.0)</f>
        <v>0</v>
      </c>
    </row>
    <row r="1066">
      <c r="A1066" s="1" t="str">
        <f>IFERROR(__xludf.DUMMYFUNCTION("""COMPUTED_VALUE"""),"XBOJ016X09")</f>
        <v>XBOJ016X09</v>
      </c>
      <c r="B1066" s="1">
        <f>IFERROR(__xludf.DUMMYFUNCTION("""COMPUTED_VALUE"""),53.0)</f>
        <v>53</v>
      </c>
      <c r="C1066" s="1">
        <f>IFERROR(__xludf.DUMMYFUNCTION("""COMPUTED_VALUE"""),53.0)</f>
        <v>53</v>
      </c>
      <c r="D1066" s="1">
        <f>IFERROR(__xludf.DUMMYFUNCTION("""COMPUTED_VALUE"""),53.0)</f>
        <v>53</v>
      </c>
      <c r="E1066" s="1">
        <f>IFERROR(__xludf.DUMMYFUNCTION("""COMPUTED_VALUE"""),0.0)</f>
        <v>0</v>
      </c>
    </row>
    <row r="1067">
      <c r="A1067" s="1" t="str">
        <f>IFERROR(__xludf.DUMMYFUNCTION("""COMPUTED_VALUE"""),"XBOS006X13.120")</f>
        <v>XBOS006X13.120</v>
      </c>
      <c r="B1067" s="1">
        <f>IFERROR(__xludf.DUMMYFUNCTION("""COMPUTED_VALUE"""),2400.0)</f>
        <v>2400</v>
      </c>
      <c r="C1067" s="1">
        <f>IFERROR(__xludf.DUMMYFUNCTION("""COMPUTED_VALUE"""),2400.0)</f>
        <v>2400</v>
      </c>
      <c r="D1067" s="1">
        <f>IFERROR(__xludf.DUMMYFUNCTION("""COMPUTED_VALUE"""),2400.0)</f>
        <v>2400</v>
      </c>
      <c r="E1067" s="1">
        <f>IFERROR(__xludf.DUMMYFUNCTION("""COMPUTED_VALUE"""),0.0)</f>
        <v>0</v>
      </c>
    </row>
    <row r="1068">
      <c r="A1068" s="1" t="str">
        <f>IFERROR(__xludf.DUMMYFUNCTION("""COMPUTED_VALUE"""),"XBOS006X19")</f>
        <v>XBOS006X19</v>
      </c>
      <c r="B1068" s="1">
        <f>IFERROR(__xludf.DUMMYFUNCTION("""COMPUTED_VALUE"""),490.0)</f>
        <v>490</v>
      </c>
      <c r="C1068" s="1">
        <f>IFERROR(__xludf.DUMMYFUNCTION("""COMPUTED_VALUE"""),490.0)</f>
        <v>490</v>
      </c>
      <c r="D1068" s="1">
        <f>IFERROR(__xludf.DUMMYFUNCTION("""COMPUTED_VALUE"""),490.0)</f>
        <v>490</v>
      </c>
      <c r="E1068" s="1">
        <f>IFERROR(__xludf.DUMMYFUNCTION("""COMPUTED_VALUE"""),0.0)</f>
        <v>0</v>
      </c>
    </row>
    <row r="1069">
      <c r="A1069" s="1" t="str">
        <f>IFERROR(__xludf.DUMMYFUNCTION("""COMPUTED_VALUE"""),"XBOS010X13.100")</f>
        <v>XBOS010X13.100</v>
      </c>
      <c r="B1069" s="1">
        <f>IFERROR(__xludf.DUMMYFUNCTION("""COMPUTED_VALUE"""),1000.0)</f>
        <v>1000</v>
      </c>
      <c r="C1069" s="1">
        <f>IFERROR(__xludf.DUMMYFUNCTION("""COMPUTED_VALUE"""),1000.0)</f>
        <v>1000</v>
      </c>
      <c r="D1069" s="1">
        <f>IFERROR(__xludf.DUMMYFUNCTION("""COMPUTED_VALUE"""),1000.0)</f>
        <v>1000</v>
      </c>
      <c r="E1069" s="1">
        <f>IFERROR(__xludf.DUMMYFUNCTION("""COMPUTED_VALUE"""),0.0)</f>
        <v>0</v>
      </c>
    </row>
    <row r="1070">
      <c r="A1070" s="1" t="str">
        <f>IFERROR(__xludf.DUMMYFUNCTION("""COMPUTED_VALUE"""),"XBOS010X19")</f>
        <v>XBOS010X19</v>
      </c>
      <c r="B1070" s="1">
        <f>IFERROR(__xludf.DUMMYFUNCTION("""COMPUTED_VALUE"""),840.0)</f>
        <v>840</v>
      </c>
      <c r="C1070" s="1">
        <f>IFERROR(__xludf.DUMMYFUNCTION("""COMPUTED_VALUE"""),840.0)</f>
        <v>840</v>
      </c>
      <c r="D1070" s="1">
        <f>IFERROR(__xludf.DUMMYFUNCTION("""COMPUTED_VALUE"""),840.0)</f>
        <v>840</v>
      </c>
      <c r="E1070" s="1">
        <f>IFERROR(__xludf.DUMMYFUNCTION("""COMPUTED_VALUE"""),0.0)</f>
        <v>0</v>
      </c>
    </row>
    <row r="1071">
      <c r="A1071" s="1" t="str">
        <f>IFERROR(__xludf.DUMMYFUNCTION("""COMPUTED_VALUE"""),"XBOS010X25")</f>
        <v>XBOS010X25</v>
      </c>
      <c r="B1071" s="1">
        <f>IFERROR(__xludf.DUMMYFUNCTION("""COMPUTED_VALUE"""),300.0)</f>
        <v>300</v>
      </c>
      <c r="C1071" s="1">
        <f>IFERROR(__xludf.DUMMYFUNCTION("""COMPUTED_VALUE"""),300.0)</f>
        <v>300</v>
      </c>
      <c r="D1071" s="1">
        <f>IFERROR(__xludf.DUMMYFUNCTION("""COMPUTED_VALUE"""),300.0)</f>
        <v>300</v>
      </c>
      <c r="E1071" s="1">
        <f>IFERROR(__xludf.DUMMYFUNCTION("""COMPUTED_VALUE"""),0.0)</f>
        <v>0</v>
      </c>
    </row>
    <row r="1072">
      <c r="A1072" s="1" t="str">
        <f>IFERROR(__xludf.DUMMYFUNCTION("""COMPUTED_VALUE"""),"XBOS013X10")</f>
        <v>XBOS013X10</v>
      </c>
      <c r="B1072" s="1">
        <f>IFERROR(__xludf.DUMMYFUNCTION("""COMPUTED_VALUE"""),383.0)</f>
        <v>383</v>
      </c>
      <c r="C1072" s="1">
        <f>IFERROR(__xludf.DUMMYFUNCTION("""COMPUTED_VALUE"""),383.0)</f>
        <v>383</v>
      </c>
      <c r="D1072" s="1">
        <f>IFERROR(__xludf.DUMMYFUNCTION("""COMPUTED_VALUE"""),383.0)</f>
        <v>383</v>
      </c>
      <c r="E1072" s="1">
        <f>IFERROR(__xludf.DUMMYFUNCTION("""COMPUTED_VALUE"""),0.0)</f>
        <v>0</v>
      </c>
    </row>
    <row r="1073">
      <c r="A1073" s="1" t="str">
        <f>IFERROR(__xludf.DUMMYFUNCTION("""COMPUTED_VALUE"""),"XBOS013X10.120")</f>
        <v>XBOS013X10.120</v>
      </c>
      <c r="B1073" s="1">
        <f>IFERROR(__xludf.DUMMYFUNCTION("""COMPUTED_VALUE"""),1200.0)</f>
        <v>1200</v>
      </c>
      <c r="C1073" s="1">
        <f>IFERROR(__xludf.DUMMYFUNCTION("""COMPUTED_VALUE"""),1200.0)</f>
        <v>1200</v>
      </c>
      <c r="D1073" s="1">
        <f>IFERROR(__xludf.DUMMYFUNCTION("""COMPUTED_VALUE"""),1200.0)</f>
        <v>1200</v>
      </c>
      <c r="E1073" s="1">
        <f>IFERROR(__xludf.DUMMYFUNCTION("""COMPUTED_VALUE"""),0.0)</f>
        <v>0</v>
      </c>
    </row>
    <row r="1074">
      <c r="A1074" s="1" t="str">
        <f>IFERROR(__xludf.DUMMYFUNCTION("""COMPUTED_VALUE"""),"XBOS013X13.080")</f>
        <v>XBOS013X13.080</v>
      </c>
      <c r="B1074" s="1">
        <f>IFERROR(__xludf.DUMMYFUNCTION("""COMPUTED_VALUE"""),480.0)</f>
        <v>480</v>
      </c>
      <c r="C1074" s="1">
        <f>IFERROR(__xludf.DUMMYFUNCTION("""COMPUTED_VALUE"""),480.0)</f>
        <v>480</v>
      </c>
      <c r="D1074" s="1">
        <f>IFERROR(__xludf.DUMMYFUNCTION("""COMPUTED_VALUE"""),480.0)</f>
        <v>480</v>
      </c>
      <c r="E1074" s="1">
        <f>IFERROR(__xludf.DUMMYFUNCTION("""COMPUTED_VALUE"""),0.0)</f>
        <v>0</v>
      </c>
    </row>
    <row r="1075">
      <c r="A1075" s="1" t="str">
        <f>IFERROR(__xludf.DUMMYFUNCTION("""COMPUTED_VALUE"""),"XBOS013X19")</f>
        <v>XBOS013X19</v>
      </c>
      <c r="B1075" s="1">
        <f>IFERROR(__xludf.DUMMYFUNCTION("""COMPUTED_VALUE"""),720.0)</f>
        <v>720</v>
      </c>
      <c r="C1075" s="1">
        <f>IFERROR(__xludf.DUMMYFUNCTION("""COMPUTED_VALUE"""),720.0)</f>
        <v>720</v>
      </c>
      <c r="D1075" s="1">
        <f>IFERROR(__xludf.DUMMYFUNCTION("""COMPUTED_VALUE"""),720.0)</f>
        <v>720</v>
      </c>
      <c r="E1075" s="1">
        <f>IFERROR(__xludf.DUMMYFUNCTION("""COMPUTED_VALUE"""),0.0)</f>
        <v>0</v>
      </c>
    </row>
    <row r="1076">
      <c r="A1076" s="1" t="str">
        <f>IFERROR(__xludf.DUMMYFUNCTION("""COMPUTED_VALUE"""),"XBOS013X25.025")</f>
        <v>XBOS013X25.025</v>
      </c>
      <c r="B1076" s="1">
        <f>IFERROR(__xludf.DUMMYFUNCTION("""COMPUTED_VALUE"""),250.0)</f>
        <v>250</v>
      </c>
      <c r="C1076" s="1">
        <f>IFERROR(__xludf.DUMMYFUNCTION("""COMPUTED_VALUE"""),250.0)</f>
        <v>250</v>
      </c>
      <c r="D1076" s="1">
        <f>IFERROR(__xludf.DUMMYFUNCTION("""COMPUTED_VALUE"""),250.0)</f>
        <v>250</v>
      </c>
      <c r="E1076" s="1">
        <f>IFERROR(__xludf.DUMMYFUNCTION("""COMPUTED_VALUE"""),0.0)</f>
        <v>0</v>
      </c>
    </row>
    <row r="1077">
      <c r="A1077" s="1" t="str">
        <f>IFERROR(__xludf.DUMMYFUNCTION("""COMPUTED_VALUE"""),"XBOS016X10.100")</f>
        <v>XBOS016X10.100</v>
      </c>
      <c r="B1077" s="1">
        <f>IFERROR(__xludf.DUMMYFUNCTION("""COMPUTED_VALUE"""),1000.0)</f>
        <v>1000</v>
      </c>
      <c r="C1077" s="1">
        <f>IFERROR(__xludf.DUMMYFUNCTION("""COMPUTED_VALUE"""),1000.0)</f>
        <v>1000</v>
      </c>
      <c r="D1077" s="1">
        <f>IFERROR(__xludf.DUMMYFUNCTION("""COMPUTED_VALUE"""),1000.0)</f>
        <v>1000</v>
      </c>
      <c r="E1077" s="1">
        <f>IFERROR(__xludf.DUMMYFUNCTION("""COMPUTED_VALUE"""),0.0)</f>
        <v>0</v>
      </c>
    </row>
    <row r="1078">
      <c r="A1078" s="1" t="str">
        <f>IFERROR(__xludf.DUMMYFUNCTION("""COMPUTED_VALUE"""),"XBOS016X13.072")</f>
        <v>XBOS016X13.072</v>
      </c>
      <c r="B1078" s="1">
        <f>IFERROR(__xludf.DUMMYFUNCTION("""COMPUTED_VALUE"""),1296.0)</f>
        <v>1296</v>
      </c>
      <c r="C1078" s="1">
        <f>IFERROR(__xludf.DUMMYFUNCTION("""COMPUTED_VALUE"""),1296.0)</f>
        <v>1296</v>
      </c>
      <c r="D1078" s="1">
        <f>IFERROR(__xludf.DUMMYFUNCTION("""COMPUTED_VALUE"""),1296.0)</f>
        <v>1296</v>
      </c>
      <c r="E1078" s="1">
        <f>IFERROR(__xludf.DUMMYFUNCTION("""COMPUTED_VALUE"""),0.0)</f>
        <v>0</v>
      </c>
    </row>
    <row r="1079">
      <c r="A1079" s="1" t="str">
        <f>IFERROR(__xludf.DUMMYFUNCTION("""COMPUTED_VALUE"""),"XBOS016X19")</f>
        <v>XBOS016X19</v>
      </c>
      <c r="B1079" s="1">
        <f>IFERROR(__xludf.DUMMYFUNCTION("""COMPUTED_VALUE"""),0.0)</f>
        <v>0</v>
      </c>
      <c r="C1079" s="1">
        <f>IFERROR(__xludf.DUMMYFUNCTION("""COMPUTED_VALUE"""),0.0)</f>
        <v>0</v>
      </c>
      <c r="D1079" s="1">
        <f>IFERROR(__xludf.DUMMYFUNCTION("""COMPUTED_VALUE"""),0.0)</f>
        <v>0</v>
      </c>
      <c r="E1079" s="1">
        <f>IFERROR(__xludf.DUMMYFUNCTION("""COMPUTED_VALUE"""),0.0)</f>
        <v>0</v>
      </c>
    </row>
    <row r="1080">
      <c r="A1080" s="1" t="str">
        <f>IFERROR(__xludf.DUMMYFUNCTION("""COMPUTED_VALUE"""),"XBOS016X25.023")</f>
        <v>XBOS016X25.023</v>
      </c>
      <c r="B1080" s="1">
        <f>IFERROR(__xludf.DUMMYFUNCTION("""COMPUTED_VALUE"""),530.0)</f>
        <v>530</v>
      </c>
      <c r="C1080" s="1">
        <f>IFERROR(__xludf.DUMMYFUNCTION("""COMPUTED_VALUE"""),530.0)</f>
        <v>530</v>
      </c>
      <c r="D1080" s="1">
        <f>IFERROR(__xludf.DUMMYFUNCTION("""COMPUTED_VALUE"""),530.0)</f>
        <v>530</v>
      </c>
      <c r="E1080" s="1">
        <f>IFERROR(__xludf.DUMMYFUNCTION("""COMPUTED_VALUE"""),0.0)</f>
        <v>0</v>
      </c>
    </row>
    <row r="1081">
      <c r="A1081" s="1" t="str">
        <f>IFERROR(__xludf.DUMMYFUNCTION("""COMPUTED_VALUE"""),"XBOS019X10.080")</f>
        <v>XBOS019X10.080</v>
      </c>
      <c r="B1081" s="1">
        <f>IFERROR(__xludf.DUMMYFUNCTION("""COMPUTED_VALUE"""),800.0)</f>
        <v>800</v>
      </c>
      <c r="C1081" s="1">
        <f>IFERROR(__xludf.DUMMYFUNCTION("""COMPUTED_VALUE"""),800.0)</f>
        <v>800</v>
      </c>
      <c r="D1081" s="1">
        <f>IFERROR(__xludf.DUMMYFUNCTION("""COMPUTED_VALUE"""),800.0)</f>
        <v>800</v>
      </c>
      <c r="E1081" s="1">
        <f>IFERROR(__xludf.DUMMYFUNCTION("""COMPUTED_VALUE"""),0.0)</f>
        <v>0</v>
      </c>
    </row>
    <row r="1082">
      <c r="A1082" s="1" t="str">
        <f>IFERROR(__xludf.DUMMYFUNCTION("""COMPUTED_VALUE"""),"XBOS019X13.064")</f>
        <v>XBOS019X13.064</v>
      </c>
      <c r="B1082" s="1">
        <f>IFERROR(__xludf.DUMMYFUNCTION("""COMPUTED_VALUE"""),640.0)</f>
        <v>640</v>
      </c>
      <c r="C1082" s="1">
        <f>IFERROR(__xludf.DUMMYFUNCTION("""COMPUTED_VALUE"""),640.0)</f>
        <v>640</v>
      </c>
      <c r="D1082" s="1">
        <f>IFERROR(__xludf.DUMMYFUNCTION("""COMPUTED_VALUE"""),640.0)</f>
        <v>640</v>
      </c>
      <c r="E1082" s="1">
        <f>IFERROR(__xludf.DUMMYFUNCTION("""COMPUTED_VALUE"""),0.0)</f>
        <v>0</v>
      </c>
    </row>
    <row r="1083">
      <c r="A1083" s="1" t="str">
        <f>IFERROR(__xludf.DUMMYFUNCTION("""COMPUTED_VALUE"""),"XBOS019X19")</f>
        <v>XBOS019X19</v>
      </c>
      <c r="B1083" s="1">
        <f>IFERROR(__xludf.DUMMYFUNCTION("""COMPUTED_VALUE"""),600.0)</f>
        <v>600</v>
      </c>
      <c r="C1083" s="1">
        <f>IFERROR(__xludf.DUMMYFUNCTION("""COMPUTED_VALUE"""),600.0)</f>
        <v>600</v>
      </c>
      <c r="D1083" s="1">
        <f>IFERROR(__xludf.DUMMYFUNCTION("""COMPUTED_VALUE"""),600.0)</f>
        <v>600</v>
      </c>
      <c r="E1083" s="1">
        <f>IFERROR(__xludf.DUMMYFUNCTION("""COMPUTED_VALUE"""),0.0)</f>
        <v>0</v>
      </c>
    </row>
    <row r="1084">
      <c r="A1084" s="1" t="str">
        <f>IFERROR(__xludf.DUMMYFUNCTION("""COMPUTED_VALUE"""),"XBOS019X25")</f>
        <v>XBOS019X25</v>
      </c>
      <c r="B1084" s="1">
        <f>IFERROR(__xludf.DUMMYFUNCTION("""COMPUTED_VALUE"""),1262.0)</f>
        <v>1262</v>
      </c>
      <c r="C1084" s="1">
        <f>IFERROR(__xludf.DUMMYFUNCTION("""COMPUTED_VALUE"""),1262.0)</f>
        <v>1262</v>
      </c>
      <c r="D1084" s="1">
        <f>IFERROR(__xludf.DUMMYFUNCTION("""COMPUTED_VALUE"""),1262.0)</f>
        <v>1262</v>
      </c>
      <c r="E1084" s="1">
        <f>IFERROR(__xludf.DUMMYFUNCTION("""COMPUTED_VALUE"""),0.0)</f>
        <v>0</v>
      </c>
    </row>
    <row r="1085">
      <c r="A1085" s="1" t="str">
        <f>IFERROR(__xludf.DUMMYFUNCTION("""COMPUTED_VALUE"""),"XBOS022X10.072")</f>
        <v>XBOS022X10.072</v>
      </c>
      <c r="B1085" s="1">
        <f>IFERROR(__xludf.DUMMYFUNCTION("""COMPUTED_VALUE"""),1418.0)</f>
        <v>1418</v>
      </c>
      <c r="C1085" s="1">
        <f>IFERROR(__xludf.DUMMYFUNCTION("""COMPUTED_VALUE"""),1418.0)</f>
        <v>1418</v>
      </c>
      <c r="D1085" s="1">
        <f>IFERROR(__xludf.DUMMYFUNCTION("""COMPUTED_VALUE"""),1418.0)</f>
        <v>1418</v>
      </c>
      <c r="E1085" s="1">
        <f>IFERROR(__xludf.DUMMYFUNCTION("""COMPUTED_VALUE"""),0.0)</f>
        <v>0</v>
      </c>
    </row>
    <row r="1086">
      <c r="A1086" s="1" t="str">
        <f>IFERROR(__xludf.DUMMYFUNCTION("""COMPUTED_VALUE"""),"XBOS022X13")</f>
        <v>XBOS022X13</v>
      </c>
      <c r="B1086" s="1">
        <f>IFERROR(__xludf.DUMMYFUNCTION("""COMPUTED_VALUE"""),131.0)</f>
        <v>131</v>
      </c>
      <c r="C1086" s="1">
        <f>IFERROR(__xludf.DUMMYFUNCTION("""COMPUTED_VALUE"""),131.0)</f>
        <v>131</v>
      </c>
      <c r="D1086" s="1">
        <f>IFERROR(__xludf.DUMMYFUNCTION("""COMPUTED_VALUE"""),131.0)</f>
        <v>131</v>
      </c>
      <c r="E1086" s="1">
        <f>IFERROR(__xludf.DUMMYFUNCTION("""COMPUTED_VALUE"""),0.0)</f>
        <v>0</v>
      </c>
    </row>
    <row r="1087">
      <c r="A1087" s="1" t="str">
        <f>IFERROR(__xludf.DUMMYFUNCTION("""COMPUTED_VALUE"""),"XBOS022X13.056")</f>
        <v>XBOS022X13.056</v>
      </c>
      <c r="B1087" s="1">
        <f>IFERROR(__xludf.DUMMYFUNCTION("""COMPUTED_VALUE"""),560.0)</f>
        <v>560</v>
      </c>
      <c r="C1087" s="1">
        <f>IFERROR(__xludf.DUMMYFUNCTION("""COMPUTED_VALUE"""),560.0)</f>
        <v>560</v>
      </c>
      <c r="D1087" s="1">
        <f>IFERROR(__xludf.DUMMYFUNCTION("""COMPUTED_VALUE"""),560.0)</f>
        <v>560</v>
      </c>
      <c r="E1087" s="1">
        <f>IFERROR(__xludf.DUMMYFUNCTION("""COMPUTED_VALUE"""),0.0)</f>
        <v>0</v>
      </c>
    </row>
    <row r="1088">
      <c r="A1088" s="1" t="str">
        <f>IFERROR(__xludf.DUMMYFUNCTION("""COMPUTED_VALUE"""),"XBOS022X19.027")</f>
        <v>XBOS022X19.027</v>
      </c>
      <c r="B1088" s="1">
        <f>IFERROR(__xludf.DUMMYFUNCTION("""COMPUTED_VALUE"""),554.0)</f>
        <v>554</v>
      </c>
      <c r="C1088" s="1">
        <f>IFERROR(__xludf.DUMMYFUNCTION("""COMPUTED_VALUE"""),554.0)</f>
        <v>554</v>
      </c>
      <c r="D1088" s="1">
        <f>IFERROR(__xludf.DUMMYFUNCTION("""COMPUTED_VALUE"""),554.0)</f>
        <v>554</v>
      </c>
      <c r="E1088" s="1">
        <f>IFERROR(__xludf.DUMMYFUNCTION("""COMPUTED_VALUE"""),0.0)</f>
        <v>0</v>
      </c>
    </row>
    <row r="1089">
      <c r="A1089" s="1" t="str">
        <f>IFERROR(__xludf.DUMMYFUNCTION("""COMPUTED_VALUE"""),"XBOS022X25")</f>
        <v>XBOS022X25</v>
      </c>
      <c r="B1089" s="1">
        <f>IFERROR(__xludf.DUMMYFUNCTION("""COMPUTED_VALUE"""),286.0)</f>
        <v>286</v>
      </c>
      <c r="C1089" s="1">
        <f>IFERROR(__xludf.DUMMYFUNCTION("""COMPUTED_VALUE"""),286.0)</f>
        <v>286</v>
      </c>
      <c r="D1089" s="1">
        <f>IFERROR(__xludf.DUMMYFUNCTION("""COMPUTED_VALUE"""),286.0)</f>
        <v>286</v>
      </c>
      <c r="E1089" s="1">
        <f>IFERROR(__xludf.DUMMYFUNCTION("""COMPUTED_VALUE"""),0.0)</f>
        <v>0</v>
      </c>
    </row>
    <row r="1090">
      <c r="A1090" s="1" t="str">
        <f>IFERROR(__xludf.DUMMYFUNCTION("""COMPUTED_VALUE"""),"XBOS025X13.048")</f>
        <v>XBOS025X13.048</v>
      </c>
      <c r="B1090" s="1">
        <f>IFERROR(__xludf.DUMMYFUNCTION("""COMPUTED_VALUE"""),191.0)</f>
        <v>191</v>
      </c>
      <c r="C1090" s="1">
        <f>IFERROR(__xludf.DUMMYFUNCTION("""COMPUTED_VALUE"""),191.0)</f>
        <v>191</v>
      </c>
      <c r="D1090" s="1">
        <f>IFERROR(__xludf.DUMMYFUNCTION("""COMPUTED_VALUE"""),191.0)</f>
        <v>191</v>
      </c>
      <c r="E1090" s="1">
        <f>IFERROR(__xludf.DUMMYFUNCTION("""COMPUTED_VALUE"""),0.0)</f>
        <v>0</v>
      </c>
    </row>
    <row r="1091">
      <c r="A1091" s="1" t="str">
        <f>IFERROR(__xludf.DUMMYFUNCTION("""COMPUTED_VALUE"""),"XBOS025X19.024")</f>
        <v>XBOS025X19.024</v>
      </c>
      <c r="B1091" s="1">
        <f>IFERROR(__xludf.DUMMYFUNCTION("""COMPUTED_VALUE"""),273.0)</f>
        <v>273</v>
      </c>
      <c r="C1091" s="1">
        <f>IFERROR(__xludf.DUMMYFUNCTION("""COMPUTED_VALUE"""),273.0)</f>
        <v>273</v>
      </c>
      <c r="D1091" s="1">
        <f>IFERROR(__xludf.DUMMYFUNCTION("""COMPUTED_VALUE"""),273.0)</f>
        <v>273</v>
      </c>
      <c r="E1091" s="1">
        <f>IFERROR(__xludf.DUMMYFUNCTION("""COMPUTED_VALUE"""),0.0)</f>
        <v>0</v>
      </c>
    </row>
    <row r="1092">
      <c r="A1092" s="1" t="str">
        <f>IFERROR(__xludf.DUMMYFUNCTION("""COMPUTED_VALUE"""),"XBOS025X25.017")</f>
        <v>XBOS025X25.017</v>
      </c>
      <c r="B1092" s="1">
        <f>IFERROR(__xludf.DUMMYFUNCTION("""COMPUTED_VALUE"""),170.0)</f>
        <v>170</v>
      </c>
      <c r="C1092" s="1">
        <f>IFERROR(__xludf.DUMMYFUNCTION("""COMPUTED_VALUE"""),170.0)</f>
        <v>170</v>
      </c>
      <c r="D1092" s="1">
        <f>IFERROR(__xludf.DUMMYFUNCTION("""COMPUTED_VALUE"""),170.0)</f>
        <v>170</v>
      </c>
      <c r="E1092" s="1">
        <f>IFERROR(__xludf.DUMMYFUNCTION("""COMPUTED_VALUE"""),0.0)</f>
        <v>0</v>
      </c>
    </row>
    <row r="1093">
      <c r="A1093" s="1" t="str">
        <f>IFERROR(__xludf.DUMMYFUNCTION("""COMPUTED_VALUE"""),"XBOS025X32")</f>
        <v>XBOS025X32</v>
      </c>
      <c r="B1093" s="1">
        <f>IFERROR(__xludf.DUMMYFUNCTION("""COMPUTED_VALUE"""),1.0)</f>
        <v>1</v>
      </c>
      <c r="C1093" s="1">
        <f>IFERROR(__xludf.DUMMYFUNCTION("""COMPUTED_VALUE"""),1.0)</f>
        <v>1</v>
      </c>
      <c r="D1093" s="1">
        <f>IFERROR(__xludf.DUMMYFUNCTION("""COMPUTED_VALUE"""),1.0)</f>
        <v>1</v>
      </c>
      <c r="E1093" s="1">
        <f>IFERROR(__xludf.DUMMYFUNCTION("""COMPUTED_VALUE"""),0.0)</f>
        <v>0</v>
      </c>
    </row>
    <row r="1094">
      <c r="A1094" s="1" t="str">
        <f>IFERROR(__xludf.DUMMYFUNCTION("""COMPUTED_VALUE"""),"XBOS028X10.056")</f>
        <v>XBOS028X10.056</v>
      </c>
      <c r="B1094" s="1">
        <f>IFERROR(__xludf.DUMMYFUNCTION("""COMPUTED_VALUE"""),1074.0)</f>
        <v>1074</v>
      </c>
      <c r="C1094" s="1">
        <f>IFERROR(__xludf.DUMMYFUNCTION("""COMPUTED_VALUE"""),1074.0)</f>
        <v>1074</v>
      </c>
      <c r="D1094" s="1">
        <f>IFERROR(__xludf.DUMMYFUNCTION("""COMPUTED_VALUE"""),1074.0)</f>
        <v>1074</v>
      </c>
      <c r="E1094" s="1">
        <f>IFERROR(__xludf.DUMMYFUNCTION("""COMPUTED_VALUE"""),0.0)</f>
        <v>0</v>
      </c>
    </row>
    <row r="1095">
      <c r="A1095" s="1" t="str">
        <f>IFERROR(__xludf.DUMMYFUNCTION("""COMPUTED_VALUE"""),"XBOS028X13.042")</f>
        <v>XBOS028X13.042</v>
      </c>
      <c r="B1095" s="1">
        <f>IFERROR(__xludf.DUMMYFUNCTION("""COMPUTED_VALUE"""),840.0)</f>
        <v>840</v>
      </c>
      <c r="C1095" s="1">
        <f>IFERROR(__xludf.DUMMYFUNCTION("""COMPUTED_VALUE"""),840.0)</f>
        <v>840</v>
      </c>
      <c r="D1095" s="1">
        <f>IFERROR(__xludf.DUMMYFUNCTION("""COMPUTED_VALUE"""),840.0)</f>
        <v>840</v>
      </c>
      <c r="E1095" s="1">
        <f>IFERROR(__xludf.DUMMYFUNCTION("""COMPUTED_VALUE"""),0.0)</f>
        <v>0</v>
      </c>
    </row>
    <row r="1096">
      <c r="A1096" s="1" t="str">
        <f>IFERROR(__xludf.DUMMYFUNCTION("""COMPUTED_VALUE"""),"XBOS028X19.024")</f>
        <v>XBOS028X19.024</v>
      </c>
      <c r="B1096" s="1">
        <f>IFERROR(__xludf.DUMMYFUNCTION("""COMPUTED_VALUE"""),240.0)</f>
        <v>240</v>
      </c>
      <c r="C1096" s="1">
        <f>IFERROR(__xludf.DUMMYFUNCTION("""COMPUTED_VALUE"""),240.0)</f>
        <v>240</v>
      </c>
      <c r="D1096" s="1">
        <f>IFERROR(__xludf.DUMMYFUNCTION("""COMPUTED_VALUE"""),240.0)</f>
        <v>240</v>
      </c>
      <c r="E1096" s="1">
        <f>IFERROR(__xludf.DUMMYFUNCTION("""COMPUTED_VALUE"""),0.0)</f>
        <v>0</v>
      </c>
    </row>
    <row r="1097">
      <c r="A1097" s="1" t="str">
        <f>IFERROR(__xludf.DUMMYFUNCTION("""COMPUTED_VALUE"""),"XBOS028X25")</f>
        <v>XBOS028X25</v>
      </c>
      <c r="B1097" s="1">
        <f>IFERROR(__xludf.DUMMYFUNCTION("""COMPUTED_VALUE"""),160.0)</f>
        <v>160</v>
      </c>
      <c r="C1097" s="1">
        <f>IFERROR(__xludf.DUMMYFUNCTION("""COMPUTED_VALUE"""),160.0)</f>
        <v>160</v>
      </c>
      <c r="D1097" s="1">
        <f>IFERROR(__xludf.DUMMYFUNCTION("""COMPUTED_VALUE"""),160.0)</f>
        <v>160</v>
      </c>
      <c r="E1097" s="1">
        <f>IFERROR(__xludf.DUMMYFUNCTION("""COMPUTED_VALUE"""),0.0)</f>
        <v>0</v>
      </c>
    </row>
    <row r="1098">
      <c r="A1098" s="1" t="str">
        <f>IFERROR(__xludf.DUMMYFUNCTION("""COMPUTED_VALUE"""),"XBOS028X51")</f>
        <v>XBOS028X51</v>
      </c>
      <c r="B1098" s="1">
        <f>IFERROR(__xludf.DUMMYFUNCTION("""COMPUTED_VALUE"""),2.0)</f>
        <v>2</v>
      </c>
      <c r="C1098" s="1">
        <f>IFERROR(__xludf.DUMMYFUNCTION("""COMPUTED_VALUE"""),2.0)</f>
        <v>2</v>
      </c>
      <c r="D1098" s="1">
        <f>IFERROR(__xludf.DUMMYFUNCTION("""COMPUTED_VALUE"""),2.0)</f>
        <v>2</v>
      </c>
      <c r="E1098" s="1">
        <f>IFERROR(__xludf.DUMMYFUNCTION("""COMPUTED_VALUE"""),0.0)</f>
        <v>0</v>
      </c>
    </row>
    <row r="1099">
      <c r="A1099" s="1" t="str">
        <f>IFERROR(__xludf.DUMMYFUNCTION("""COMPUTED_VALUE"""),"XBOS032X19")</f>
        <v>XBOS032X19</v>
      </c>
      <c r="B1099" s="1">
        <f>IFERROR(__xludf.DUMMYFUNCTION("""COMPUTED_VALUE"""),200.0)</f>
        <v>200</v>
      </c>
      <c r="C1099" s="1">
        <f>IFERROR(__xludf.DUMMYFUNCTION("""COMPUTED_VALUE"""),200.0)</f>
        <v>200</v>
      </c>
      <c r="D1099" s="1">
        <f>IFERROR(__xludf.DUMMYFUNCTION("""COMPUTED_VALUE"""),200.0)</f>
        <v>200</v>
      </c>
      <c r="E1099" s="1">
        <f>IFERROR(__xludf.DUMMYFUNCTION("""COMPUTED_VALUE"""),0.0)</f>
        <v>0</v>
      </c>
    </row>
    <row r="1100">
      <c r="A1100" s="1" t="str">
        <f>IFERROR(__xludf.DUMMYFUNCTION("""COMPUTED_VALUE"""),"XBOS032X25.016")</f>
        <v>XBOS032X25.016</v>
      </c>
      <c r="B1100" s="1">
        <f>IFERROR(__xludf.DUMMYFUNCTION("""COMPUTED_VALUE"""),160.0)</f>
        <v>160</v>
      </c>
      <c r="C1100" s="1">
        <f>IFERROR(__xludf.DUMMYFUNCTION("""COMPUTED_VALUE"""),160.0)</f>
        <v>160</v>
      </c>
      <c r="D1100" s="1">
        <f>IFERROR(__xludf.DUMMYFUNCTION("""COMPUTED_VALUE"""),160.0)</f>
        <v>160</v>
      </c>
      <c r="E1100" s="1">
        <f>IFERROR(__xludf.DUMMYFUNCTION("""COMPUTED_VALUE"""),0.0)</f>
        <v>0</v>
      </c>
    </row>
    <row r="1101">
      <c r="A1101" s="1" t="str">
        <f>IFERROR(__xludf.DUMMYFUNCTION("""COMPUTED_VALUE"""),"XBOS032X51")</f>
        <v>XBOS032X51</v>
      </c>
      <c r="B1101" s="1">
        <f>IFERROR(__xludf.DUMMYFUNCTION("""COMPUTED_VALUE"""),3.0)</f>
        <v>3</v>
      </c>
      <c r="C1101" s="1">
        <f>IFERROR(__xludf.DUMMYFUNCTION("""COMPUTED_VALUE"""),3.0)</f>
        <v>3</v>
      </c>
      <c r="D1101" s="1">
        <f>IFERROR(__xludf.DUMMYFUNCTION("""COMPUTED_VALUE"""),3.0)</f>
        <v>3</v>
      </c>
      <c r="E1101" s="1">
        <f>IFERROR(__xludf.DUMMYFUNCTION("""COMPUTED_VALUE"""),0.0)</f>
        <v>0</v>
      </c>
    </row>
    <row r="1102">
      <c r="A1102" s="1" t="str">
        <f>IFERROR(__xludf.DUMMYFUNCTION("""COMPUTED_VALUE"""),"XBOS035X10.046")</f>
        <v>XBOS035X10.046</v>
      </c>
      <c r="B1102" s="1">
        <f>IFERROR(__xludf.DUMMYFUNCTION("""COMPUTED_VALUE"""),2234.0)</f>
        <v>2234</v>
      </c>
      <c r="C1102" s="1">
        <f>IFERROR(__xludf.DUMMYFUNCTION("""COMPUTED_VALUE"""),2234.0)</f>
        <v>2234</v>
      </c>
      <c r="D1102" s="1">
        <f>IFERROR(__xludf.DUMMYFUNCTION("""COMPUTED_VALUE"""),2234.0)</f>
        <v>2234</v>
      </c>
      <c r="E1102" s="1">
        <f>IFERROR(__xludf.DUMMYFUNCTION("""COMPUTED_VALUE"""),0.0)</f>
        <v>0</v>
      </c>
    </row>
    <row r="1103">
      <c r="A1103" s="1" t="str">
        <f>IFERROR(__xludf.DUMMYFUNCTION("""COMPUTED_VALUE"""),"XBOS035X13")</f>
        <v>XBOS035X13</v>
      </c>
      <c r="B1103" s="1">
        <f>IFERROR(__xludf.DUMMYFUNCTION("""COMPUTED_VALUE"""),122.0)</f>
        <v>122</v>
      </c>
      <c r="C1103" s="1">
        <f>IFERROR(__xludf.DUMMYFUNCTION("""COMPUTED_VALUE"""),144.0)</f>
        <v>144</v>
      </c>
      <c r="D1103" s="1">
        <f>IFERROR(__xludf.DUMMYFUNCTION("""COMPUTED_VALUE"""),122.0)</f>
        <v>122</v>
      </c>
      <c r="E1103" s="1">
        <f>IFERROR(__xludf.DUMMYFUNCTION("""COMPUTED_VALUE"""),22.0)</f>
        <v>22</v>
      </c>
    </row>
    <row r="1104">
      <c r="A1104" s="1" t="str">
        <f>IFERROR(__xludf.DUMMYFUNCTION("""COMPUTED_VALUE"""),"XBOS035X13.035")</f>
        <v>XBOS035X13.035</v>
      </c>
      <c r="B1104" s="1">
        <f>IFERROR(__xludf.DUMMYFUNCTION("""COMPUTED_VALUE"""),350.0)</f>
        <v>350</v>
      </c>
      <c r="C1104" s="1">
        <f>IFERROR(__xludf.DUMMYFUNCTION("""COMPUTED_VALUE"""),350.0)</f>
        <v>350</v>
      </c>
      <c r="D1104" s="1">
        <f>IFERROR(__xludf.DUMMYFUNCTION("""COMPUTED_VALUE"""),350.0)</f>
        <v>350</v>
      </c>
      <c r="E1104" s="1">
        <f>IFERROR(__xludf.DUMMYFUNCTION("""COMPUTED_VALUE"""),0.0)</f>
        <v>0</v>
      </c>
    </row>
    <row r="1105">
      <c r="A1105" s="1" t="str">
        <f>IFERROR(__xludf.DUMMYFUNCTION("""COMPUTED_VALUE"""),"XBOS035X19")</f>
        <v>XBOS035X19</v>
      </c>
      <c r="B1105" s="1">
        <f>IFERROR(__xludf.DUMMYFUNCTION("""COMPUTED_VALUE"""),224.0)</f>
        <v>224</v>
      </c>
      <c r="C1105" s="1">
        <f>IFERROR(__xludf.DUMMYFUNCTION("""COMPUTED_VALUE"""),452.0)</f>
        <v>452</v>
      </c>
      <c r="D1105" s="1">
        <f>IFERROR(__xludf.DUMMYFUNCTION("""COMPUTED_VALUE"""),224.0)</f>
        <v>224</v>
      </c>
      <c r="E1105" s="1">
        <f>IFERROR(__xludf.DUMMYFUNCTION("""COMPUTED_VALUE"""),228.0)</f>
        <v>228</v>
      </c>
    </row>
    <row r="1106">
      <c r="A1106" s="1" t="str">
        <f>IFERROR(__xludf.DUMMYFUNCTION("""COMPUTED_VALUE"""),"XBOS035X25")</f>
        <v>XBOS035X25</v>
      </c>
      <c r="B1106" s="1">
        <f>IFERROR(__xludf.DUMMYFUNCTION("""COMPUTED_VALUE"""),120.0)</f>
        <v>120</v>
      </c>
      <c r="C1106" s="1">
        <f>IFERROR(__xludf.DUMMYFUNCTION("""COMPUTED_VALUE"""),120.0)</f>
        <v>120</v>
      </c>
      <c r="D1106" s="1">
        <f>IFERROR(__xludf.DUMMYFUNCTION("""COMPUTED_VALUE"""),120.0)</f>
        <v>120</v>
      </c>
      <c r="E1106" s="1">
        <f>IFERROR(__xludf.DUMMYFUNCTION("""COMPUTED_VALUE"""),0.0)</f>
        <v>0</v>
      </c>
    </row>
    <row r="1107">
      <c r="A1107" s="1" t="str">
        <f>IFERROR(__xludf.DUMMYFUNCTION("""COMPUTED_VALUE"""),"XBOS038X19")</f>
        <v>XBOS038X19</v>
      </c>
      <c r="B1107" s="1">
        <f>IFERROR(__xludf.DUMMYFUNCTION("""COMPUTED_VALUE"""),160.0)</f>
        <v>160</v>
      </c>
      <c r="C1107" s="1">
        <f>IFERROR(__xludf.DUMMYFUNCTION("""COMPUTED_VALUE"""),160.0)</f>
        <v>160</v>
      </c>
      <c r="D1107" s="1">
        <f>IFERROR(__xludf.DUMMYFUNCTION("""COMPUTED_VALUE"""),160.0)</f>
        <v>160</v>
      </c>
      <c r="E1107" s="1">
        <f>IFERROR(__xludf.DUMMYFUNCTION("""COMPUTED_VALUE"""),0.0)</f>
        <v>0</v>
      </c>
    </row>
    <row r="1108">
      <c r="A1108" s="1" t="str">
        <f>IFERROR(__xludf.DUMMYFUNCTION("""COMPUTED_VALUE"""),"XBOS038X25")</f>
        <v>XBOS038X25</v>
      </c>
      <c r="B1108" s="1">
        <f>IFERROR(__xludf.DUMMYFUNCTION("""COMPUTED_VALUE"""),120.0)</f>
        <v>120</v>
      </c>
      <c r="C1108" s="1">
        <f>IFERROR(__xludf.DUMMYFUNCTION("""COMPUTED_VALUE"""),120.0)</f>
        <v>120</v>
      </c>
      <c r="D1108" s="1">
        <f>IFERROR(__xludf.DUMMYFUNCTION("""COMPUTED_VALUE"""),120.0)</f>
        <v>120</v>
      </c>
      <c r="E1108" s="1">
        <f>IFERROR(__xludf.DUMMYFUNCTION("""COMPUTED_VALUE"""),0.0)</f>
        <v>0</v>
      </c>
    </row>
    <row r="1109">
      <c r="A1109" s="1" t="str">
        <f>IFERROR(__xludf.DUMMYFUNCTION("""COMPUTED_VALUE"""),"XBOS038X32")</f>
        <v>XBOS038X32</v>
      </c>
      <c r="B1109" s="1">
        <f>IFERROR(__xludf.DUMMYFUNCTION("""COMPUTED_VALUE"""),2.0)</f>
        <v>2</v>
      </c>
      <c r="C1109" s="1">
        <f>IFERROR(__xludf.DUMMYFUNCTION("""COMPUTED_VALUE"""),2.0)</f>
        <v>2</v>
      </c>
      <c r="D1109" s="1">
        <f>IFERROR(__xludf.DUMMYFUNCTION("""COMPUTED_VALUE"""),2.0)</f>
        <v>2</v>
      </c>
      <c r="E1109" s="1">
        <f>IFERROR(__xludf.DUMMYFUNCTION("""COMPUTED_VALUE"""),0.0)</f>
        <v>0</v>
      </c>
    </row>
    <row r="1110">
      <c r="A1110" s="1" t="str">
        <f>IFERROR(__xludf.DUMMYFUNCTION("""COMPUTED_VALUE"""),"XBOS042X10.040")</f>
        <v>XBOS042X10.040</v>
      </c>
      <c r="B1110" s="1">
        <f>IFERROR(__xludf.DUMMYFUNCTION("""COMPUTED_VALUE"""),1018.0)</f>
        <v>1018</v>
      </c>
      <c r="C1110" s="1">
        <f>IFERROR(__xludf.DUMMYFUNCTION("""COMPUTED_VALUE"""),1018.0)</f>
        <v>1018</v>
      </c>
      <c r="D1110" s="1">
        <f>IFERROR(__xludf.DUMMYFUNCTION("""COMPUTED_VALUE"""),1018.0)</f>
        <v>1018</v>
      </c>
      <c r="E1110" s="1">
        <f>IFERROR(__xludf.DUMMYFUNCTION("""COMPUTED_VALUE"""),0.0)</f>
        <v>0</v>
      </c>
    </row>
    <row r="1111">
      <c r="A1111" s="1" t="str">
        <f>IFERROR(__xludf.DUMMYFUNCTION("""COMPUTED_VALUE"""),"XBOS042X13")</f>
        <v>XBOS042X13</v>
      </c>
      <c r="B1111" s="1">
        <f>IFERROR(__xludf.DUMMYFUNCTION("""COMPUTED_VALUE"""),9.0)</f>
        <v>9</v>
      </c>
      <c r="C1111" s="1">
        <f>IFERROR(__xludf.DUMMYFUNCTION("""COMPUTED_VALUE"""),9.0)</f>
        <v>9</v>
      </c>
      <c r="D1111" s="1">
        <f>IFERROR(__xludf.DUMMYFUNCTION("""COMPUTED_VALUE"""),9.0)</f>
        <v>9</v>
      </c>
      <c r="E1111" s="1">
        <f>IFERROR(__xludf.DUMMYFUNCTION("""COMPUTED_VALUE"""),0.0)</f>
        <v>0</v>
      </c>
    </row>
    <row r="1112">
      <c r="A1112" s="1" t="str">
        <f>IFERROR(__xludf.DUMMYFUNCTION("""COMPUTED_VALUE"""),"XBOS042X13.030")</f>
        <v>XBOS042X13.030</v>
      </c>
      <c r="B1112" s="1">
        <f>IFERROR(__xludf.DUMMYFUNCTION("""COMPUTED_VALUE"""),300.0)</f>
        <v>300</v>
      </c>
      <c r="C1112" s="1">
        <f>IFERROR(__xludf.DUMMYFUNCTION("""COMPUTED_VALUE"""),300.0)</f>
        <v>300</v>
      </c>
      <c r="D1112" s="1">
        <f>IFERROR(__xludf.DUMMYFUNCTION("""COMPUTED_VALUE"""),300.0)</f>
        <v>300</v>
      </c>
      <c r="E1112" s="1">
        <f>IFERROR(__xludf.DUMMYFUNCTION("""COMPUTED_VALUE"""),0.0)</f>
        <v>0</v>
      </c>
    </row>
    <row r="1113">
      <c r="A1113" s="1" t="str">
        <f>IFERROR(__xludf.DUMMYFUNCTION("""COMPUTED_VALUE"""),"XBOS042X19")</f>
        <v>XBOS042X19</v>
      </c>
      <c r="B1113" s="1">
        <f>IFERROR(__xludf.DUMMYFUNCTION("""COMPUTED_VALUE"""),265.0)</f>
        <v>265</v>
      </c>
      <c r="C1113" s="1">
        <f>IFERROR(__xludf.DUMMYFUNCTION("""COMPUTED_VALUE"""),510.0)</f>
        <v>510</v>
      </c>
      <c r="D1113" s="1">
        <f>IFERROR(__xludf.DUMMYFUNCTION("""COMPUTED_VALUE"""),265.0)</f>
        <v>265</v>
      </c>
      <c r="E1113" s="1">
        <f>IFERROR(__xludf.DUMMYFUNCTION("""COMPUTED_VALUE"""),245.0)</f>
        <v>245</v>
      </c>
    </row>
    <row r="1114">
      <c r="A1114" s="1" t="str">
        <f>IFERROR(__xludf.DUMMYFUNCTION("""COMPUTED_VALUE"""),"XBOS042X25")</f>
        <v>XBOS042X25</v>
      </c>
      <c r="B1114" s="1">
        <f>IFERROR(__xludf.DUMMYFUNCTION("""COMPUTED_VALUE"""),180.0)</f>
        <v>180</v>
      </c>
      <c r="C1114" s="1">
        <f>IFERROR(__xludf.DUMMYFUNCTION("""COMPUTED_VALUE"""),180.0)</f>
        <v>180</v>
      </c>
      <c r="D1114" s="1">
        <f>IFERROR(__xludf.DUMMYFUNCTION("""COMPUTED_VALUE"""),180.0)</f>
        <v>180</v>
      </c>
      <c r="E1114" s="1">
        <f>IFERROR(__xludf.DUMMYFUNCTION("""COMPUTED_VALUE"""),0.0)</f>
        <v>0</v>
      </c>
    </row>
    <row r="1115">
      <c r="A1115" s="1" t="str">
        <f>IFERROR(__xludf.DUMMYFUNCTION("""COMPUTED_VALUE"""),"XBOS048X10")</f>
        <v>XBOS048X10</v>
      </c>
      <c r="B1115" s="1">
        <f>IFERROR(__xludf.DUMMYFUNCTION("""COMPUTED_VALUE"""),211.0)</f>
        <v>211</v>
      </c>
      <c r="C1115" s="1">
        <f>IFERROR(__xludf.DUMMYFUNCTION("""COMPUTED_VALUE"""),211.0)</f>
        <v>211</v>
      </c>
      <c r="D1115" s="1">
        <f>IFERROR(__xludf.DUMMYFUNCTION("""COMPUTED_VALUE"""),211.0)</f>
        <v>211</v>
      </c>
      <c r="E1115" s="1">
        <f>IFERROR(__xludf.DUMMYFUNCTION("""COMPUTED_VALUE"""),0.0)</f>
        <v>0</v>
      </c>
    </row>
    <row r="1116">
      <c r="A1116" s="1" t="str">
        <f>IFERROR(__xludf.DUMMYFUNCTION("""COMPUTED_VALUE"""),"XBOS048X10.035")</f>
        <v>XBOS048X10.035</v>
      </c>
      <c r="B1116" s="1">
        <f>IFERROR(__xludf.DUMMYFUNCTION("""COMPUTED_VALUE"""),350.0)</f>
        <v>350</v>
      </c>
      <c r="C1116" s="1">
        <f>IFERROR(__xludf.DUMMYFUNCTION("""COMPUTED_VALUE"""),350.0)</f>
        <v>350</v>
      </c>
      <c r="D1116" s="1">
        <f>IFERROR(__xludf.DUMMYFUNCTION("""COMPUTED_VALUE"""),350.0)</f>
        <v>350</v>
      </c>
      <c r="E1116" s="1">
        <f>IFERROR(__xludf.DUMMYFUNCTION("""COMPUTED_VALUE"""),0.0)</f>
        <v>0</v>
      </c>
    </row>
    <row r="1117">
      <c r="A1117" s="1" t="str">
        <f>IFERROR(__xludf.DUMMYFUNCTION("""COMPUTED_VALUE"""),"XBOS048X13")</f>
        <v>XBOS048X13</v>
      </c>
      <c r="B1117" s="1">
        <f>IFERROR(__xludf.DUMMYFUNCTION("""COMPUTED_VALUE"""),557.0)</f>
        <v>557</v>
      </c>
      <c r="C1117" s="1">
        <f>IFERROR(__xludf.DUMMYFUNCTION("""COMPUTED_VALUE"""),747.0)</f>
        <v>747</v>
      </c>
      <c r="D1117" s="1">
        <f>IFERROR(__xludf.DUMMYFUNCTION("""COMPUTED_VALUE"""),557.0)</f>
        <v>557</v>
      </c>
      <c r="E1117" s="1">
        <f>IFERROR(__xludf.DUMMYFUNCTION("""COMPUTED_VALUE"""),190.0)</f>
        <v>190</v>
      </c>
    </row>
    <row r="1118">
      <c r="A1118" s="1" t="str">
        <f>IFERROR(__xludf.DUMMYFUNCTION("""COMPUTED_VALUE"""),"XBOS048X13.025")</f>
        <v>XBOS048X13.025</v>
      </c>
      <c r="B1118" s="1">
        <f>IFERROR(__xludf.DUMMYFUNCTION("""COMPUTED_VALUE"""),250.0)</f>
        <v>250</v>
      </c>
      <c r="C1118" s="1">
        <f>IFERROR(__xludf.DUMMYFUNCTION("""COMPUTED_VALUE"""),250.0)</f>
        <v>250</v>
      </c>
      <c r="D1118" s="1">
        <f>IFERROR(__xludf.DUMMYFUNCTION("""COMPUTED_VALUE"""),250.0)</f>
        <v>250</v>
      </c>
      <c r="E1118" s="1">
        <f>IFERROR(__xludf.DUMMYFUNCTION("""COMPUTED_VALUE"""),0.0)</f>
        <v>0</v>
      </c>
    </row>
    <row r="1119">
      <c r="A1119" s="1" t="str">
        <f>IFERROR(__xludf.DUMMYFUNCTION("""COMPUTED_VALUE"""),"XBOS048X19")</f>
        <v>XBOS048X19</v>
      </c>
      <c r="B1119" s="1">
        <f>IFERROR(__xludf.DUMMYFUNCTION("""COMPUTED_VALUE"""),150.0)</f>
        <v>150</v>
      </c>
      <c r="C1119" s="1">
        <f>IFERROR(__xludf.DUMMYFUNCTION("""COMPUTED_VALUE"""),150.0)</f>
        <v>150</v>
      </c>
      <c r="D1119" s="1">
        <f>IFERROR(__xludf.DUMMYFUNCTION("""COMPUTED_VALUE"""),150.0)</f>
        <v>150</v>
      </c>
      <c r="E1119" s="1">
        <f>IFERROR(__xludf.DUMMYFUNCTION("""COMPUTED_VALUE"""),0.0)</f>
        <v>0</v>
      </c>
    </row>
    <row r="1120">
      <c r="A1120" s="1" t="str">
        <f>IFERROR(__xludf.DUMMYFUNCTION("""COMPUTED_VALUE"""),"XBOS048X25")</f>
        <v>XBOS048X25</v>
      </c>
      <c r="B1120" s="1">
        <f>IFERROR(__xludf.DUMMYFUNCTION("""COMPUTED_VALUE"""),100.0)</f>
        <v>100</v>
      </c>
      <c r="C1120" s="1">
        <f>IFERROR(__xludf.DUMMYFUNCTION("""COMPUTED_VALUE"""),100.0)</f>
        <v>100</v>
      </c>
      <c r="D1120" s="1">
        <f>IFERROR(__xludf.DUMMYFUNCTION("""COMPUTED_VALUE"""),100.0)</f>
        <v>100</v>
      </c>
      <c r="E1120" s="1">
        <f>IFERROR(__xludf.DUMMYFUNCTION("""COMPUTED_VALUE"""),0.0)</f>
        <v>0</v>
      </c>
    </row>
    <row r="1121">
      <c r="A1121" s="1" t="str">
        <f>IFERROR(__xludf.DUMMYFUNCTION("""COMPUTED_VALUE"""),"XBOS048X51")</f>
        <v>XBOS048X51</v>
      </c>
      <c r="B1121" s="1">
        <f>IFERROR(__xludf.DUMMYFUNCTION("""COMPUTED_VALUE"""),1.0)</f>
        <v>1</v>
      </c>
      <c r="C1121" s="1">
        <f>IFERROR(__xludf.DUMMYFUNCTION("""COMPUTED_VALUE"""),1.0)</f>
        <v>1</v>
      </c>
      <c r="D1121" s="1">
        <f>IFERROR(__xludf.DUMMYFUNCTION("""COMPUTED_VALUE"""),1.0)</f>
        <v>1</v>
      </c>
      <c r="E1121" s="1">
        <f>IFERROR(__xludf.DUMMYFUNCTION("""COMPUTED_VALUE"""),0.0)</f>
        <v>0</v>
      </c>
    </row>
    <row r="1122">
      <c r="A1122" s="1" t="str">
        <f>IFERROR(__xludf.DUMMYFUNCTION("""COMPUTED_VALUE"""),"XBOS051X25")</f>
        <v>XBOS051X25</v>
      </c>
      <c r="B1122" s="1">
        <f>IFERROR(__xludf.DUMMYFUNCTION("""COMPUTED_VALUE"""),3.0)</f>
        <v>3</v>
      </c>
      <c r="C1122" s="1">
        <f>IFERROR(__xludf.DUMMYFUNCTION("""COMPUTED_VALUE"""),3.0)</f>
        <v>3</v>
      </c>
      <c r="D1122" s="1">
        <f>IFERROR(__xludf.DUMMYFUNCTION("""COMPUTED_VALUE"""),3.0)</f>
        <v>3</v>
      </c>
      <c r="E1122" s="1">
        <f>IFERROR(__xludf.DUMMYFUNCTION("""COMPUTED_VALUE"""),0.0)</f>
        <v>0</v>
      </c>
    </row>
    <row r="1123">
      <c r="A1123" s="1" t="str">
        <f>IFERROR(__xludf.DUMMYFUNCTION("""COMPUTED_VALUE"""),"XBOS054X25")</f>
        <v>XBOS054X25</v>
      </c>
      <c r="B1123" s="1">
        <f>IFERROR(__xludf.DUMMYFUNCTION("""COMPUTED_VALUE"""),107.0)</f>
        <v>107</v>
      </c>
      <c r="C1123" s="1">
        <f>IFERROR(__xludf.DUMMYFUNCTION("""COMPUTED_VALUE"""),107.0)</f>
        <v>107</v>
      </c>
      <c r="D1123" s="1">
        <f>IFERROR(__xludf.DUMMYFUNCTION("""COMPUTED_VALUE"""),107.0)</f>
        <v>107</v>
      </c>
      <c r="E1123" s="1">
        <f>IFERROR(__xludf.DUMMYFUNCTION("""COMPUTED_VALUE"""),0.0)</f>
        <v>0</v>
      </c>
    </row>
    <row r="1124">
      <c r="A1124" s="1" t="str">
        <f>IFERROR(__xludf.DUMMYFUNCTION("""COMPUTED_VALUE"""),"XBOS060X10")</f>
        <v>XBOS060X10</v>
      </c>
      <c r="B1124" s="1">
        <f>IFERROR(__xludf.DUMMYFUNCTION("""COMPUTED_VALUE"""),487.0)</f>
        <v>487</v>
      </c>
      <c r="C1124" s="1">
        <f>IFERROR(__xludf.DUMMYFUNCTION("""COMPUTED_VALUE"""),487.0)</f>
        <v>487</v>
      </c>
      <c r="D1124" s="1">
        <f>IFERROR(__xludf.DUMMYFUNCTION("""COMPUTED_VALUE"""),487.0)</f>
        <v>487</v>
      </c>
      <c r="E1124" s="1">
        <f>IFERROR(__xludf.DUMMYFUNCTION("""COMPUTED_VALUE"""),0.0)</f>
        <v>0</v>
      </c>
    </row>
    <row r="1125">
      <c r="A1125" s="1" t="str">
        <f>IFERROR(__xludf.DUMMYFUNCTION("""COMPUTED_VALUE"""),"XBOS060X13")</f>
        <v>XBOS060X13</v>
      </c>
      <c r="B1125" s="1">
        <f>IFERROR(__xludf.DUMMYFUNCTION("""COMPUTED_VALUE"""),180.0)</f>
        <v>180</v>
      </c>
      <c r="C1125" s="1">
        <f>IFERROR(__xludf.DUMMYFUNCTION("""COMPUTED_VALUE"""),180.0)</f>
        <v>180</v>
      </c>
      <c r="D1125" s="1">
        <f>IFERROR(__xludf.DUMMYFUNCTION("""COMPUTED_VALUE"""),180.0)</f>
        <v>180</v>
      </c>
      <c r="E1125" s="1">
        <f>IFERROR(__xludf.DUMMYFUNCTION("""COMPUTED_VALUE"""),0.0)</f>
        <v>0</v>
      </c>
    </row>
    <row r="1126">
      <c r="A1126" s="1" t="str">
        <f>IFERROR(__xludf.DUMMYFUNCTION("""COMPUTED_VALUE"""),"XBOS060X19")</f>
        <v>XBOS060X19</v>
      </c>
      <c r="B1126" s="1">
        <f>IFERROR(__xludf.DUMMYFUNCTION("""COMPUTED_VALUE"""),120.0)</f>
        <v>120</v>
      </c>
      <c r="C1126" s="1">
        <f>IFERROR(__xludf.DUMMYFUNCTION("""COMPUTED_VALUE"""),120.0)</f>
        <v>120</v>
      </c>
      <c r="D1126" s="1">
        <f>IFERROR(__xludf.DUMMYFUNCTION("""COMPUTED_VALUE"""),120.0)</f>
        <v>120</v>
      </c>
      <c r="E1126" s="1">
        <f>IFERROR(__xludf.DUMMYFUNCTION("""COMPUTED_VALUE"""),0.0)</f>
        <v>0</v>
      </c>
    </row>
    <row r="1127">
      <c r="A1127" s="1" t="str">
        <f>IFERROR(__xludf.DUMMYFUNCTION("""COMPUTED_VALUE"""),"XBOS067X25")</f>
        <v>XBOS067X25</v>
      </c>
      <c r="B1127" s="1">
        <f>IFERROR(__xludf.DUMMYFUNCTION("""COMPUTED_VALUE"""),69.0)</f>
        <v>69</v>
      </c>
      <c r="C1127" s="1">
        <f>IFERROR(__xludf.DUMMYFUNCTION("""COMPUTED_VALUE"""),69.0)</f>
        <v>69</v>
      </c>
      <c r="D1127" s="1">
        <f>IFERROR(__xludf.DUMMYFUNCTION("""COMPUTED_VALUE"""),69.0)</f>
        <v>69</v>
      </c>
      <c r="E1127" s="1">
        <f>IFERROR(__xludf.DUMMYFUNCTION("""COMPUTED_VALUE"""),0.0)</f>
        <v>0</v>
      </c>
    </row>
    <row r="1128">
      <c r="A1128" s="1" t="str">
        <f>IFERROR(__xludf.DUMMYFUNCTION("""COMPUTED_VALUE"""),"XBOS067X32")</f>
        <v>XBOS067X32</v>
      </c>
      <c r="B1128" s="1">
        <f>IFERROR(__xludf.DUMMYFUNCTION("""COMPUTED_VALUE"""),7.0)</f>
        <v>7</v>
      </c>
      <c r="C1128" s="1">
        <f>IFERROR(__xludf.DUMMYFUNCTION("""COMPUTED_VALUE"""),7.0)</f>
        <v>7</v>
      </c>
      <c r="D1128" s="1">
        <f>IFERROR(__xludf.DUMMYFUNCTION("""COMPUTED_VALUE"""),7.0)</f>
        <v>7</v>
      </c>
      <c r="E1128" s="1">
        <f>IFERROR(__xludf.DUMMYFUNCTION("""COMPUTED_VALUE"""),0.0)</f>
        <v>0</v>
      </c>
    </row>
    <row r="1129">
      <c r="A1129" s="1" t="str">
        <f>IFERROR(__xludf.DUMMYFUNCTION("""COMPUTED_VALUE"""),"XBOS073X13")</f>
        <v>XBOS073X13</v>
      </c>
      <c r="B1129" s="1">
        <f>IFERROR(__xludf.DUMMYFUNCTION("""COMPUTED_VALUE"""),57.0)</f>
        <v>57</v>
      </c>
      <c r="C1129" s="1">
        <f>IFERROR(__xludf.DUMMYFUNCTION("""COMPUTED_VALUE"""),57.0)</f>
        <v>57</v>
      </c>
      <c r="D1129" s="1">
        <f>IFERROR(__xludf.DUMMYFUNCTION("""COMPUTED_VALUE"""),57.0)</f>
        <v>57</v>
      </c>
      <c r="E1129" s="1">
        <f>IFERROR(__xludf.DUMMYFUNCTION("""COMPUTED_VALUE"""),0.0)</f>
        <v>0</v>
      </c>
    </row>
    <row r="1130">
      <c r="A1130" s="1" t="str">
        <f>IFERROR(__xludf.DUMMYFUNCTION("""COMPUTED_VALUE"""),"XBOS089X38")</f>
        <v>XBOS089X38</v>
      </c>
      <c r="B1130" s="1">
        <f>IFERROR(__xludf.DUMMYFUNCTION("""COMPUTED_VALUE"""),1.0)</f>
        <v>1</v>
      </c>
      <c r="C1130" s="1">
        <f>IFERROR(__xludf.DUMMYFUNCTION("""COMPUTED_VALUE"""),1.0)</f>
        <v>1</v>
      </c>
      <c r="D1130" s="1">
        <f>IFERROR(__xludf.DUMMYFUNCTION("""COMPUTED_VALUE"""),1.0)</f>
        <v>1</v>
      </c>
      <c r="E1130" s="1">
        <f>IFERROR(__xludf.DUMMYFUNCTION("""COMPUTED_VALUE"""),0.0)</f>
        <v>0</v>
      </c>
    </row>
    <row r="1131">
      <c r="A1131" s="1" t="str">
        <f>IFERROR(__xludf.DUMMYFUNCTION("""COMPUTED_VALUE"""),"XBOS114X51")</f>
        <v>XBOS114X51</v>
      </c>
      <c r="B1131" s="1">
        <f>IFERROR(__xludf.DUMMYFUNCTION("""COMPUTED_VALUE"""),1.0)</f>
        <v>1</v>
      </c>
      <c r="C1131" s="1">
        <f>IFERROR(__xludf.DUMMYFUNCTION("""COMPUTED_VALUE"""),1.0)</f>
        <v>1</v>
      </c>
      <c r="D1131" s="1">
        <f>IFERROR(__xludf.DUMMYFUNCTION("""COMPUTED_VALUE"""),1.0)</f>
        <v>1</v>
      </c>
      <c r="E1131" s="1">
        <f>IFERROR(__xludf.DUMMYFUNCTION("""COMPUTED_VALUE"""),0.0)</f>
        <v>0</v>
      </c>
    </row>
    <row r="1132">
      <c r="A1132" s="1" t="str">
        <f>IFERROR(__xludf.DUMMYFUNCTION("""COMPUTED_VALUE"""),"XBOS133X13")</f>
        <v>XBOS133X13</v>
      </c>
      <c r="B1132" s="1">
        <f>IFERROR(__xludf.DUMMYFUNCTION("""COMPUTED_VALUE"""),56.0)</f>
        <v>56</v>
      </c>
      <c r="C1132" s="1">
        <f>IFERROR(__xludf.DUMMYFUNCTION("""COMPUTED_VALUE"""),56.0)</f>
        <v>56</v>
      </c>
      <c r="D1132" s="1">
        <f>IFERROR(__xludf.DUMMYFUNCTION("""COMPUTED_VALUE"""),56.0)</f>
        <v>56</v>
      </c>
      <c r="E1132" s="1">
        <f>IFERROR(__xludf.DUMMYFUNCTION("""COMPUTED_VALUE"""),0.0)</f>
        <v>0</v>
      </c>
    </row>
    <row r="1133">
      <c r="A1133" s="1" t="str">
        <f>IFERROR(__xludf.DUMMYFUNCTION("""COMPUTED_VALUE"""),"XBOS133X19")</f>
        <v>XBOS133X19</v>
      </c>
      <c r="B1133" s="1">
        <f>IFERROR(__xludf.DUMMYFUNCTION("""COMPUTED_VALUE"""),92.0)</f>
        <v>92</v>
      </c>
      <c r="C1133" s="1">
        <f>IFERROR(__xludf.DUMMYFUNCTION("""COMPUTED_VALUE"""),92.0)</f>
        <v>92</v>
      </c>
      <c r="D1133" s="1">
        <f>IFERROR(__xludf.DUMMYFUNCTION("""COMPUTED_VALUE"""),92.0)</f>
        <v>92</v>
      </c>
      <c r="E1133" s="1">
        <f>IFERROR(__xludf.DUMMYFUNCTION("""COMPUTED_VALUE"""),0.0)</f>
        <v>0</v>
      </c>
    </row>
    <row r="1134">
      <c r="A1134" s="1" t="str">
        <f>IFERROR(__xludf.DUMMYFUNCTION("""COMPUTED_VALUE"""),"XBOS140X38")</f>
        <v>XBOS140X38</v>
      </c>
      <c r="B1134" s="1">
        <f>IFERROR(__xludf.DUMMYFUNCTION("""COMPUTED_VALUE"""),1.0)</f>
        <v>1</v>
      </c>
      <c r="C1134" s="1">
        <f>IFERROR(__xludf.DUMMYFUNCTION("""COMPUTED_VALUE"""),1.0)</f>
        <v>1</v>
      </c>
      <c r="D1134" s="1">
        <f>IFERROR(__xludf.DUMMYFUNCTION("""COMPUTED_VALUE"""),1.0)</f>
        <v>1</v>
      </c>
      <c r="E1134" s="1">
        <f>IFERROR(__xludf.DUMMYFUNCTION("""COMPUTED_VALUE"""),0.0)</f>
        <v>0</v>
      </c>
    </row>
    <row r="1135">
      <c r="A1135" s="1" t="str">
        <f>IFERROR(__xludf.DUMMYFUNCTION("""COMPUTED_VALUE"""),"XBOS160X19")</f>
        <v>XBOS160X19</v>
      </c>
      <c r="B1135" s="1">
        <f>IFERROR(__xludf.DUMMYFUNCTION("""COMPUTED_VALUE"""),71.0)</f>
        <v>71</v>
      </c>
      <c r="C1135" s="1">
        <f>IFERROR(__xludf.DUMMYFUNCTION("""COMPUTED_VALUE"""),71.0)</f>
        <v>71</v>
      </c>
      <c r="D1135" s="1">
        <f>IFERROR(__xludf.DUMMYFUNCTION("""COMPUTED_VALUE"""),71.0)</f>
        <v>71</v>
      </c>
      <c r="E1135" s="1">
        <f>IFERROR(__xludf.DUMMYFUNCTION("""COMPUTED_VALUE"""),0.0)</f>
        <v>0</v>
      </c>
    </row>
    <row r="1136">
      <c r="A1136" s="1" t="str">
        <f>IFERROR(__xludf.DUMMYFUNCTION("""COMPUTED_VALUE"""),"XBOSVN006X10.195")</f>
        <v>XBOSVN006X10.195</v>
      </c>
      <c r="B1136" s="1">
        <f>IFERROR(__xludf.DUMMYFUNCTION("""COMPUTED_VALUE"""),7990.0)</f>
        <v>7990</v>
      </c>
      <c r="C1136" s="1">
        <f>IFERROR(__xludf.DUMMYFUNCTION("""COMPUTED_VALUE"""),8198.0)</f>
        <v>8198</v>
      </c>
      <c r="D1136" s="1">
        <f>IFERROR(__xludf.DUMMYFUNCTION("""COMPUTED_VALUE"""),7990.0)</f>
        <v>7990</v>
      </c>
      <c r="E1136" s="1">
        <f>IFERROR(__xludf.DUMMYFUNCTION("""COMPUTED_VALUE"""),208.0)</f>
        <v>208</v>
      </c>
    </row>
    <row r="1137">
      <c r="A1137" s="1" t="str">
        <f>IFERROR(__xludf.DUMMYFUNCTION("""COMPUTED_VALUE"""),"XBOSVN006X13.120")</f>
        <v>XBOSVN006X13.120</v>
      </c>
      <c r="B1137" s="1">
        <f>IFERROR(__xludf.DUMMYFUNCTION("""COMPUTED_VALUE"""),9483.0)</f>
        <v>9483</v>
      </c>
      <c r="C1137" s="1">
        <f>IFERROR(__xludf.DUMMYFUNCTION("""COMPUTED_VALUE"""),10660.0)</f>
        <v>10660</v>
      </c>
      <c r="D1137" s="1">
        <f>IFERROR(__xludf.DUMMYFUNCTION("""COMPUTED_VALUE"""),9483.0)</f>
        <v>9483</v>
      </c>
      <c r="E1137" s="1">
        <f>IFERROR(__xludf.DUMMYFUNCTION("""COMPUTED_VALUE"""),1177.0)</f>
        <v>1177</v>
      </c>
    </row>
    <row r="1138">
      <c r="A1138" s="1" t="str">
        <f>IFERROR(__xludf.DUMMYFUNCTION("""COMPUTED_VALUE"""),"XBOSVN006X19")</f>
        <v>XBOSVN006X19</v>
      </c>
      <c r="B1138" s="1">
        <f>IFERROR(__xludf.DUMMYFUNCTION("""COMPUTED_VALUE"""),2807.0)</f>
        <v>2807</v>
      </c>
      <c r="C1138" s="1">
        <f>IFERROR(__xludf.DUMMYFUNCTION("""COMPUTED_VALUE"""),5481.0)</f>
        <v>5481</v>
      </c>
      <c r="D1138" s="1">
        <f>IFERROR(__xludf.DUMMYFUNCTION("""COMPUTED_VALUE"""),2807.0)</f>
        <v>2807</v>
      </c>
      <c r="E1138" s="1">
        <f>IFERROR(__xludf.DUMMYFUNCTION("""COMPUTED_VALUE"""),2674.0)</f>
        <v>2674</v>
      </c>
    </row>
    <row r="1139">
      <c r="A1139" s="1" t="str">
        <f>IFERROR(__xludf.DUMMYFUNCTION("""COMPUTED_VALUE"""),"XBOSVN006X19C0")</f>
        <v>XBOSVN006X19C0</v>
      </c>
      <c r="B1139" s="1">
        <f>IFERROR(__xludf.DUMMYFUNCTION("""COMPUTED_VALUE"""),206.0)</f>
        <v>206</v>
      </c>
      <c r="C1139" s="1">
        <f>IFERROR(__xludf.DUMMYFUNCTION("""COMPUTED_VALUE"""),206.0)</f>
        <v>206</v>
      </c>
      <c r="D1139" s="1">
        <f>IFERROR(__xludf.DUMMYFUNCTION("""COMPUTED_VALUE"""),206.0)</f>
        <v>206</v>
      </c>
      <c r="E1139" s="1">
        <f>IFERROR(__xludf.DUMMYFUNCTION("""COMPUTED_VALUE"""),0.0)</f>
        <v>0</v>
      </c>
    </row>
    <row r="1140">
      <c r="A1140" s="1" t="str">
        <f>IFERROR(__xludf.DUMMYFUNCTION("""COMPUTED_VALUE"""),"XBOSVN010X10.140")</f>
        <v>XBOSVN010X10.140</v>
      </c>
      <c r="B1140" s="1">
        <f>IFERROR(__xludf.DUMMYFUNCTION("""COMPUTED_VALUE"""),4099.0)</f>
        <v>4099</v>
      </c>
      <c r="C1140" s="1">
        <f>IFERROR(__xludf.DUMMYFUNCTION("""COMPUTED_VALUE"""),4385.0)</f>
        <v>4385</v>
      </c>
      <c r="D1140" s="1">
        <f>IFERROR(__xludf.DUMMYFUNCTION("""COMPUTED_VALUE"""),4099.0)</f>
        <v>4099</v>
      </c>
      <c r="E1140" s="1">
        <f>IFERROR(__xludf.DUMMYFUNCTION("""COMPUTED_VALUE"""),286.0)</f>
        <v>286</v>
      </c>
    </row>
    <row r="1141">
      <c r="A1141" s="1" t="str">
        <f>IFERROR(__xludf.DUMMYFUNCTION("""COMPUTED_VALUE"""),"XBOSVN010X13.100")</f>
        <v>XBOSVN010X13.100</v>
      </c>
      <c r="B1141" s="1">
        <f>IFERROR(__xludf.DUMMYFUNCTION("""COMPUTED_VALUE"""),8391.0)</f>
        <v>8391</v>
      </c>
      <c r="C1141" s="1">
        <f>IFERROR(__xludf.DUMMYFUNCTION("""COMPUTED_VALUE"""),9756.0)</f>
        <v>9756</v>
      </c>
      <c r="D1141" s="1">
        <f>IFERROR(__xludf.DUMMYFUNCTION("""COMPUTED_VALUE"""),8391.0)</f>
        <v>8391</v>
      </c>
      <c r="E1141" s="1">
        <f>IFERROR(__xludf.DUMMYFUNCTION("""COMPUTED_VALUE"""),1365.0)</f>
        <v>1365</v>
      </c>
    </row>
    <row r="1142">
      <c r="A1142" s="1" t="str">
        <f>IFERROR(__xludf.DUMMYFUNCTION("""COMPUTED_VALUE"""),"XBOSVN010X19")</f>
        <v>XBOSVN010X19</v>
      </c>
      <c r="B1142" s="1">
        <f>IFERROR(__xludf.DUMMYFUNCTION("""COMPUTED_VALUE"""),6682.0)</f>
        <v>6682</v>
      </c>
      <c r="C1142" s="1">
        <f>IFERROR(__xludf.DUMMYFUNCTION("""COMPUTED_VALUE"""),8374.0)</f>
        <v>8374</v>
      </c>
      <c r="D1142" s="1">
        <f>IFERROR(__xludf.DUMMYFUNCTION("""COMPUTED_VALUE"""),6682.0)</f>
        <v>6682</v>
      </c>
      <c r="E1142" s="1">
        <f>IFERROR(__xludf.DUMMYFUNCTION("""COMPUTED_VALUE"""),1692.0)</f>
        <v>1692</v>
      </c>
    </row>
    <row r="1143">
      <c r="A1143" s="1" t="str">
        <f>IFERROR(__xludf.DUMMYFUNCTION("""COMPUTED_VALUE"""),"XBOSVN010X25")</f>
        <v>XBOSVN010X25</v>
      </c>
      <c r="B1143" s="1">
        <f>IFERROR(__xludf.DUMMYFUNCTION("""COMPUTED_VALUE"""),749.0)</f>
        <v>749</v>
      </c>
      <c r="C1143" s="1">
        <f>IFERROR(__xludf.DUMMYFUNCTION("""COMPUTED_VALUE"""),752.0)</f>
        <v>752</v>
      </c>
      <c r="D1143" s="1">
        <f>IFERROR(__xludf.DUMMYFUNCTION("""COMPUTED_VALUE"""),749.0)</f>
        <v>749</v>
      </c>
      <c r="E1143" s="1">
        <f>IFERROR(__xludf.DUMMYFUNCTION("""COMPUTED_VALUE"""),3.0)</f>
        <v>3</v>
      </c>
    </row>
    <row r="1144">
      <c r="A1144" s="1" t="str">
        <f>IFERROR(__xludf.DUMMYFUNCTION("""COMPUTED_VALUE"""),"XBOSVN013X10.105")</f>
        <v>XBOSVN013X10.105</v>
      </c>
      <c r="B1144" s="1">
        <f>IFERROR(__xludf.DUMMYFUNCTION("""COMPUTED_VALUE"""),269.0)</f>
        <v>269</v>
      </c>
      <c r="C1144" s="1">
        <f>IFERROR(__xludf.DUMMYFUNCTION("""COMPUTED_VALUE"""),269.0)</f>
        <v>269</v>
      </c>
      <c r="D1144" s="1">
        <f>IFERROR(__xludf.DUMMYFUNCTION("""COMPUTED_VALUE"""),269.0)</f>
        <v>269</v>
      </c>
      <c r="E1144" s="1">
        <f>IFERROR(__xludf.DUMMYFUNCTION("""COMPUTED_VALUE"""),0.0)</f>
        <v>0</v>
      </c>
    </row>
    <row r="1145">
      <c r="A1145" s="1" t="str">
        <f>IFERROR(__xludf.DUMMYFUNCTION("""COMPUTED_VALUE"""),"XBOSVN013X10.120")</f>
        <v>XBOSVN013X10.120</v>
      </c>
      <c r="B1145" s="1">
        <f>IFERROR(__xludf.DUMMYFUNCTION("""COMPUTED_VALUE"""),5344.0)</f>
        <v>5344</v>
      </c>
      <c r="C1145" s="1">
        <f>IFERROR(__xludf.DUMMYFUNCTION("""COMPUTED_VALUE"""),5367.0)</f>
        <v>5367</v>
      </c>
      <c r="D1145" s="1">
        <f>IFERROR(__xludf.DUMMYFUNCTION("""COMPUTED_VALUE"""),5344.0)</f>
        <v>5344</v>
      </c>
      <c r="E1145" s="1">
        <f>IFERROR(__xludf.DUMMYFUNCTION("""COMPUTED_VALUE"""),23.0)</f>
        <v>23</v>
      </c>
    </row>
    <row r="1146">
      <c r="A1146" s="1" t="str">
        <f>IFERROR(__xludf.DUMMYFUNCTION("""COMPUTED_VALUE"""),"XBOSVN013X13")</f>
        <v>XBOSVN013X13</v>
      </c>
      <c r="B1146" s="1">
        <f>IFERROR(__xludf.DUMMYFUNCTION("""COMPUTED_VALUE"""),316.0)</f>
        <v>316</v>
      </c>
      <c r="C1146" s="1">
        <f>IFERROR(__xludf.DUMMYFUNCTION("""COMPUTED_VALUE"""),316.0)</f>
        <v>316</v>
      </c>
      <c r="D1146" s="1">
        <f>IFERROR(__xludf.DUMMYFUNCTION("""COMPUTED_VALUE"""),316.0)</f>
        <v>316</v>
      </c>
      <c r="E1146" s="1">
        <f>IFERROR(__xludf.DUMMYFUNCTION("""COMPUTED_VALUE"""),0.0)</f>
        <v>0</v>
      </c>
    </row>
    <row r="1147">
      <c r="A1147" s="1" t="str">
        <f>IFERROR(__xludf.DUMMYFUNCTION("""COMPUTED_VALUE"""),"XBOSVN013X13.080")</f>
        <v>XBOSVN013X13.080</v>
      </c>
      <c r="B1147" s="1">
        <f>IFERROR(__xludf.DUMMYFUNCTION("""COMPUTED_VALUE"""),215.0)</f>
        <v>215</v>
      </c>
      <c r="C1147" s="1">
        <f>IFERROR(__xludf.DUMMYFUNCTION("""COMPUTED_VALUE"""),3297.0)</f>
        <v>3297</v>
      </c>
      <c r="D1147" s="1">
        <f>IFERROR(__xludf.DUMMYFUNCTION("""COMPUTED_VALUE"""),215.0)</f>
        <v>215</v>
      </c>
      <c r="E1147" s="1">
        <f>IFERROR(__xludf.DUMMYFUNCTION("""COMPUTED_VALUE"""),3082.0)</f>
        <v>3082</v>
      </c>
    </row>
    <row r="1148">
      <c r="A1148" s="1" t="str">
        <f>IFERROR(__xludf.DUMMYFUNCTION("""COMPUTED_VALUE"""),"XBOSVN013X19")</f>
        <v>XBOSVN013X19</v>
      </c>
      <c r="B1148" s="1">
        <f>IFERROR(__xludf.DUMMYFUNCTION("""COMPUTED_VALUE"""),3221.0)</f>
        <v>3221</v>
      </c>
      <c r="C1148" s="1">
        <f>IFERROR(__xludf.DUMMYFUNCTION("""COMPUTED_VALUE"""),6735.0)</f>
        <v>6735</v>
      </c>
      <c r="D1148" s="1">
        <f>IFERROR(__xludf.DUMMYFUNCTION("""COMPUTED_VALUE"""),3221.0)</f>
        <v>3221</v>
      </c>
      <c r="E1148" s="1">
        <f>IFERROR(__xludf.DUMMYFUNCTION("""COMPUTED_VALUE"""),3514.0)</f>
        <v>3514</v>
      </c>
    </row>
    <row r="1149">
      <c r="A1149" s="1" t="str">
        <f>IFERROR(__xludf.DUMMYFUNCTION("""COMPUTED_VALUE"""),"XBOSVN013X25.025")</f>
        <v>XBOSVN013X25.025</v>
      </c>
      <c r="B1149" s="1">
        <f>IFERROR(__xludf.DUMMYFUNCTION("""COMPUTED_VALUE"""),924.0)</f>
        <v>924</v>
      </c>
      <c r="C1149" s="1">
        <f>IFERROR(__xludf.DUMMYFUNCTION("""COMPUTED_VALUE"""),1015.0)</f>
        <v>1015</v>
      </c>
      <c r="D1149" s="1">
        <f>IFERROR(__xludf.DUMMYFUNCTION("""COMPUTED_VALUE"""),924.0)</f>
        <v>924</v>
      </c>
      <c r="E1149" s="1">
        <f>IFERROR(__xludf.DUMMYFUNCTION("""COMPUTED_VALUE"""),91.0)</f>
        <v>91</v>
      </c>
    </row>
    <row r="1150">
      <c r="A1150" s="1" t="str">
        <f>IFERROR(__xludf.DUMMYFUNCTION("""COMPUTED_VALUE"""),"XBOSVN016X10.100")</f>
        <v>XBOSVN016X10.100</v>
      </c>
      <c r="B1150" s="1">
        <f>IFERROR(__xludf.DUMMYFUNCTION("""COMPUTED_VALUE"""),19249.0)</f>
        <v>19249</v>
      </c>
      <c r="C1150" s="1">
        <f>IFERROR(__xludf.DUMMYFUNCTION("""COMPUTED_VALUE"""),19249.0)</f>
        <v>19249</v>
      </c>
      <c r="D1150" s="1">
        <f>IFERROR(__xludf.DUMMYFUNCTION("""COMPUTED_VALUE"""),19249.0)</f>
        <v>19249</v>
      </c>
      <c r="E1150" s="1">
        <f>IFERROR(__xludf.DUMMYFUNCTION("""COMPUTED_VALUE"""),0.0)</f>
        <v>0</v>
      </c>
    </row>
    <row r="1151">
      <c r="A1151" s="1" t="str">
        <f>IFERROR(__xludf.DUMMYFUNCTION("""COMPUTED_VALUE"""),"XBOSVN016X13.072")</f>
        <v>XBOSVN016X13.072</v>
      </c>
      <c r="B1151" s="1">
        <f>IFERROR(__xludf.DUMMYFUNCTION("""COMPUTED_VALUE"""),2253.0)</f>
        <v>2253</v>
      </c>
      <c r="C1151" s="1">
        <f>IFERROR(__xludf.DUMMYFUNCTION("""COMPUTED_VALUE"""),2253.0)</f>
        <v>2253</v>
      </c>
      <c r="D1151" s="1">
        <f>IFERROR(__xludf.DUMMYFUNCTION("""COMPUTED_VALUE"""),2253.0)</f>
        <v>2253</v>
      </c>
      <c r="E1151" s="1">
        <f>IFERROR(__xludf.DUMMYFUNCTION("""COMPUTED_VALUE"""),0.0)</f>
        <v>0</v>
      </c>
    </row>
    <row r="1152">
      <c r="A1152" s="1" t="str">
        <f>IFERROR(__xludf.DUMMYFUNCTION("""COMPUTED_VALUE"""),"XBOSVN016X19")</f>
        <v>XBOSVN016X19</v>
      </c>
      <c r="B1152" s="1">
        <f>IFERROR(__xludf.DUMMYFUNCTION("""COMPUTED_VALUE"""),3515.0)</f>
        <v>3515</v>
      </c>
      <c r="C1152" s="1">
        <f>IFERROR(__xludf.DUMMYFUNCTION("""COMPUTED_VALUE"""),4617.0)</f>
        <v>4617</v>
      </c>
      <c r="D1152" s="1">
        <f>IFERROR(__xludf.DUMMYFUNCTION("""COMPUTED_VALUE"""),3515.0)</f>
        <v>3515</v>
      </c>
      <c r="E1152" s="1">
        <f>IFERROR(__xludf.DUMMYFUNCTION("""COMPUTED_VALUE"""),1102.0)</f>
        <v>1102</v>
      </c>
    </row>
    <row r="1153">
      <c r="A1153" s="1" t="str">
        <f>IFERROR(__xludf.DUMMYFUNCTION("""COMPUTED_VALUE"""),"XBOSVN016X25.023")</f>
        <v>XBOSVN016X25.023</v>
      </c>
      <c r="B1153" s="1">
        <f>IFERROR(__xludf.DUMMYFUNCTION("""COMPUTED_VALUE"""),773.0)</f>
        <v>773</v>
      </c>
      <c r="C1153" s="1">
        <f>IFERROR(__xludf.DUMMYFUNCTION("""COMPUTED_VALUE"""),951.0)</f>
        <v>951</v>
      </c>
      <c r="D1153" s="1">
        <f>IFERROR(__xludf.DUMMYFUNCTION("""COMPUTED_VALUE"""),773.0)</f>
        <v>773</v>
      </c>
      <c r="E1153" s="1">
        <f>IFERROR(__xludf.DUMMYFUNCTION("""COMPUTED_VALUE"""),178.0)</f>
        <v>178</v>
      </c>
    </row>
    <row r="1154">
      <c r="A1154" s="1" t="str">
        <f>IFERROR(__xludf.DUMMYFUNCTION("""COMPUTED_VALUE"""),"XBOSVN016X38")</f>
        <v>XBOSVN016X38</v>
      </c>
      <c r="B1154" s="1">
        <f>IFERROR(__xludf.DUMMYFUNCTION("""COMPUTED_VALUE"""),5.0)</f>
        <v>5</v>
      </c>
      <c r="C1154" s="1">
        <f>IFERROR(__xludf.DUMMYFUNCTION("""COMPUTED_VALUE"""),5.0)</f>
        <v>5</v>
      </c>
      <c r="D1154" s="1">
        <f>IFERROR(__xludf.DUMMYFUNCTION("""COMPUTED_VALUE"""),5.0)</f>
        <v>5</v>
      </c>
      <c r="E1154" s="1">
        <f>IFERROR(__xludf.DUMMYFUNCTION("""COMPUTED_VALUE"""),0.0)</f>
        <v>0</v>
      </c>
    </row>
    <row r="1155">
      <c r="A1155" s="1" t="str">
        <f>IFERROR(__xludf.DUMMYFUNCTION("""COMPUTED_VALUE"""),"XBOSVN019X10.080")</f>
        <v>XBOSVN019X10.080</v>
      </c>
      <c r="B1155" s="1">
        <f>IFERROR(__xludf.DUMMYFUNCTION("""COMPUTED_VALUE"""),19240.0)</f>
        <v>19240</v>
      </c>
      <c r="C1155" s="1">
        <f>IFERROR(__xludf.DUMMYFUNCTION("""COMPUTED_VALUE"""),19240.0)</f>
        <v>19240</v>
      </c>
      <c r="D1155" s="1">
        <f>IFERROR(__xludf.DUMMYFUNCTION("""COMPUTED_VALUE"""),19240.0)</f>
        <v>19240</v>
      </c>
      <c r="E1155" s="1">
        <f>IFERROR(__xludf.DUMMYFUNCTION("""COMPUTED_VALUE"""),0.0)</f>
        <v>0</v>
      </c>
    </row>
    <row r="1156">
      <c r="A1156" s="1" t="str">
        <f>IFERROR(__xludf.DUMMYFUNCTION("""COMPUTED_VALUE"""),"XBOSVN019X13.064")</f>
        <v>XBOSVN019X13.064</v>
      </c>
      <c r="B1156" s="1">
        <f>IFERROR(__xludf.DUMMYFUNCTION("""COMPUTED_VALUE"""),4971.0)</f>
        <v>4971</v>
      </c>
      <c r="C1156" s="1">
        <f>IFERROR(__xludf.DUMMYFUNCTION("""COMPUTED_VALUE"""),6385.0)</f>
        <v>6385</v>
      </c>
      <c r="D1156" s="1">
        <f>IFERROR(__xludf.DUMMYFUNCTION("""COMPUTED_VALUE"""),4971.0)</f>
        <v>4971</v>
      </c>
      <c r="E1156" s="1">
        <f>IFERROR(__xludf.DUMMYFUNCTION("""COMPUTED_VALUE"""),1414.0)</f>
        <v>1414</v>
      </c>
    </row>
    <row r="1157">
      <c r="A1157" s="1" t="str">
        <f>IFERROR(__xludf.DUMMYFUNCTION("""COMPUTED_VALUE"""),"XBOSVN019X19")</f>
        <v>XBOSVN019X19</v>
      </c>
      <c r="B1157" s="1">
        <f>IFERROR(__xludf.DUMMYFUNCTION("""COMPUTED_VALUE"""),2423.0)</f>
        <v>2423</v>
      </c>
      <c r="C1157" s="1">
        <f>IFERROR(__xludf.DUMMYFUNCTION("""COMPUTED_VALUE"""),4517.0)</f>
        <v>4517</v>
      </c>
      <c r="D1157" s="1">
        <f>IFERROR(__xludf.DUMMYFUNCTION("""COMPUTED_VALUE"""),2423.0)</f>
        <v>2423</v>
      </c>
      <c r="E1157" s="1">
        <f>IFERROR(__xludf.DUMMYFUNCTION("""COMPUTED_VALUE"""),2094.0)</f>
        <v>2094</v>
      </c>
    </row>
    <row r="1158">
      <c r="A1158" s="1" t="str">
        <f>IFERROR(__xludf.DUMMYFUNCTION("""COMPUTED_VALUE"""),"XBOSVN019X25")</f>
        <v>XBOSVN019X25</v>
      </c>
      <c r="B1158" s="1">
        <f>IFERROR(__xludf.DUMMYFUNCTION("""COMPUTED_VALUE"""),671.0)</f>
        <v>671</v>
      </c>
      <c r="C1158" s="1">
        <f>IFERROR(__xludf.DUMMYFUNCTION("""COMPUTED_VALUE"""),1340.0)</f>
        <v>1340</v>
      </c>
      <c r="D1158" s="1">
        <f>IFERROR(__xludf.DUMMYFUNCTION("""COMPUTED_VALUE"""),671.0)</f>
        <v>671</v>
      </c>
      <c r="E1158" s="1">
        <f>IFERROR(__xludf.DUMMYFUNCTION("""COMPUTED_VALUE"""),669.0)</f>
        <v>669</v>
      </c>
    </row>
    <row r="1159">
      <c r="A1159" s="1" t="str">
        <f>IFERROR(__xludf.DUMMYFUNCTION("""COMPUTED_VALUE"""),"XBOSVN022X10.072")</f>
        <v>XBOSVN022X10.072</v>
      </c>
      <c r="B1159" s="1">
        <f>IFERROR(__xludf.DUMMYFUNCTION("""COMPUTED_VALUE"""),4068.0)</f>
        <v>4068</v>
      </c>
      <c r="C1159" s="1">
        <f>IFERROR(__xludf.DUMMYFUNCTION("""COMPUTED_VALUE"""),4500.0)</f>
        <v>4500</v>
      </c>
      <c r="D1159" s="1">
        <f>IFERROR(__xludf.DUMMYFUNCTION("""COMPUTED_VALUE"""),4068.0)</f>
        <v>4068</v>
      </c>
      <c r="E1159" s="1">
        <f>IFERROR(__xludf.DUMMYFUNCTION("""COMPUTED_VALUE"""),432.0)</f>
        <v>432</v>
      </c>
    </row>
    <row r="1160">
      <c r="A1160" s="1" t="str">
        <f>IFERROR(__xludf.DUMMYFUNCTION("""COMPUTED_VALUE"""),"XBOSVN022X13")</f>
        <v>XBOSVN022X13</v>
      </c>
      <c r="B1160" s="1">
        <f>IFERROR(__xludf.DUMMYFUNCTION("""COMPUTED_VALUE"""),345.0)</f>
        <v>345</v>
      </c>
      <c r="C1160" s="1">
        <f>IFERROR(__xludf.DUMMYFUNCTION("""COMPUTED_VALUE"""),345.0)</f>
        <v>345</v>
      </c>
      <c r="D1160" s="1">
        <f>IFERROR(__xludf.DUMMYFUNCTION("""COMPUTED_VALUE"""),345.0)</f>
        <v>345</v>
      </c>
      <c r="E1160" s="1">
        <f>IFERROR(__xludf.DUMMYFUNCTION("""COMPUTED_VALUE"""),0.0)</f>
        <v>0</v>
      </c>
    </row>
    <row r="1161">
      <c r="A1161" s="1" t="str">
        <f>IFERROR(__xludf.DUMMYFUNCTION("""COMPUTED_VALUE"""),"XBOSVN022X13.056")</f>
        <v>XBOSVN022X13.056</v>
      </c>
      <c r="B1161" s="1">
        <f>IFERROR(__xludf.DUMMYFUNCTION("""COMPUTED_VALUE"""),3763.0)</f>
        <v>3763</v>
      </c>
      <c r="C1161" s="1">
        <f>IFERROR(__xludf.DUMMYFUNCTION("""COMPUTED_VALUE"""),5043.0)</f>
        <v>5043</v>
      </c>
      <c r="D1161" s="1">
        <f>IFERROR(__xludf.DUMMYFUNCTION("""COMPUTED_VALUE"""),3763.0)</f>
        <v>3763</v>
      </c>
      <c r="E1161" s="1">
        <f>IFERROR(__xludf.DUMMYFUNCTION("""COMPUTED_VALUE"""),1280.0)</f>
        <v>1280</v>
      </c>
    </row>
    <row r="1162">
      <c r="A1162" s="1" t="str">
        <f>IFERROR(__xludf.DUMMYFUNCTION("""COMPUTED_VALUE"""),"XBOSVN022X19.027")</f>
        <v>XBOSVN022X19.027</v>
      </c>
      <c r="B1162" s="1">
        <f>IFERROR(__xludf.DUMMYFUNCTION("""COMPUTED_VALUE"""),1938.0)</f>
        <v>1938</v>
      </c>
      <c r="C1162" s="1">
        <f>IFERROR(__xludf.DUMMYFUNCTION("""COMPUTED_VALUE"""),4103.0)</f>
        <v>4103</v>
      </c>
      <c r="D1162" s="1">
        <f>IFERROR(__xludf.DUMMYFUNCTION("""COMPUTED_VALUE"""),1938.0)</f>
        <v>1938</v>
      </c>
      <c r="E1162" s="1">
        <f>IFERROR(__xludf.DUMMYFUNCTION("""COMPUTED_VALUE"""),2165.0)</f>
        <v>2165</v>
      </c>
    </row>
    <row r="1163">
      <c r="A1163" s="1" t="str">
        <f>IFERROR(__xludf.DUMMYFUNCTION("""COMPUTED_VALUE"""),"XBOSVN022X25")</f>
        <v>XBOSVN022X25</v>
      </c>
      <c r="B1163" s="1">
        <f>IFERROR(__xludf.DUMMYFUNCTION("""COMPUTED_VALUE"""),774.0)</f>
        <v>774</v>
      </c>
      <c r="C1163" s="1">
        <f>IFERROR(__xludf.DUMMYFUNCTION("""COMPUTED_VALUE"""),1485.0)</f>
        <v>1485</v>
      </c>
      <c r="D1163" s="1">
        <f>IFERROR(__xludf.DUMMYFUNCTION("""COMPUTED_VALUE"""),774.0)</f>
        <v>774</v>
      </c>
      <c r="E1163" s="1">
        <f>IFERROR(__xludf.DUMMYFUNCTION("""COMPUTED_VALUE"""),711.0)</f>
        <v>711</v>
      </c>
    </row>
    <row r="1164">
      <c r="A1164" s="1" t="str">
        <f>IFERROR(__xludf.DUMMYFUNCTION("""COMPUTED_VALUE"""),"XBOSVN022X32")</f>
        <v>XBOSVN022X32</v>
      </c>
      <c r="B1164" s="1">
        <f>IFERROR(__xludf.DUMMYFUNCTION("""COMPUTED_VALUE"""),6.0)</f>
        <v>6</v>
      </c>
      <c r="C1164" s="1">
        <f>IFERROR(__xludf.DUMMYFUNCTION("""COMPUTED_VALUE"""),6.0)</f>
        <v>6</v>
      </c>
      <c r="D1164" s="1">
        <f>IFERROR(__xludf.DUMMYFUNCTION("""COMPUTED_VALUE"""),6.0)</f>
        <v>6</v>
      </c>
      <c r="E1164" s="1">
        <f>IFERROR(__xludf.DUMMYFUNCTION("""COMPUTED_VALUE"""),0.0)</f>
        <v>0</v>
      </c>
    </row>
    <row r="1165">
      <c r="A1165" s="1" t="str">
        <f>IFERROR(__xludf.DUMMYFUNCTION("""COMPUTED_VALUE"""),"XBOSVN025X10.063")</f>
        <v>XBOSVN025X10.063</v>
      </c>
      <c r="B1165" s="1">
        <f>IFERROR(__xludf.DUMMYFUNCTION("""COMPUTED_VALUE"""),1884.0)</f>
        <v>1884</v>
      </c>
      <c r="C1165" s="1">
        <f>IFERROR(__xludf.DUMMYFUNCTION("""COMPUTED_VALUE"""),1884.0)</f>
        <v>1884</v>
      </c>
      <c r="D1165" s="1">
        <f>IFERROR(__xludf.DUMMYFUNCTION("""COMPUTED_VALUE"""),1884.0)</f>
        <v>1884</v>
      </c>
      <c r="E1165" s="1">
        <f>IFERROR(__xludf.DUMMYFUNCTION("""COMPUTED_VALUE"""),0.0)</f>
        <v>0</v>
      </c>
    </row>
    <row r="1166">
      <c r="A1166" s="1" t="str">
        <f>IFERROR(__xludf.DUMMYFUNCTION("""COMPUTED_VALUE"""),"XBOSVN025X19.024")</f>
        <v>XBOSVN025X19.024</v>
      </c>
      <c r="B1166" s="1">
        <f>IFERROR(__xludf.DUMMYFUNCTION("""COMPUTED_VALUE"""),16.0)</f>
        <v>16</v>
      </c>
      <c r="C1166" s="1">
        <f>IFERROR(__xludf.DUMMYFUNCTION("""COMPUTED_VALUE"""),563.0)</f>
        <v>563</v>
      </c>
      <c r="D1166" s="1">
        <f>IFERROR(__xludf.DUMMYFUNCTION("""COMPUTED_VALUE"""),16.0)</f>
        <v>16</v>
      </c>
      <c r="E1166" s="1">
        <f>IFERROR(__xludf.DUMMYFUNCTION("""COMPUTED_VALUE"""),547.0)</f>
        <v>547</v>
      </c>
    </row>
    <row r="1167">
      <c r="A1167" s="1" t="str">
        <f>IFERROR(__xludf.DUMMYFUNCTION("""COMPUTED_VALUE"""),"XBOSVN025X25.017")</f>
        <v>XBOSVN025X25.017</v>
      </c>
      <c r="B1167" s="1">
        <f>IFERROR(__xludf.DUMMYFUNCTION("""COMPUTED_VALUE"""),363.0)</f>
        <v>363</v>
      </c>
      <c r="C1167" s="1">
        <f>IFERROR(__xludf.DUMMYFUNCTION("""COMPUTED_VALUE"""),363.0)</f>
        <v>363</v>
      </c>
      <c r="D1167" s="1">
        <f>IFERROR(__xludf.DUMMYFUNCTION("""COMPUTED_VALUE"""),363.0)</f>
        <v>363</v>
      </c>
      <c r="E1167" s="1">
        <f>IFERROR(__xludf.DUMMYFUNCTION("""COMPUTED_VALUE"""),0.0)</f>
        <v>0</v>
      </c>
    </row>
    <row r="1168">
      <c r="A1168" s="1" t="str">
        <f>IFERROR(__xludf.DUMMYFUNCTION("""COMPUTED_VALUE"""),"XBOSVN028X10")</f>
        <v>XBOSVN028X10</v>
      </c>
      <c r="B1168" s="1">
        <f>IFERROR(__xludf.DUMMYFUNCTION("""COMPUTED_VALUE"""),5260.0)</f>
        <v>5260</v>
      </c>
      <c r="C1168" s="1">
        <f>IFERROR(__xludf.DUMMYFUNCTION("""COMPUTED_VALUE"""),5798.0)</f>
        <v>5798</v>
      </c>
      <c r="D1168" s="1">
        <f>IFERROR(__xludf.DUMMYFUNCTION("""COMPUTED_VALUE"""),5260.0)</f>
        <v>5260</v>
      </c>
      <c r="E1168" s="1">
        <f>IFERROR(__xludf.DUMMYFUNCTION("""COMPUTED_VALUE"""),538.0)</f>
        <v>538</v>
      </c>
    </row>
    <row r="1169">
      <c r="A1169" s="1" t="str">
        <f>IFERROR(__xludf.DUMMYFUNCTION("""COMPUTED_VALUE"""),"XBOSVN028X13")</f>
        <v>XBOSVN028X13</v>
      </c>
      <c r="B1169" s="1">
        <f>IFERROR(__xludf.DUMMYFUNCTION("""COMPUTED_VALUE"""),2369.0)</f>
        <v>2369</v>
      </c>
      <c r="C1169" s="1">
        <f>IFERROR(__xludf.DUMMYFUNCTION("""COMPUTED_VALUE"""),5409.0)</f>
        <v>5409</v>
      </c>
      <c r="D1169" s="1">
        <f>IFERROR(__xludf.DUMMYFUNCTION("""COMPUTED_VALUE"""),2369.0)</f>
        <v>2369</v>
      </c>
      <c r="E1169" s="1">
        <f>IFERROR(__xludf.DUMMYFUNCTION("""COMPUTED_VALUE"""),3040.0)</f>
        <v>3040</v>
      </c>
    </row>
    <row r="1170">
      <c r="A1170" s="1" t="str">
        <f>IFERROR(__xludf.DUMMYFUNCTION("""COMPUTED_VALUE"""),"XBOSVN028X19.024")</f>
        <v>XBOSVN028X19.024</v>
      </c>
      <c r="B1170" s="1">
        <f>IFERROR(__xludf.DUMMYFUNCTION("""COMPUTED_VALUE"""),143.0)</f>
        <v>143</v>
      </c>
      <c r="C1170" s="1">
        <f>IFERROR(__xludf.DUMMYFUNCTION("""COMPUTED_VALUE"""),1444.0)</f>
        <v>1444</v>
      </c>
      <c r="D1170" s="1">
        <f>IFERROR(__xludf.DUMMYFUNCTION("""COMPUTED_VALUE"""),143.0)</f>
        <v>143</v>
      </c>
      <c r="E1170" s="1">
        <f>IFERROR(__xludf.DUMMYFUNCTION("""COMPUTED_VALUE"""),1301.0)</f>
        <v>1301</v>
      </c>
    </row>
    <row r="1171">
      <c r="A1171" s="1" t="str">
        <f>IFERROR(__xludf.DUMMYFUNCTION("""COMPUTED_VALUE"""),"XBOSVN028X25")</f>
        <v>XBOSVN028X25</v>
      </c>
      <c r="B1171" s="1">
        <f>IFERROR(__xludf.DUMMYFUNCTION("""COMPUTED_VALUE"""),736.0)</f>
        <v>736</v>
      </c>
      <c r="C1171" s="1">
        <f>IFERROR(__xludf.DUMMYFUNCTION("""COMPUTED_VALUE"""),928.0)</f>
        <v>928</v>
      </c>
      <c r="D1171" s="1">
        <f>IFERROR(__xludf.DUMMYFUNCTION("""COMPUTED_VALUE"""),736.0)</f>
        <v>736</v>
      </c>
      <c r="E1171" s="1">
        <f>IFERROR(__xludf.DUMMYFUNCTION("""COMPUTED_VALUE"""),192.0)</f>
        <v>192</v>
      </c>
    </row>
    <row r="1172">
      <c r="A1172" s="1" t="str">
        <f>IFERROR(__xludf.DUMMYFUNCTION("""COMPUTED_VALUE"""),"XBOSVN032X10")</f>
        <v>XBOSVN032X10</v>
      </c>
      <c r="B1172" s="1">
        <f>IFERROR(__xludf.DUMMYFUNCTION("""COMPUTED_VALUE"""),1065.0)</f>
        <v>1065</v>
      </c>
      <c r="C1172" s="1">
        <f>IFERROR(__xludf.DUMMYFUNCTION("""COMPUTED_VALUE"""),1065.0)</f>
        <v>1065</v>
      </c>
      <c r="D1172" s="1">
        <f>IFERROR(__xludf.DUMMYFUNCTION("""COMPUTED_VALUE"""),1065.0)</f>
        <v>1065</v>
      </c>
      <c r="E1172" s="1">
        <f>IFERROR(__xludf.DUMMYFUNCTION("""COMPUTED_VALUE"""),0.0)</f>
        <v>0</v>
      </c>
    </row>
    <row r="1173">
      <c r="A1173" s="1" t="str">
        <f>IFERROR(__xludf.DUMMYFUNCTION("""COMPUTED_VALUE"""),"XBOSVN032X19")</f>
        <v>XBOSVN032X19</v>
      </c>
      <c r="B1173" s="1">
        <f>IFERROR(__xludf.DUMMYFUNCTION("""COMPUTED_VALUE"""),895.0)</f>
        <v>895</v>
      </c>
      <c r="C1173" s="1">
        <f>IFERROR(__xludf.DUMMYFUNCTION("""COMPUTED_VALUE"""),1284.0)</f>
        <v>1284</v>
      </c>
      <c r="D1173" s="1">
        <f>IFERROR(__xludf.DUMMYFUNCTION("""COMPUTED_VALUE"""),895.0)</f>
        <v>895</v>
      </c>
      <c r="E1173" s="1">
        <f>IFERROR(__xludf.DUMMYFUNCTION("""COMPUTED_VALUE"""),389.0)</f>
        <v>389</v>
      </c>
    </row>
    <row r="1174">
      <c r="A1174" s="1" t="str">
        <f>IFERROR(__xludf.DUMMYFUNCTION("""COMPUTED_VALUE"""),"XBOSVN032X25.016")</f>
        <v>XBOSVN032X25.016</v>
      </c>
      <c r="B1174" s="1">
        <f>IFERROR(__xludf.DUMMYFUNCTION("""COMPUTED_VALUE"""),2405.0)</f>
        <v>2405</v>
      </c>
      <c r="C1174" s="1">
        <f>IFERROR(__xludf.DUMMYFUNCTION("""COMPUTED_VALUE"""),2523.0)</f>
        <v>2523</v>
      </c>
      <c r="D1174" s="1">
        <f>IFERROR(__xludf.DUMMYFUNCTION("""COMPUTED_VALUE"""),2405.0)</f>
        <v>2405</v>
      </c>
      <c r="E1174" s="1">
        <f>IFERROR(__xludf.DUMMYFUNCTION("""COMPUTED_VALUE"""),118.0)</f>
        <v>118</v>
      </c>
    </row>
    <row r="1175">
      <c r="A1175" s="1" t="str">
        <f>IFERROR(__xludf.DUMMYFUNCTION("""COMPUTED_VALUE"""),"XBOSVN032X38")</f>
        <v>XBOSVN032X38</v>
      </c>
      <c r="B1175" s="1">
        <f>IFERROR(__xludf.DUMMYFUNCTION("""COMPUTED_VALUE"""),36.0)</f>
        <v>36</v>
      </c>
      <c r="C1175" s="1">
        <f>IFERROR(__xludf.DUMMYFUNCTION("""COMPUTED_VALUE"""),36.0)</f>
        <v>36</v>
      </c>
      <c r="D1175" s="1">
        <f>IFERROR(__xludf.DUMMYFUNCTION("""COMPUTED_VALUE"""),36.0)</f>
        <v>36</v>
      </c>
      <c r="E1175" s="1">
        <f>IFERROR(__xludf.DUMMYFUNCTION("""COMPUTED_VALUE"""),0.0)</f>
        <v>0</v>
      </c>
    </row>
    <row r="1176">
      <c r="A1176" s="1" t="str">
        <f>IFERROR(__xludf.DUMMYFUNCTION("""COMPUTED_VALUE"""),"XBOSVN035X10")</f>
        <v>XBOSVN035X10</v>
      </c>
      <c r="B1176" s="1">
        <f>IFERROR(__xludf.DUMMYFUNCTION("""COMPUTED_VALUE"""),320.0)</f>
        <v>320</v>
      </c>
      <c r="C1176" s="1">
        <f>IFERROR(__xludf.DUMMYFUNCTION("""COMPUTED_VALUE"""),536.0)</f>
        <v>536</v>
      </c>
      <c r="D1176" s="1">
        <f>IFERROR(__xludf.DUMMYFUNCTION("""COMPUTED_VALUE"""),320.0)</f>
        <v>320</v>
      </c>
      <c r="E1176" s="1">
        <f>IFERROR(__xludf.DUMMYFUNCTION("""COMPUTED_VALUE"""),216.0)</f>
        <v>216</v>
      </c>
    </row>
    <row r="1177">
      <c r="A1177" s="1" t="str">
        <f>IFERROR(__xludf.DUMMYFUNCTION("""COMPUTED_VALUE"""),"XBOSVN035X13")</f>
        <v>XBOSVN035X13</v>
      </c>
      <c r="B1177" s="1">
        <f>IFERROR(__xludf.DUMMYFUNCTION("""COMPUTED_VALUE"""),1877.0)</f>
        <v>1877</v>
      </c>
      <c r="C1177" s="1">
        <f>IFERROR(__xludf.DUMMYFUNCTION("""COMPUTED_VALUE"""),2690.0)</f>
        <v>2690</v>
      </c>
      <c r="D1177" s="1">
        <f>IFERROR(__xludf.DUMMYFUNCTION("""COMPUTED_VALUE"""),1877.0)</f>
        <v>1877</v>
      </c>
      <c r="E1177" s="1">
        <f>IFERROR(__xludf.DUMMYFUNCTION("""COMPUTED_VALUE"""),813.0)</f>
        <v>813</v>
      </c>
    </row>
    <row r="1178">
      <c r="A1178" s="1" t="str">
        <f>IFERROR(__xludf.DUMMYFUNCTION("""COMPUTED_VALUE"""),"XBOSVN035X19")</f>
        <v>XBOSVN035X19</v>
      </c>
      <c r="B1178" s="1">
        <f>IFERROR(__xludf.DUMMYFUNCTION("""COMPUTED_VALUE"""),56.0)</f>
        <v>56</v>
      </c>
      <c r="C1178" s="1">
        <f>IFERROR(__xludf.DUMMYFUNCTION("""COMPUTED_VALUE"""),1159.0)</f>
        <v>1159</v>
      </c>
      <c r="D1178" s="1">
        <f>IFERROR(__xludf.DUMMYFUNCTION("""COMPUTED_VALUE"""),56.0)</f>
        <v>56</v>
      </c>
      <c r="E1178" s="1">
        <f>IFERROR(__xludf.DUMMYFUNCTION("""COMPUTED_VALUE"""),1103.0)</f>
        <v>1103</v>
      </c>
    </row>
    <row r="1179">
      <c r="A1179" s="1" t="str">
        <f>IFERROR(__xludf.DUMMYFUNCTION("""COMPUTED_VALUE"""),"XBOSVN035X25")</f>
        <v>XBOSVN035X25</v>
      </c>
      <c r="B1179" s="1">
        <f>IFERROR(__xludf.DUMMYFUNCTION("""COMPUTED_VALUE"""),630.0)</f>
        <v>630</v>
      </c>
      <c r="C1179" s="1">
        <f>IFERROR(__xludf.DUMMYFUNCTION("""COMPUTED_VALUE"""),1083.0)</f>
        <v>1083</v>
      </c>
      <c r="D1179" s="1">
        <f>IFERROR(__xludf.DUMMYFUNCTION("""COMPUTED_VALUE"""),630.0)</f>
        <v>630</v>
      </c>
      <c r="E1179" s="1">
        <f>IFERROR(__xludf.DUMMYFUNCTION("""COMPUTED_VALUE"""),453.0)</f>
        <v>453</v>
      </c>
    </row>
    <row r="1180">
      <c r="A1180" s="1" t="str">
        <f>IFERROR(__xludf.DUMMYFUNCTION("""COMPUTED_VALUE"""),"XBOSVN035X32")</f>
        <v>XBOSVN035X32</v>
      </c>
      <c r="B1180" s="1">
        <f>IFERROR(__xludf.DUMMYFUNCTION("""COMPUTED_VALUE"""),9.0)</f>
        <v>9</v>
      </c>
      <c r="C1180" s="1">
        <f>IFERROR(__xludf.DUMMYFUNCTION("""COMPUTED_VALUE"""),9.0)</f>
        <v>9</v>
      </c>
      <c r="D1180" s="1">
        <f>IFERROR(__xludf.DUMMYFUNCTION("""COMPUTED_VALUE"""),9.0)</f>
        <v>9</v>
      </c>
      <c r="E1180" s="1">
        <f>IFERROR(__xludf.DUMMYFUNCTION("""COMPUTED_VALUE"""),0.0)</f>
        <v>0</v>
      </c>
    </row>
    <row r="1181">
      <c r="A1181" s="1" t="str">
        <f>IFERROR(__xludf.DUMMYFUNCTION("""COMPUTED_VALUE"""),"XBOSVN035X38")</f>
        <v>XBOSVN035X38</v>
      </c>
      <c r="B1181" s="1">
        <f>IFERROR(__xludf.DUMMYFUNCTION("""COMPUTED_VALUE"""),63.0)</f>
        <v>63</v>
      </c>
      <c r="C1181" s="1">
        <f>IFERROR(__xludf.DUMMYFUNCTION("""COMPUTED_VALUE"""),63.0)</f>
        <v>63</v>
      </c>
      <c r="D1181" s="1">
        <f>IFERROR(__xludf.DUMMYFUNCTION("""COMPUTED_VALUE"""),63.0)</f>
        <v>63</v>
      </c>
      <c r="E1181" s="1">
        <f>IFERROR(__xludf.DUMMYFUNCTION("""COMPUTED_VALUE"""),0.0)</f>
        <v>0</v>
      </c>
    </row>
    <row r="1182">
      <c r="A1182" s="1" t="str">
        <f>IFERROR(__xludf.DUMMYFUNCTION("""COMPUTED_VALUE"""),"XBOSVN038X19")</f>
        <v>XBOSVN038X19</v>
      </c>
      <c r="B1182" s="1">
        <f>IFERROR(__xludf.DUMMYFUNCTION("""COMPUTED_VALUE"""),233.0)</f>
        <v>233</v>
      </c>
      <c r="C1182" s="1">
        <f>IFERROR(__xludf.DUMMYFUNCTION("""COMPUTED_VALUE"""),284.0)</f>
        <v>284</v>
      </c>
      <c r="D1182" s="1">
        <f>IFERROR(__xludf.DUMMYFUNCTION("""COMPUTED_VALUE"""),233.0)</f>
        <v>233</v>
      </c>
      <c r="E1182" s="1">
        <f>IFERROR(__xludf.DUMMYFUNCTION("""COMPUTED_VALUE"""),51.0)</f>
        <v>51</v>
      </c>
    </row>
    <row r="1183">
      <c r="A1183" s="1" t="str">
        <f>IFERROR(__xludf.DUMMYFUNCTION("""COMPUTED_VALUE"""),"XBOSVN038X25")</f>
        <v>XBOSVN038X25</v>
      </c>
      <c r="B1183" s="1">
        <f>IFERROR(__xludf.DUMMYFUNCTION("""COMPUTED_VALUE"""),353.0)</f>
        <v>353</v>
      </c>
      <c r="C1183" s="1">
        <f>IFERROR(__xludf.DUMMYFUNCTION("""COMPUTED_VALUE"""),353.0)</f>
        <v>353</v>
      </c>
      <c r="D1183" s="1">
        <f>IFERROR(__xludf.DUMMYFUNCTION("""COMPUTED_VALUE"""),353.0)</f>
        <v>353</v>
      </c>
      <c r="E1183" s="1">
        <f>IFERROR(__xludf.DUMMYFUNCTION("""COMPUTED_VALUE"""),0.0)</f>
        <v>0</v>
      </c>
    </row>
    <row r="1184">
      <c r="A1184" s="1" t="str">
        <f>IFERROR(__xludf.DUMMYFUNCTION("""COMPUTED_VALUE"""),"XBOSVN038X38")</f>
        <v>XBOSVN038X38</v>
      </c>
      <c r="B1184" s="1">
        <f>IFERROR(__xludf.DUMMYFUNCTION("""COMPUTED_VALUE"""),27.0)</f>
        <v>27</v>
      </c>
      <c r="C1184" s="1">
        <f>IFERROR(__xludf.DUMMYFUNCTION("""COMPUTED_VALUE"""),27.0)</f>
        <v>27</v>
      </c>
      <c r="D1184" s="1">
        <f>IFERROR(__xludf.DUMMYFUNCTION("""COMPUTED_VALUE"""),27.0)</f>
        <v>27</v>
      </c>
      <c r="E1184" s="1">
        <f>IFERROR(__xludf.DUMMYFUNCTION("""COMPUTED_VALUE"""),0.0)</f>
        <v>0</v>
      </c>
    </row>
    <row r="1185">
      <c r="A1185" s="1" t="str">
        <f>IFERROR(__xludf.DUMMYFUNCTION("""COMPUTED_VALUE"""),"XBOSVN042X10")</f>
        <v>XBOSVN042X10</v>
      </c>
      <c r="B1185" s="1">
        <f>IFERROR(__xludf.DUMMYFUNCTION("""COMPUTED_VALUE"""),910.0)</f>
        <v>910</v>
      </c>
      <c r="C1185" s="1">
        <f>IFERROR(__xludf.DUMMYFUNCTION("""COMPUTED_VALUE"""),1284.0)</f>
        <v>1284</v>
      </c>
      <c r="D1185" s="1">
        <f>IFERROR(__xludf.DUMMYFUNCTION("""COMPUTED_VALUE"""),910.0)</f>
        <v>910</v>
      </c>
      <c r="E1185" s="1">
        <f>IFERROR(__xludf.DUMMYFUNCTION("""COMPUTED_VALUE"""),374.0)</f>
        <v>374</v>
      </c>
    </row>
    <row r="1186">
      <c r="A1186" s="1" t="str">
        <f>IFERROR(__xludf.DUMMYFUNCTION("""COMPUTED_VALUE"""),"XBOSVN042X13")</f>
        <v>XBOSVN042X13</v>
      </c>
      <c r="B1186" s="1">
        <f>IFERROR(__xludf.DUMMYFUNCTION("""COMPUTED_VALUE"""),342.0)</f>
        <v>342</v>
      </c>
      <c r="C1186" s="1">
        <f>IFERROR(__xludf.DUMMYFUNCTION("""COMPUTED_VALUE"""),1650.0)</f>
        <v>1650</v>
      </c>
      <c r="D1186" s="1">
        <f>IFERROR(__xludf.DUMMYFUNCTION("""COMPUTED_VALUE"""),342.0)</f>
        <v>342</v>
      </c>
      <c r="E1186" s="1">
        <f>IFERROR(__xludf.DUMMYFUNCTION("""COMPUTED_VALUE"""),1308.0)</f>
        <v>1308</v>
      </c>
    </row>
    <row r="1187">
      <c r="A1187" s="1" t="str">
        <f>IFERROR(__xludf.DUMMYFUNCTION("""COMPUTED_VALUE"""),"XBOSVN042X19")</f>
        <v>XBOSVN042X19</v>
      </c>
      <c r="B1187" s="1">
        <f>IFERROR(__xludf.DUMMYFUNCTION("""COMPUTED_VALUE"""),437.0)</f>
        <v>437</v>
      </c>
      <c r="C1187" s="1">
        <f>IFERROR(__xludf.DUMMYFUNCTION("""COMPUTED_VALUE"""),551.0)</f>
        <v>551</v>
      </c>
      <c r="D1187" s="1">
        <f>IFERROR(__xludf.DUMMYFUNCTION("""COMPUTED_VALUE"""),437.0)</f>
        <v>437</v>
      </c>
      <c r="E1187" s="1">
        <f>IFERROR(__xludf.DUMMYFUNCTION("""COMPUTED_VALUE"""),114.0)</f>
        <v>114</v>
      </c>
    </row>
    <row r="1188">
      <c r="A1188" s="1" t="str">
        <f>IFERROR(__xludf.DUMMYFUNCTION("""COMPUTED_VALUE"""),"XBOSVN042X25")</f>
        <v>XBOSVN042X25</v>
      </c>
      <c r="B1188" s="1">
        <f>IFERROR(__xludf.DUMMYFUNCTION("""COMPUTED_VALUE"""),551.0)</f>
        <v>551</v>
      </c>
      <c r="C1188" s="1">
        <f>IFERROR(__xludf.DUMMYFUNCTION("""COMPUTED_VALUE"""),814.0)</f>
        <v>814</v>
      </c>
      <c r="D1188" s="1">
        <f>IFERROR(__xludf.DUMMYFUNCTION("""COMPUTED_VALUE"""),551.0)</f>
        <v>551</v>
      </c>
      <c r="E1188" s="1">
        <f>IFERROR(__xludf.DUMMYFUNCTION("""COMPUTED_VALUE"""),263.0)</f>
        <v>263</v>
      </c>
    </row>
    <row r="1189">
      <c r="A1189" s="1" t="str">
        <f>IFERROR(__xludf.DUMMYFUNCTION("""COMPUTED_VALUE"""),"XBOSVN048X10")</f>
        <v>XBOSVN048X10</v>
      </c>
      <c r="B1189" s="1">
        <f>IFERROR(__xludf.DUMMYFUNCTION("""COMPUTED_VALUE"""),2089.0)</f>
        <v>2089</v>
      </c>
      <c r="C1189" s="1">
        <f>IFERROR(__xludf.DUMMYFUNCTION("""COMPUTED_VALUE"""),2135.0)</f>
        <v>2135</v>
      </c>
      <c r="D1189" s="1">
        <f>IFERROR(__xludf.DUMMYFUNCTION("""COMPUTED_VALUE"""),2089.0)</f>
        <v>2089</v>
      </c>
      <c r="E1189" s="1">
        <f>IFERROR(__xludf.DUMMYFUNCTION("""COMPUTED_VALUE"""),46.0)</f>
        <v>46</v>
      </c>
    </row>
    <row r="1190">
      <c r="A1190" s="1" t="str">
        <f>IFERROR(__xludf.DUMMYFUNCTION("""COMPUTED_VALUE"""),"XBOSVN048X13")</f>
        <v>XBOSVN048X13</v>
      </c>
      <c r="B1190" s="1">
        <f>IFERROR(__xludf.DUMMYFUNCTION("""COMPUTED_VALUE"""),196.0)</f>
        <v>196</v>
      </c>
      <c r="C1190" s="1">
        <f>IFERROR(__xludf.DUMMYFUNCTION("""COMPUTED_VALUE"""),980.0)</f>
        <v>980</v>
      </c>
      <c r="D1190" s="1">
        <f>IFERROR(__xludf.DUMMYFUNCTION("""COMPUTED_VALUE"""),196.0)</f>
        <v>196</v>
      </c>
      <c r="E1190" s="1">
        <f>IFERROR(__xludf.DUMMYFUNCTION("""COMPUTED_VALUE"""),784.0)</f>
        <v>784</v>
      </c>
    </row>
    <row r="1191">
      <c r="A1191" s="1" t="str">
        <f>IFERROR(__xludf.DUMMYFUNCTION("""COMPUTED_VALUE"""),"XBOSVN048X19")</f>
        <v>XBOSVN048X19</v>
      </c>
      <c r="B1191" s="1">
        <f>IFERROR(__xludf.DUMMYFUNCTION("""COMPUTED_VALUE"""),330.0)</f>
        <v>330</v>
      </c>
      <c r="C1191" s="1">
        <f>IFERROR(__xludf.DUMMYFUNCTION("""COMPUTED_VALUE"""),330.0)</f>
        <v>330</v>
      </c>
      <c r="D1191" s="1">
        <f>IFERROR(__xludf.DUMMYFUNCTION("""COMPUTED_VALUE"""),330.0)</f>
        <v>330</v>
      </c>
      <c r="E1191" s="1">
        <f>IFERROR(__xludf.DUMMYFUNCTION("""COMPUTED_VALUE"""),0.0)</f>
        <v>0</v>
      </c>
    </row>
    <row r="1192">
      <c r="A1192" s="1" t="str">
        <f>IFERROR(__xludf.DUMMYFUNCTION("""COMPUTED_VALUE"""),"XBOSVN048X25")</f>
        <v>XBOSVN048X25</v>
      </c>
      <c r="B1192" s="1">
        <f>IFERROR(__xludf.DUMMYFUNCTION("""COMPUTED_VALUE"""),430.0)</f>
        <v>430</v>
      </c>
      <c r="C1192" s="1">
        <f>IFERROR(__xludf.DUMMYFUNCTION("""COMPUTED_VALUE"""),433.0)</f>
        <v>433</v>
      </c>
      <c r="D1192" s="1">
        <f>IFERROR(__xludf.DUMMYFUNCTION("""COMPUTED_VALUE"""),430.0)</f>
        <v>430</v>
      </c>
      <c r="E1192" s="1">
        <f>IFERROR(__xludf.DUMMYFUNCTION("""COMPUTED_VALUE"""),3.0)</f>
        <v>3</v>
      </c>
    </row>
    <row r="1193">
      <c r="A1193" s="1" t="str">
        <f>IFERROR(__xludf.DUMMYFUNCTION("""COMPUTED_VALUE"""),"XBOSVN048X32")</f>
        <v>XBOSVN048X32</v>
      </c>
      <c r="B1193" s="1">
        <f>IFERROR(__xludf.DUMMYFUNCTION("""COMPUTED_VALUE"""),8.0)</f>
        <v>8</v>
      </c>
      <c r="C1193" s="1">
        <f>IFERROR(__xludf.DUMMYFUNCTION("""COMPUTED_VALUE"""),8.0)</f>
        <v>8</v>
      </c>
      <c r="D1193" s="1">
        <f>IFERROR(__xludf.DUMMYFUNCTION("""COMPUTED_VALUE"""),8.0)</f>
        <v>8</v>
      </c>
      <c r="E1193" s="1">
        <f>IFERROR(__xludf.DUMMYFUNCTION("""COMPUTED_VALUE"""),0.0)</f>
        <v>0</v>
      </c>
    </row>
    <row r="1194">
      <c r="A1194" s="1" t="str">
        <f>IFERROR(__xludf.DUMMYFUNCTION("""COMPUTED_VALUE"""),"XBOSVN054X19")</f>
        <v>XBOSVN054X19</v>
      </c>
      <c r="B1194" s="1">
        <f>IFERROR(__xludf.DUMMYFUNCTION("""COMPUTED_VALUE"""),0.0)</f>
        <v>0</v>
      </c>
      <c r="C1194" s="1">
        <f>IFERROR(__xludf.DUMMYFUNCTION("""COMPUTED_VALUE"""),12.0)</f>
        <v>12</v>
      </c>
      <c r="D1194" s="1">
        <f>IFERROR(__xludf.DUMMYFUNCTION("""COMPUTED_VALUE"""),0.0)</f>
        <v>0</v>
      </c>
      <c r="E1194" s="1">
        <f>IFERROR(__xludf.DUMMYFUNCTION("""COMPUTED_VALUE"""),12.0)</f>
        <v>12</v>
      </c>
    </row>
    <row r="1195">
      <c r="A1195" s="1" t="str">
        <f>IFERROR(__xludf.DUMMYFUNCTION("""COMPUTED_VALUE"""),"XBOSVN054X25")</f>
        <v>XBOSVN054X25</v>
      </c>
      <c r="B1195" s="1">
        <f>IFERROR(__xludf.DUMMYFUNCTION("""COMPUTED_VALUE"""),722.0)</f>
        <v>722</v>
      </c>
      <c r="C1195" s="1">
        <f>IFERROR(__xludf.DUMMYFUNCTION("""COMPUTED_VALUE"""),733.0)</f>
        <v>733</v>
      </c>
      <c r="D1195" s="1">
        <f>IFERROR(__xludf.DUMMYFUNCTION("""COMPUTED_VALUE"""),722.0)</f>
        <v>722</v>
      </c>
      <c r="E1195" s="1">
        <f>IFERROR(__xludf.DUMMYFUNCTION("""COMPUTED_VALUE"""),11.0)</f>
        <v>11</v>
      </c>
    </row>
    <row r="1196">
      <c r="A1196" s="1" t="str">
        <f>IFERROR(__xludf.DUMMYFUNCTION("""COMPUTED_VALUE"""),"XBOSVN054X38")</f>
        <v>XBOSVN054X38</v>
      </c>
      <c r="B1196" s="1">
        <f>IFERROR(__xludf.DUMMYFUNCTION("""COMPUTED_VALUE"""),2.0)</f>
        <v>2</v>
      </c>
      <c r="C1196" s="1">
        <f>IFERROR(__xludf.DUMMYFUNCTION("""COMPUTED_VALUE"""),2.0)</f>
        <v>2</v>
      </c>
      <c r="D1196" s="1">
        <f>IFERROR(__xludf.DUMMYFUNCTION("""COMPUTED_VALUE"""),2.0)</f>
        <v>2</v>
      </c>
      <c r="E1196" s="1">
        <f>IFERROR(__xludf.DUMMYFUNCTION("""COMPUTED_VALUE"""),0.0)</f>
        <v>0</v>
      </c>
    </row>
    <row r="1197">
      <c r="A1197" s="1" t="str">
        <f>IFERROR(__xludf.DUMMYFUNCTION("""COMPUTED_VALUE"""),"XBOSVN054X51")</f>
        <v>XBOSVN054X51</v>
      </c>
      <c r="B1197" s="1">
        <f>IFERROR(__xludf.DUMMYFUNCTION("""COMPUTED_VALUE"""),1.0)</f>
        <v>1</v>
      </c>
      <c r="C1197" s="1">
        <f>IFERROR(__xludf.DUMMYFUNCTION("""COMPUTED_VALUE"""),1.0)</f>
        <v>1</v>
      </c>
      <c r="D1197" s="1">
        <f>IFERROR(__xludf.DUMMYFUNCTION("""COMPUTED_VALUE"""),1.0)</f>
        <v>1</v>
      </c>
      <c r="E1197" s="1">
        <f>IFERROR(__xludf.DUMMYFUNCTION("""COMPUTED_VALUE"""),0.0)</f>
        <v>0</v>
      </c>
    </row>
    <row r="1198">
      <c r="A1198" s="1" t="str">
        <f>IFERROR(__xludf.DUMMYFUNCTION("""COMPUTED_VALUE"""),"XBOSVN060X10")</f>
        <v>XBOSVN060X10</v>
      </c>
      <c r="B1198" s="1">
        <f>IFERROR(__xludf.DUMMYFUNCTION("""COMPUTED_VALUE"""),2208.0)</f>
        <v>2208</v>
      </c>
      <c r="C1198" s="1">
        <f>IFERROR(__xludf.DUMMYFUNCTION("""COMPUTED_VALUE"""),2751.0)</f>
        <v>2751</v>
      </c>
      <c r="D1198" s="1">
        <f>IFERROR(__xludf.DUMMYFUNCTION("""COMPUTED_VALUE"""),2208.0)</f>
        <v>2208</v>
      </c>
      <c r="E1198" s="1">
        <f>IFERROR(__xludf.DUMMYFUNCTION("""COMPUTED_VALUE"""),543.0)</f>
        <v>543</v>
      </c>
    </row>
    <row r="1199">
      <c r="A1199" s="1" t="str">
        <f>IFERROR(__xludf.DUMMYFUNCTION("""COMPUTED_VALUE"""),"XBOSVN060X13")</f>
        <v>XBOSVN060X13</v>
      </c>
      <c r="B1199" s="1">
        <f>IFERROR(__xludf.DUMMYFUNCTION("""COMPUTED_VALUE"""),382.0)</f>
        <v>382</v>
      </c>
      <c r="C1199" s="1">
        <f>IFERROR(__xludf.DUMMYFUNCTION("""COMPUTED_VALUE"""),634.0)</f>
        <v>634</v>
      </c>
      <c r="D1199" s="1">
        <f>IFERROR(__xludf.DUMMYFUNCTION("""COMPUTED_VALUE"""),382.0)</f>
        <v>382</v>
      </c>
      <c r="E1199" s="1">
        <f>IFERROR(__xludf.DUMMYFUNCTION("""COMPUTED_VALUE"""),252.0)</f>
        <v>252</v>
      </c>
    </row>
    <row r="1200">
      <c r="A1200" s="1" t="str">
        <f>IFERROR(__xludf.DUMMYFUNCTION("""COMPUTED_VALUE"""),"XBOSVN060X19")</f>
        <v>XBOSVN060X19</v>
      </c>
      <c r="B1200" s="1">
        <f>IFERROR(__xludf.DUMMYFUNCTION("""COMPUTED_VALUE"""),103.0)</f>
        <v>103</v>
      </c>
      <c r="C1200" s="1">
        <f>IFERROR(__xludf.DUMMYFUNCTION("""COMPUTED_VALUE"""),103.0)</f>
        <v>103</v>
      </c>
      <c r="D1200" s="1">
        <f>IFERROR(__xludf.DUMMYFUNCTION("""COMPUTED_VALUE"""),103.0)</f>
        <v>103</v>
      </c>
      <c r="E1200" s="1">
        <f>IFERROR(__xludf.DUMMYFUNCTION("""COMPUTED_VALUE"""),0.0)</f>
        <v>0</v>
      </c>
    </row>
    <row r="1201">
      <c r="A1201" s="1" t="str">
        <f>IFERROR(__xludf.DUMMYFUNCTION("""COMPUTED_VALUE"""),"XBOSVN060X25")</f>
        <v>XBOSVN060X25</v>
      </c>
      <c r="B1201" s="1">
        <f>IFERROR(__xludf.DUMMYFUNCTION("""COMPUTED_VALUE"""),3.0)</f>
        <v>3</v>
      </c>
      <c r="C1201" s="1">
        <f>IFERROR(__xludf.DUMMYFUNCTION("""COMPUTED_VALUE"""),18.0)</f>
        <v>18</v>
      </c>
      <c r="D1201" s="1">
        <f>IFERROR(__xludf.DUMMYFUNCTION("""COMPUTED_VALUE"""),3.0)</f>
        <v>3</v>
      </c>
      <c r="E1201" s="1">
        <f>IFERROR(__xludf.DUMMYFUNCTION("""COMPUTED_VALUE"""),15.0)</f>
        <v>15</v>
      </c>
    </row>
    <row r="1202">
      <c r="A1202" s="1" t="str">
        <f>IFERROR(__xludf.DUMMYFUNCTION("""COMPUTED_VALUE"""),"XBOSVN067X19")</f>
        <v>XBOSVN067X19</v>
      </c>
      <c r="B1202" s="1">
        <f>IFERROR(__xludf.DUMMYFUNCTION("""COMPUTED_VALUE"""),4.0)</f>
        <v>4</v>
      </c>
      <c r="C1202" s="1">
        <f>IFERROR(__xludf.DUMMYFUNCTION("""COMPUTED_VALUE"""),4.0)</f>
        <v>4</v>
      </c>
      <c r="D1202" s="1">
        <f>IFERROR(__xludf.DUMMYFUNCTION("""COMPUTED_VALUE"""),4.0)</f>
        <v>4</v>
      </c>
      <c r="E1202" s="1">
        <f>IFERROR(__xludf.DUMMYFUNCTION("""COMPUTED_VALUE"""),0.0)</f>
        <v>0</v>
      </c>
    </row>
    <row r="1203">
      <c r="A1203" s="1" t="str">
        <f>IFERROR(__xludf.DUMMYFUNCTION("""COMPUTED_VALUE"""),"XBOSVN076X10")</f>
        <v>XBOSVN076X10</v>
      </c>
      <c r="B1203" s="1">
        <f>IFERROR(__xludf.DUMMYFUNCTION("""COMPUTED_VALUE"""),458.0)</f>
        <v>458</v>
      </c>
      <c r="C1203" s="1">
        <f>IFERROR(__xludf.DUMMYFUNCTION("""COMPUTED_VALUE"""),528.0)</f>
        <v>528</v>
      </c>
      <c r="D1203" s="1">
        <f>IFERROR(__xludf.DUMMYFUNCTION("""COMPUTED_VALUE"""),458.0)</f>
        <v>458</v>
      </c>
      <c r="E1203" s="1">
        <f>IFERROR(__xludf.DUMMYFUNCTION("""COMPUTED_VALUE"""),70.0)</f>
        <v>70</v>
      </c>
    </row>
    <row r="1204">
      <c r="A1204" s="1" t="str">
        <f>IFERROR(__xludf.DUMMYFUNCTION("""COMPUTED_VALUE"""),"XBOSVN076X13.014")</f>
        <v>XBOSVN076X13.014</v>
      </c>
      <c r="B1204" s="1">
        <f>IFERROR(__xludf.DUMMYFUNCTION("""COMPUTED_VALUE"""),358.0)</f>
        <v>358</v>
      </c>
      <c r="C1204" s="1">
        <f>IFERROR(__xludf.DUMMYFUNCTION("""COMPUTED_VALUE"""),387.0)</f>
        <v>387</v>
      </c>
      <c r="D1204" s="1">
        <f>IFERROR(__xludf.DUMMYFUNCTION("""COMPUTED_VALUE"""),358.0)</f>
        <v>358</v>
      </c>
      <c r="E1204" s="1">
        <f>IFERROR(__xludf.DUMMYFUNCTION("""COMPUTED_VALUE"""),29.0)</f>
        <v>29</v>
      </c>
    </row>
    <row r="1205">
      <c r="A1205" s="1" t="str">
        <f>IFERROR(__xludf.DUMMYFUNCTION("""COMPUTED_VALUE"""),"XBOSVN076X19")</f>
        <v>XBOSVN076X19</v>
      </c>
      <c r="B1205" s="1">
        <f>IFERROR(__xludf.DUMMYFUNCTION("""COMPUTED_VALUE"""),63.0)</f>
        <v>63</v>
      </c>
      <c r="C1205" s="1">
        <f>IFERROR(__xludf.DUMMYFUNCTION("""COMPUTED_VALUE"""),69.0)</f>
        <v>69</v>
      </c>
      <c r="D1205" s="1">
        <f>IFERROR(__xludf.DUMMYFUNCTION("""COMPUTED_VALUE"""),63.0)</f>
        <v>63</v>
      </c>
      <c r="E1205" s="1">
        <f>IFERROR(__xludf.DUMMYFUNCTION("""COMPUTED_VALUE"""),6.0)</f>
        <v>6</v>
      </c>
    </row>
    <row r="1206">
      <c r="A1206" s="1" t="str">
        <f>IFERROR(__xludf.DUMMYFUNCTION("""COMPUTED_VALUE"""),"XBOSVN076X25")</f>
        <v>XBOSVN076X25</v>
      </c>
      <c r="B1206" s="1">
        <f>IFERROR(__xludf.DUMMYFUNCTION("""COMPUTED_VALUE"""),34.0)</f>
        <v>34</v>
      </c>
      <c r="C1206" s="1">
        <f>IFERROR(__xludf.DUMMYFUNCTION("""COMPUTED_VALUE"""),47.0)</f>
        <v>47</v>
      </c>
      <c r="D1206" s="1">
        <f>IFERROR(__xludf.DUMMYFUNCTION("""COMPUTED_VALUE"""),43.0)</f>
        <v>43</v>
      </c>
      <c r="E1206" s="1">
        <f>IFERROR(__xludf.DUMMYFUNCTION("""COMPUTED_VALUE"""),4.0)</f>
        <v>4</v>
      </c>
    </row>
    <row r="1207">
      <c r="A1207" s="1" t="str">
        <f>IFERROR(__xludf.DUMMYFUNCTION("""COMPUTED_VALUE"""),"XBOSVN076X32")</f>
        <v>XBOSVN076X32</v>
      </c>
      <c r="B1207" s="1">
        <f>IFERROR(__xludf.DUMMYFUNCTION("""COMPUTED_VALUE"""),4.0)</f>
        <v>4</v>
      </c>
      <c r="C1207" s="1">
        <f>IFERROR(__xludf.DUMMYFUNCTION("""COMPUTED_VALUE"""),7.0)</f>
        <v>7</v>
      </c>
      <c r="D1207" s="1">
        <f>IFERROR(__xludf.DUMMYFUNCTION("""COMPUTED_VALUE"""),4.0)</f>
        <v>4</v>
      </c>
      <c r="E1207" s="1">
        <f>IFERROR(__xludf.DUMMYFUNCTION("""COMPUTED_VALUE"""),3.0)</f>
        <v>3</v>
      </c>
    </row>
    <row r="1208">
      <c r="A1208" s="1" t="str">
        <f>IFERROR(__xludf.DUMMYFUNCTION("""COMPUTED_VALUE"""),"XBOSVN076X51")</f>
        <v>XBOSVN076X51</v>
      </c>
      <c r="B1208" s="1">
        <f>IFERROR(__xludf.DUMMYFUNCTION("""COMPUTED_VALUE"""),14.0)</f>
        <v>14</v>
      </c>
      <c r="C1208" s="1">
        <f>IFERROR(__xludf.DUMMYFUNCTION("""COMPUTED_VALUE"""),14.0)</f>
        <v>14</v>
      </c>
      <c r="D1208" s="1">
        <f>IFERROR(__xludf.DUMMYFUNCTION("""COMPUTED_VALUE"""),14.0)</f>
        <v>14</v>
      </c>
      <c r="E1208" s="1">
        <f>IFERROR(__xludf.DUMMYFUNCTION("""COMPUTED_VALUE"""),0.0)</f>
        <v>0</v>
      </c>
    </row>
    <row r="1209">
      <c r="A1209" s="1" t="str">
        <f>IFERROR(__xludf.DUMMYFUNCTION("""COMPUTED_VALUE"""),"XBOSVN079X25")</f>
        <v>XBOSVN079X25</v>
      </c>
      <c r="B1209" s="1">
        <f>IFERROR(__xludf.DUMMYFUNCTION("""COMPUTED_VALUE"""),2.0)</f>
        <v>2</v>
      </c>
      <c r="C1209" s="1">
        <f>IFERROR(__xludf.DUMMYFUNCTION("""COMPUTED_VALUE"""),2.0)</f>
        <v>2</v>
      </c>
      <c r="D1209" s="1">
        <f>IFERROR(__xludf.DUMMYFUNCTION("""COMPUTED_VALUE"""),2.0)</f>
        <v>2</v>
      </c>
      <c r="E1209" s="1">
        <f>IFERROR(__xludf.DUMMYFUNCTION("""COMPUTED_VALUE"""),0.0)</f>
        <v>0</v>
      </c>
    </row>
    <row r="1210">
      <c r="A1210" s="1" t="str">
        <f>IFERROR(__xludf.DUMMYFUNCTION("""COMPUTED_VALUE"""),"XBOSVN079X32")</f>
        <v>XBOSVN079X32</v>
      </c>
      <c r="B1210" s="1">
        <f>IFERROR(__xludf.DUMMYFUNCTION("""COMPUTED_VALUE"""),6.0)</f>
        <v>6</v>
      </c>
      <c r="C1210" s="1">
        <f>IFERROR(__xludf.DUMMYFUNCTION("""COMPUTED_VALUE"""),6.0)</f>
        <v>6</v>
      </c>
      <c r="D1210" s="1">
        <f>IFERROR(__xludf.DUMMYFUNCTION("""COMPUTED_VALUE"""),6.0)</f>
        <v>6</v>
      </c>
      <c r="E1210" s="1">
        <f>IFERROR(__xludf.DUMMYFUNCTION("""COMPUTED_VALUE"""),0.0)</f>
        <v>0</v>
      </c>
    </row>
    <row r="1211">
      <c r="A1211" s="1" t="str">
        <f>IFERROR(__xludf.DUMMYFUNCTION("""COMPUTED_VALUE"""),"XBOSVN089X13")</f>
        <v>XBOSVN089X13</v>
      </c>
      <c r="B1211" s="1">
        <f>IFERROR(__xludf.DUMMYFUNCTION("""COMPUTED_VALUE"""),303.0)</f>
        <v>303</v>
      </c>
      <c r="C1211" s="1">
        <f>IFERROR(__xludf.DUMMYFUNCTION("""COMPUTED_VALUE"""),423.0)</f>
        <v>423</v>
      </c>
      <c r="D1211" s="1">
        <f>IFERROR(__xludf.DUMMYFUNCTION("""COMPUTED_VALUE"""),303.0)</f>
        <v>303</v>
      </c>
      <c r="E1211" s="1">
        <f>IFERROR(__xludf.DUMMYFUNCTION("""COMPUTED_VALUE"""),120.0)</f>
        <v>120</v>
      </c>
    </row>
    <row r="1212">
      <c r="A1212" s="1" t="str">
        <f>IFERROR(__xludf.DUMMYFUNCTION("""COMPUTED_VALUE"""),"XBOSVN089X19")</f>
        <v>XBOSVN089X19</v>
      </c>
      <c r="B1212" s="1">
        <f>IFERROR(__xludf.DUMMYFUNCTION("""COMPUTED_VALUE"""),15.0)</f>
        <v>15</v>
      </c>
      <c r="C1212" s="1">
        <f>IFERROR(__xludf.DUMMYFUNCTION("""COMPUTED_VALUE"""),15.0)</f>
        <v>15</v>
      </c>
      <c r="D1212" s="1">
        <f>IFERROR(__xludf.DUMMYFUNCTION("""COMPUTED_VALUE"""),15.0)</f>
        <v>15</v>
      </c>
      <c r="E1212" s="1">
        <f>IFERROR(__xludf.DUMMYFUNCTION("""COMPUTED_VALUE"""),0.0)</f>
        <v>0</v>
      </c>
    </row>
    <row r="1213">
      <c r="A1213" s="1" t="str">
        <f>IFERROR(__xludf.DUMMYFUNCTION("""COMPUTED_VALUE"""),"XBOSVN089X25")</f>
        <v>XBOSVN089X25</v>
      </c>
      <c r="B1213" s="1">
        <f>IFERROR(__xludf.DUMMYFUNCTION("""COMPUTED_VALUE"""),44.0)</f>
        <v>44</v>
      </c>
      <c r="C1213" s="1">
        <f>IFERROR(__xludf.DUMMYFUNCTION("""COMPUTED_VALUE"""),45.0)</f>
        <v>45</v>
      </c>
      <c r="D1213" s="1">
        <f>IFERROR(__xludf.DUMMYFUNCTION("""COMPUTED_VALUE"""),44.0)</f>
        <v>44</v>
      </c>
      <c r="E1213" s="1">
        <f>IFERROR(__xludf.DUMMYFUNCTION("""COMPUTED_VALUE"""),1.0)</f>
        <v>1</v>
      </c>
    </row>
    <row r="1214">
      <c r="A1214" s="1" t="str">
        <f>IFERROR(__xludf.DUMMYFUNCTION("""COMPUTED_VALUE"""),"XBOSVN114X10")</f>
        <v>XBOSVN114X10</v>
      </c>
      <c r="B1214" s="1">
        <f>IFERROR(__xludf.DUMMYFUNCTION("""COMPUTED_VALUE"""),2.0)</f>
        <v>2</v>
      </c>
      <c r="C1214" s="1">
        <f>IFERROR(__xludf.DUMMYFUNCTION("""COMPUTED_VALUE"""),2.0)</f>
        <v>2</v>
      </c>
      <c r="D1214" s="1">
        <f>IFERROR(__xludf.DUMMYFUNCTION("""COMPUTED_VALUE"""),2.0)</f>
        <v>2</v>
      </c>
      <c r="E1214" s="1">
        <f>IFERROR(__xludf.DUMMYFUNCTION("""COMPUTED_VALUE"""),0.0)</f>
        <v>0</v>
      </c>
    </row>
    <row r="1215">
      <c r="A1215" s="1" t="str">
        <f>IFERROR(__xludf.DUMMYFUNCTION("""COMPUTED_VALUE"""),"XBOSVN114X13")</f>
        <v>XBOSVN114X13</v>
      </c>
      <c r="B1215" s="1">
        <f>IFERROR(__xludf.DUMMYFUNCTION("""COMPUTED_VALUE"""),519.0)</f>
        <v>519</v>
      </c>
      <c r="C1215" s="1">
        <f>IFERROR(__xludf.DUMMYFUNCTION("""COMPUTED_VALUE"""),524.0)</f>
        <v>524</v>
      </c>
      <c r="D1215" s="1">
        <f>IFERROR(__xludf.DUMMYFUNCTION("""COMPUTED_VALUE"""),519.0)</f>
        <v>519</v>
      </c>
      <c r="E1215" s="1">
        <f>IFERROR(__xludf.DUMMYFUNCTION("""COMPUTED_VALUE"""),5.0)</f>
        <v>5</v>
      </c>
    </row>
    <row r="1216">
      <c r="A1216" s="1" t="str">
        <f>IFERROR(__xludf.DUMMYFUNCTION("""COMPUTED_VALUE"""),"XBOSVN114X25")</f>
        <v>XBOSVN114X25</v>
      </c>
      <c r="B1216" s="1">
        <f>IFERROR(__xludf.DUMMYFUNCTION("""COMPUTED_VALUE"""),2.0)</f>
        <v>2</v>
      </c>
      <c r="C1216" s="1">
        <f>IFERROR(__xludf.DUMMYFUNCTION("""COMPUTED_VALUE"""),86.0)</f>
        <v>86</v>
      </c>
      <c r="D1216" s="1">
        <f>IFERROR(__xludf.DUMMYFUNCTION("""COMPUTED_VALUE"""),2.0)</f>
        <v>2</v>
      </c>
      <c r="E1216" s="1">
        <f>IFERROR(__xludf.DUMMYFUNCTION("""COMPUTED_VALUE"""),84.0)</f>
        <v>84</v>
      </c>
    </row>
    <row r="1217">
      <c r="A1217" s="1" t="str">
        <f>IFERROR(__xludf.DUMMYFUNCTION("""COMPUTED_VALUE"""),"XBOSVN114X32")</f>
        <v>XBOSVN114X32</v>
      </c>
      <c r="B1217" s="1">
        <f>IFERROR(__xludf.DUMMYFUNCTION("""COMPUTED_VALUE"""),1.0)</f>
        <v>1</v>
      </c>
      <c r="C1217" s="1">
        <f>IFERROR(__xludf.DUMMYFUNCTION("""COMPUTED_VALUE"""),1.0)</f>
        <v>1</v>
      </c>
      <c r="D1217" s="1">
        <f>IFERROR(__xludf.DUMMYFUNCTION("""COMPUTED_VALUE"""),1.0)</f>
        <v>1</v>
      </c>
      <c r="E1217" s="1">
        <f>IFERROR(__xludf.DUMMYFUNCTION("""COMPUTED_VALUE"""),0.0)</f>
        <v>0</v>
      </c>
    </row>
    <row r="1218">
      <c r="A1218" s="1" t="str">
        <f>IFERROR(__xludf.DUMMYFUNCTION("""COMPUTED_VALUE"""),"XBOTS016X09")</f>
        <v>XBOTS016X09</v>
      </c>
      <c r="B1218" s="1">
        <f>IFERROR(__xludf.DUMMYFUNCTION("""COMPUTED_VALUE"""),8600.0)</f>
        <v>8600</v>
      </c>
      <c r="C1218" s="1">
        <f>IFERROR(__xludf.DUMMYFUNCTION("""COMPUTED_VALUE"""),8600.0)</f>
        <v>8600</v>
      </c>
      <c r="D1218" s="1">
        <f>IFERROR(__xludf.DUMMYFUNCTION("""COMPUTED_VALUE"""),8600.0)</f>
        <v>8600</v>
      </c>
      <c r="E1218" s="1">
        <f>IFERROR(__xludf.DUMMYFUNCTION("""COMPUTED_VALUE"""),0.0)</f>
        <v>0</v>
      </c>
    </row>
    <row r="1219">
      <c r="A1219" s="1" t="str">
        <f>IFERROR(__xludf.DUMMYFUNCTION("""COMPUTED_VALUE"""),"XBOTSVN019X09")</f>
        <v>XBOTSVN019X09</v>
      </c>
      <c r="B1219" s="1">
        <f>IFERROR(__xludf.DUMMYFUNCTION("""COMPUTED_VALUE"""),54.0)</f>
        <v>54</v>
      </c>
      <c r="C1219" s="1">
        <f>IFERROR(__xludf.DUMMYFUNCTION("""COMPUTED_VALUE"""),54.0)</f>
        <v>54</v>
      </c>
      <c r="D1219" s="1">
        <f>IFERROR(__xludf.DUMMYFUNCTION("""COMPUTED_VALUE"""),54.0)</f>
        <v>54</v>
      </c>
      <c r="E1219" s="1">
        <f>IFERROR(__xludf.DUMMYFUNCTION("""COMPUTED_VALUE"""),0.0)</f>
        <v>0</v>
      </c>
    </row>
    <row r="1220">
      <c r="A1220" s="1" t="str">
        <f>IFERROR(__xludf.DUMMYFUNCTION("""COMPUTED_VALUE"""),"XDKRLX06C0")</f>
        <v>XDKRLX06C0</v>
      </c>
      <c r="B1220" s="1">
        <f>IFERROR(__xludf.DUMMYFUNCTION("""COMPUTED_VALUE"""),2.0)</f>
        <v>2</v>
      </c>
      <c r="C1220" s="1">
        <f>IFERROR(__xludf.DUMMYFUNCTION("""COMPUTED_VALUE"""),2.5)</f>
        <v>2.5</v>
      </c>
      <c r="D1220" s="1">
        <f>IFERROR(__xludf.DUMMYFUNCTION("""COMPUTED_VALUE"""),2.5)</f>
        <v>2.5</v>
      </c>
      <c r="E1220" s="1">
        <f>IFERROR(__xludf.DUMMYFUNCTION("""COMPUTED_VALUE"""),0.0)</f>
        <v>0</v>
      </c>
    </row>
    <row r="1221">
      <c r="A1221" s="1" t="str">
        <f>IFERROR(__xludf.DUMMYFUNCTION("""COMPUTED_VALUE"""),"XDKRLX10C0")</f>
        <v>XDKRLX10C0</v>
      </c>
      <c r="B1221" s="1">
        <f>IFERROR(__xludf.DUMMYFUNCTION("""COMPUTED_VALUE"""),2.0)</f>
        <v>2</v>
      </c>
      <c r="C1221" s="1">
        <f>IFERROR(__xludf.DUMMYFUNCTION("""COMPUTED_VALUE"""),2.6)</f>
        <v>2.6</v>
      </c>
      <c r="D1221" s="1">
        <f>IFERROR(__xludf.DUMMYFUNCTION("""COMPUTED_VALUE"""),2.6)</f>
        <v>2.6</v>
      </c>
      <c r="E1221" s="1">
        <f>IFERROR(__xludf.DUMMYFUNCTION("""COMPUTED_VALUE"""),0.0)</f>
        <v>0</v>
      </c>
    </row>
    <row r="1222">
      <c r="A1222" s="1" t="str">
        <f>IFERROR(__xludf.DUMMYFUNCTION("""COMPUTED_VALUE"""),"XDKRLX12C0")</f>
        <v>XDKRLX12C0</v>
      </c>
      <c r="B1222" s="1">
        <f>IFERROR(__xludf.DUMMYFUNCTION("""COMPUTED_VALUE"""),1.0)</f>
        <v>1</v>
      </c>
      <c r="C1222" s="1">
        <f>IFERROR(__xludf.DUMMYFUNCTION("""COMPUTED_VALUE"""),1.0)</f>
        <v>1</v>
      </c>
      <c r="D1222" s="1">
        <f>IFERROR(__xludf.DUMMYFUNCTION("""COMPUTED_VALUE"""),1.0)</f>
        <v>1</v>
      </c>
      <c r="E1222" s="1">
        <f>IFERROR(__xludf.DUMMYFUNCTION("""COMPUTED_VALUE"""),0.0)</f>
        <v>0</v>
      </c>
    </row>
    <row r="1223">
      <c r="A1223" s="1" t="str">
        <f>IFERROR(__xludf.DUMMYFUNCTION("""COMPUTED_VALUE"""),"XK0616150")</f>
        <v>XK0616150</v>
      </c>
      <c r="B1223" s="1">
        <f>IFERROR(__xludf.DUMMYFUNCTION("""COMPUTED_VALUE"""),0.02)</f>
        <v>0.02</v>
      </c>
      <c r="C1223" s="1">
        <f>IFERROR(__xludf.DUMMYFUNCTION("""COMPUTED_VALUE"""),0.02)</f>
        <v>0.02</v>
      </c>
      <c r="D1223" s="1">
        <f>IFERROR(__xludf.DUMMYFUNCTION("""COMPUTED_VALUE"""),0.02)</f>
        <v>0.02</v>
      </c>
      <c r="E1223" s="1">
        <f>IFERROR(__xludf.DUMMYFUNCTION("""COMPUTED_VALUE"""),0.0)</f>
        <v>0</v>
      </c>
    </row>
    <row r="1224">
      <c r="A1224" s="1" t="str">
        <f>IFERROR(__xludf.DUMMYFUNCTION("""COMPUTED_VALUE"""),"XKKOREA0610")</f>
        <v>XKKOREA0610</v>
      </c>
      <c r="B1224" s="1">
        <f>IFERROR(__xludf.DUMMYFUNCTION("""COMPUTED_VALUE"""),0.35)</f>
        <v>0.35</v>
      </c>
      <c r="C1224" s="1">
        <f>IFERROR(__xludf.DUMMYFUNCTION("""COMPUTED_VALUE"""),0.35)</f>
        <v>0.35</v>
      </c>
      <c r="D1224" s="1">
        <f>IFERROR(__xludf.DUMMYFUNCTION("""COMPUTED_VALUE"""),0.35)</f>
        <v>0.35</v>
      </c>
      <c r="E1224" s="1">
        <f>IFERROR(__xludf.DUMMYFUNCTION("""COMPUTED_VALUE"""),0.0)</f>
        <v>0</v>
      </c>
    </row>
    <row r="1225">
      <c r="A1225" s="1" t="str">
        <f>IFERROR(__xludf.DUMMYFUNCTION("""COMPUTED_VALUE"""),"XKKOREA0616")</f>
        <v>XKKOREA0616</v>
      </c>
      <c r="B1225" s="1">
        <f>IFERROR(__xludf.DUMMYFUNCTION("""COMPUTED_VALUE"""),17.26)</f>
        <v>17.26</v>
      </c>
      <c r="C1225" s="1">
        <f>IFERROR(__xludf.DUMMYFUNCTION("""COMPUTED_VALUE"""),18.580000000000002)</f>
        <v>18.58</v>
      </c>
      <c r="D1225" s="1">
        <f>IFERROR(__xludf.DUMMYFUNCTION("""COMPUTED_VALUE"""),17.580000000000002)</f>
        <v>17.58</v>
      </c>
      <c r="E1225" s="1">
        <f>IFERROR(__xludf.DUMMYFUNCTION("""COMPUTED_VALUE"""),1.0)</f>
        <v>1</v>
      </c>
    </row>
    <row r="1226">
      <c r="A1226" s="1" t="str">
        <f>IFERROR(__xludf.DUMMYFUNCTION("""COMPUTED_VALUE"""),"XKKOREA1016")</f>
        <v>XKKOREA1016</v>
      </c>
      <c r="B1226" s="1">
        <f>IFERROR(__xludf.DUMMYFUNCTION("""COMPUTED_VALUE"""),0.45)</f>
        <v>0.45</v>
      </c>
      <c r="C1226" s="1">
        <f>IFERROR(__xludf.DUMMYFUNCTION("""COMPUTED_VALUE"""),0.45)</f>
        <v>0.45</v>
      </c>
      <c r="D1226" s="1">
        <f>IFERROR(__xludf.DUMMYFUNCTION("""COMPUTED_VALUE"""),0.45)</f>
        <v>0.45</v>
      </c>
      <c r="E1226" s="1">
        <f>IFERROR(__xludf.DUMMYFUNCTION("""COMPUTED_VALUE"""),0.0)</f>
        <v>0</v>
      </c>
    </row>
    <row r="1227">
      <c r="A1227" s="1" t="str">
        <f>IFERROR(__xludf.DUMMYFUNCTION("""COMPUTED_VALUE"""),"XKTAISEI0610")</f>
        <v>XKTAISEI0610</v>
      </c>
      <c r="B1227" s="1">
        <f>IFERROR(__xludf.DUMMYFUNCTION("""COMPUTED_VALUE"""),0.49)</f>
        <v>0.49</v>
      </c>
      <c r="C1227" s="1">
        <f>IFERROR(__xludf.DUMMYFUNCTION("""COMPUTED_VALUE"""),0.49)</f>
        <v>0.49</v>
      </c>
      <c r="D1227" s="1">
        <f>IFERROR(__xludf.DUMMYFUNCTION("""COMPUTED_VALUE"""),0.49)</f>
        <v>0.49</v>
      </c>
      <c r="E1227" s="1">
        <f>IFERROR(__xludf.DUMMYFUNCTION("""COMPUTED_VALUE"""),0.0)</f>
        <v>0</v>
      </c>
    </row>
    <row r="1228">
      <c r="A1228" s="1" t="str">
        <f>IFERROR(__xludf.DUMMYFUNCTION("""COMPUTED_VALUE"""),"XKTSLT0610C1")</f>
        <v>XKTSLT0610C1</v>
      </c>
      <c r="B1228" s="1">
        <f>IFERROR(__xludf.DUMMYFUNCTION("""COMPUTED_VALUE"""),0.14)</f>
        <v>0.14</v>
      </c>
      <c r="C1228" s="1">
        <f>IFERROR(__xludf.DUMMYFUNCTION("""COMPUTED_VALUE"""),0.14)</f>
        <v>0.14</v>
      </c>
      <c r="D1228" s="1">
        <f>IFERROR(__xludf.DUMMYFUNCTION("""COMPUTED_VALUE"""),0.14)</f>
        <v>0.14</v>
      </c>
      <c r="E1228" s="1">
        <f>IFERROR(__xludf.DUMMYFUNCTION("""COMPUTED_VALUE"""),0.0)</f>
        <v>0</v>
      </c>
    </row>
    <row r="1229">
      <c r="A1229" s="1" t="str">
        <f>IFERROR(__xludf.DUMMYFUNCTION("""COMPUTED_VALUE"""),"XKTSLT0612C1")</f>
        <v>XKTSLT0612C1</v>
      </c>
      <c r="B1229" s="1">
        <f>IFERROR(__xludf.DUMMYFUNCTION("""COMPUTED_VALUE"""),0.06)</f>
        <v>0.06</v>
      </c>
      <c r="C1229" s="1">
        <f>IFERROR(__xludf.DUMMYFUNCTION("""COMPUTED_VALUE"""),0.06)</f>
        <v>0.06</v>
      </c>
      <c r="D1229" s="1">
        <f>IFERROR(__xludf.DUMMYFUNCTION("""COMPUTED_VALUE"""),0.06)</f>
        <v>0.06</v>
      </c>
      <c r="E1229" s="1">
        <f>IFERROR(__xludf.DUMMYFUNCTION("""COMPUTED_VALUE"""),0.0)</f>
        <v>0</v>
      </c>
    </row>
    <row r="1230">
      <c r="A1230" s="1" t="str">
        <f>IFERROR(__xludf.DUMMYFUNCTION("""COMPUTED_VALUE"""),"XKTSLX0610C0")</f>
        <v>XKTSLX0610C0</v>
      </c>
      <c r="B1230" s="1">
        <f>IFERROR(__xludf.DUMMYFUNCTION("""COMPUTED_VALUE"""),20.99)</f>
        <v>20.99</v>
      </c>
      <c r="C1230" s="1">
        <f>IFERROR(__xludf.DUMMYFUNCTION("""COMPUTED_VALUE"""),77.81)</f>
        <v>77.81</v>
      </c>
      <c r="D1230" s="1">
        <f>IFERROR(__xludf.DUMMYFUNCTION("""COMPUTED_VALUE"""),72.81)</f>
        <v>72.81</v>
      </c>
      <c r="E1230" s="1">
        <f>IFERROR(__xludf.DUMMYFUNCTION("""COMPUTED_VALUE"""),5.0)</f>
        <v>5</v>
      </c>
    </row>
    <row r="1231">
      <c r="A1231" s="1" t="str">
        <f>IFERROR(__xludf.DUMMYFUNCTION("""COMPUTED_VALUE"""),"XKTSLX0612C0")</f>
        <v>XKTSLX0612C0</v>
      </c>
      <c r="B1231" s="1">
        <f>IFERROR(__xludf.DUMMYFUNCTION("""COMPUTED_VALUE"""),43.95)</f>
        <v>43.95</v>
      </c>
      <c r="C1231" s="1">
        <f>IFERROR(__xludf.DUMMYFUNCTION("""COMPUTED_VALUE"""),48.95)</f>
        <v>48.95</v>
      </c>
      <c r="D1231" s="1">
        <f>IFERROR(__xludf.DUMMYFUNCTION("""COMPUTED_VALUE"""),45.95)</f>
        <v>45.95</v>
      </c>
      <c r="E1231" s="1">
        <f>IFERROR(__xludf.DUMMYFUNCTION("""COMPUTED_VALUE"""),3.0)</f>
        <v>3</v>
      </c>
    </row>
    <row r="1232">
      <c r="A1232" s="1" t="str">
        <f>IFERROR(__xludf.DUMMYFUNCTION("""COMPUTED_VALUE"""),"XKTSLX0612C1")</f>
        <v>XKTSLX0612C1</v>
      </c>
      <c r="B1232" s="1">
        <f>IFERROR(__xludf.DUMMYFUNCTION("""COMPUTED_VALUE"""),0.48)</f>
        <v>0.48</v>
      </c>
      <c r="C1232" s="1">
        <f>IFERROR(__xludf.DUMMYFUNCTION("""COMPUTED_VALUE"""),0.48)</f>
        <v>0.48</v>
      </c>
      <c r="D1232" s="1">
        <f>IFERROR(__xludf.DUMMYFUNCTION("""COMPUTED_VALUE"""),0.48)</f>
        <v>0.48</v>
      </c>
      <c r="E1232" s="1">
        <f>IFERROR(__xludf.DUMMYFUNCTION("""COMPUTED_VALUE"""),0.0)</f>
        <v>0</v>
      </c>
    </row>
    <row r="1233">
      <c r="A1233" s="1" t="str">
        <f>IFERROR(__xludf.DUMMYFUNCTION("""COMPUTED_VALUE"""),"XKTSLX0616C0")</f>
        <v>XKTSLX0616C0</v>
      </c>
      <c r="B1233" s="1">
        <f>IFERROR(__xludf.DUMMYFUNCTION("""COMPUTED_VALUE"""),0.41)</f>
        <v>0.41</v>
      </c>
      <c r="C1233" s="1">
        <f>IFERROR(__xludf.DUMMYFUNCTION("""COMPUTED_VALUE"""),0.41)</f>
        <v>0.41</v>
      </c>
      <c r="D1233" s="1">
        <f>IFERROR(__xludf.DUMMYFUNCTION("""COMPUTED_VALUE"""),0.41)</f>
        <v>0.41</v>
      </c>
      <c r="E1233" s="1">
        <f>IFERROR(__xludf.DUMMYFUNCTION("""COMPUTED_VALUE"""),0.0)</f>
        <v>0</v>
      </c>
    </row>
    <row r="1234">
      <c r="A1234" s="1" t="str">
        <f>IFERROR(__xludf.DUMMYFUNCTION("""COMPUTED_VALUE"""),"XKTSLX1016C0")</f>
        <v>XKTSLX1016C0</v>
      </c>
      <c r="B1234" s="1">
        <f>IFERROR(__xludf.DUMMYFUNCTION("""COMPUTED_VALUE"""),9.04)</f>
        <v>9.04</v>
      </c>
      <c r="C1234" s="1">
        <f>IFERROR(__xludf.DUMMYFUNCTION("""COMPUTED_VALUE"""),13.379999999999999)</f>
        <v>13.38</v>
      </c>
      <c r="D1234" s="1">
        <f>IFERROR(__xludf.DUMMYFUNCTION("""COMPUTED_VALUE"""),13.379999999999999)</f>
        <v>13.38</v>
      </c>
      <c r="E1234" s="1">
        <f>IFERROR(__xludf.DUMMYFUNCTION("""COMPUTED_VALUE"""),0.0)</f>
        <v>0</v>
      </c>
    </row>
    <row r="1235">
      <c r="A1235" s="1" t="str">
        <f>IFERROR(__xludf.DUMMYFUNCTION("""COMPUTED_VALUE"""),"XTA1312208")</f>
        <v>XTA1312208</v>
      </c>
      <c r="B1235" s="1">
        <f>IFERROR(__xludf.DUMMYFUNCTION("""COMPUTED_VALUE"""),1.0)</f>
        <v>1</v>
      </c>
      <c r="C1235" s="1">
        <f>IFERROR(__xludf.DUMMYFUNCTION("""COMPUTED_VALUE"""),1.0)</f>
        <v>1</v>
      </c>
      <c r="D1235" s="1">
        <f>IFERROR(__xludf.DUMMYFUNCTION("""COMPUTED_VALUE"""),1.0)</f>
        <v>1</v>
      </c>
      <c r="E1235" s="1">
        <f>IFERROR(__xludf.DUMMYFUNCTION("""COMPUTED_VALUE"""),0.0)</f>
        <v>0</v>
      </c>
    </row>
    <row r="1236">
      <c r="A1236" s="1" t="str">
        <f>IFERROR(__xludf.DUMMYFUNCTION("""COMPUTED_VALUE"""),"XTA251202C0BD")</f>
        <v>XTA251202C0BD</v>
      </c>
      <c r="B1236" s="1">
        <f>IFERROR(__xludf.DUMMYFUNCTION("""COMPUTED_VALUE"""),128.0)</f>
        <v>128</v>
      </c>
      <c r="C1236" s="1">
        <f>IFERROR(__xludf.DUMMYFUNCTION("""COMPUTED_VALUE"""),128.0)</f>
        <v>128</v>
      </c>
      <c r="D1236" s="1">
        <f>IFERROR(__xludf.DUMMYFUNCTION("""COMPUTED_VALUE"""),128.0)</f>
        <v>128</v>
      </c>
      <c r="E1236" s="1">
        <f>IFERROR(__xludf.DUMMYFUNCTION("""COMPUTED_VALUE"""),0.0)</f>
        <v>0</v>
      </c>
    </row>
    <row r="1237">
      <c r="A1237" s="1" t="str">
        <f>IFERROR(__xludf.DUMMYFUNCTION("""COMPUTED_VALUE"""),"XTA2512204BD")</f>
        <v>XTA2512204BD</v>
      </c>
      <c r="B1237" s="1">
        <f>IFERROR(__xludf.DUMMYFUNCTION("""COMPUTED_VALUE"""),1.0)</f>
        <v>1</v>
      </c>
      <c r="C1237" s="1">
        <f>IFERROR(__xludf.DUMMYFUNCTION("""COMPUTED_VALUE"""),1.0)</f>
        <v>1</v>
      </c>
      <c r="D1237" s="1">
        <f>IFERROR(__xludf.DUMMYFUNCTION("""COMPUTED_VALUE"""),1.0)</f>
        <v>1</v>
      </c>
      <c r="E1237" s="1">
        <f>IFERROR(__xludf.DUMMYFUNCTION("""COMPUTED_VALUE"""),0.0)</f>
        <v>0</v>
      </c>
    </row>
    <row r="1238">
      <c r="A1238" s="1" t="str">
        <f>IFERROR(__xludf.DUMMYFUNCTION("""COMPUTED_VALUE"""),"XTA3212203D")</f>
        <v>XTA3212203D</v>
      </c>
      <c r="B1238" s="1">
        <f>IFERROR(__xludf.DUMMYFUNCTION("""COMPUTED_VALUE"""),287.0)</f>
        <v>287</v>
      </c>
      <c r="C1238" s="1">
        <f>IFERROR(__xludf.DUMMYFUNCTION("""COMPUTED_VALUE"""),287.0)</f>
        <v>287</v>
      </c>
      <c r="D1238" s="1">
        <f>IFERROR(__xludf.DUMMYFUNCTION("""COMPUTED_VALUE"""),287.0)</f>
        <v>287</v>
      </c>
      <c r="E1238" s="1">
        <f>IFERROR(__xludf.DUMMYFUNCTION("""COMPUTED_VALUE"""),0.0)</f>
        <v>0</v>
      </c>
    </row>
    <row r="1239">
      <c r="A1239" s="1" t="str">
        <f>IFERROR(__xludf.DUMMYFUNCTION("""COMPUTED_VALUE"""),"XTAE191207C0")</f>
        <v>XTAE191207C0</v>
      </c>
      <c r="B1239" s="1">
        <f>IFERROR(__xludf.DUMMYFUNCTION("""COMPUTED_VALUE"""),7.0)</f>
        <v>7</v>
      </c>
      <c r="C1239" s="1">
        <f>IFERROR(__xludf.DUMMYFUNCTION("""COMPUTED_VALUE"""),7.0)</f>
        <v>7</v>
      </c>
      <c r="D1239" s="1">
        <f>IFERROR(__xludf.DUMMYFUNCTION("""COMPUTED_VALUE"""),7.0)</f>
        <v>7</v>
      </c>
      <c r="E1239" s="1">
        <f>IFERROR(__xludf.DUMMYFUNCTION("""COMPUTED_VALUE"""),0.0)</f>
        <v>0</v>
      </c>
    </row>
    <row r="1240">
      <c r="A1240" s="1" t="str">
        <f>IFERROR(__xludf.DUMMYFUNCTION("""COMPUTED_VALUE"""),"XTAE191207C0D")</f>
        <v>XTAE191207C0D</v>
      </c>
      <c r="B1240" s="1">
        <f>IFERROR(__xludf.DUMMYFUNCTION("""COMPUTED_VALUE"""),0.0)</f>
        <v>0</v>
      </c>
      <c r="C1240" s="1">
        <f>IFERROR(__xludf.DUMMYFUNCTION("""COMPUTED_VALUE"""),0.0)</f>
        <v>0</v>
      </c>
      <c r="D1240" s="1">
        <f>IFERROR(__xludf.DUMMYFUNCTION("""COMPUTED_VALUE"""),0.0)</f>
        <v>0</v>
      </c>
      <c r="E1240" s="1">
        <f>IFERROR(__xludf.DUMMYFUNCTION("""COMPUTED_VALUE"""),0.0)</f>
        <v>0</v>
      </c>
    </row>
    <row r="1241">
      <c r="A1241" s="1" t="str">
        <f>IFERROR(__xludf.DUMMYFUNCTION("""COMPUTED_VALUE"""),"XTAE251205BD")</f>
        <v>XTAE251205BD</v>
      </c>
      <c r="B1241" s="1">
        <f>IFERROR(__xludf.DUMMYFUNCTION("""COMPUTED_VALUE"""),176.0)</f>
        <v>176</v>
      </c>
      <c r="C1241" s="1">
        <f>IFERROR(__xludf.DUMMYFUNCTION("""COMPUTED_VALUE"""),176.0)</f>
        <v>176</v>
      </c>
      <c r="D1241" s="1">
        <f>IFERROR(__xludf.DUMMYFUNCTION("""COMPUTED_VALUE"""),176.0)</f>
        <v>176</v>
      </c>
      <c r="E1241" s="1">
        <f>IFERROR(__xludf.DUMMYFUNCTION("""COMPUTED_VALUE"""),0.0)</f>
        <v>0</v>
      </c>
    </row>
    <row r="1242">
      <c r="A1242" s="1" t="str">
        <f>IFERROR(__xludf.DUMMYFUNCTION("""COMPUTED_VALUE"""),"XTAE251205C0D")</f>
        <v>XTAE251205C0D</v>
      </c>
      <c r="B1242" s="1">
        <f>IFERROR(__xludf.DUMMYFUNCTION("""COMPUTED_VALUE"""),70.0)</f>
        <v>70</v>
      </c>
      <c r="C1242" s="1">
        <f>IFERROR(__xludf.DUMMYFUNCTION("""COMPUTED_VALUE"""),70.0)</f>
        <v>70</v>
      </c>
      <c r="D1242" s="1">
        <f>IFERROR(__xludf.DUMMYFUNCTION("""COMPUTED_VALUE"""),70.0)</f>
        <v>70</v>
      </c>
      <c r="E1242" s="1">
        <f>IFERROR(__xludf.DUMMYFUNCTION("""COMPUTED_VALUE"""),0.0)</f>
        <v>0</v>
      </c>
    </row>
    <row r="1243">
      <c r="A1243" s="1" t="str">
        <f>IFERROR(__xludf.DUMMYFUNCTION("""COMPUTED_VALUE"""),"XTAE321204D")</f>
        <v>XTAE321204D</v>
      </c>
      <c r="B1243" s="1">
        <f>IFERROR(__xludf.DUMMYFUNCTION("""COMPUTED_VALUE"""),36.0)</f>
        <v>36</v>
      </c>
      <c r="C1243" s="1">
        <f>IFERROR(__xludf.DUMMYFUNCTION("""COMPUTED_VALUE"""),-6.0)</f>
        <v>-6</v>
      </c>
      <c r="D1243" s="1">
        <f>IFERROR(__xludf.DUMMYFUNCTION("""COMPUTED_VALUE"""),-6.0)</f>
        <v>-6</v>
      </c>
      <c r="E1243" s="1">
        <f>IFERROR(__xludf.DUMMYFUNCTION("""COMPUTED_VALUE"""),0.0)</f>
        <v>0</v>
      </c>
    </row>
    <row r="1244">
      <c r="A1244" s="1" t="str">
        <f>IFERROR(__xludf.DUMMYFUNCTION("""COMPUTED_VALUE"""),"XTAE501202D")</f>
        <v>XTAE501202D</v>
      </c>
      <c r="B1244" s="1">
        <f>IFERROR(__xludf.DUMMYFUNCTION("""COMPUTED_VALUE"""),0.0)</f>
        <v>0</v>
      </c>
      <c r="C1244" s="1">
        <f>IFERROR(__xludf.DUMMYFUNCTION("""COMPUTED_VALUE"""),115.0)</f>
        <v>115</v>
      </c>
      <c r="D1244" s="1">
        <f>IFERROR(__xludf.DUMMYFUNCTION("""COMPUTED_VALUE"""),115.0)</f>
        <v>115</v>
      </c>
      <c r="E1244" s="1">
        <f>IFERROR(__xludf.DUMMYFUNCTION("""COMPUTED_VALUE"""),0.0)</f>
        <v>0</v>
      </c>
    </row>
    <row r="1245">
      <c r="A1245" s="1" t="str">
        <f>IFERROR(__xludf.DUMMYFUNCTION("""COMPUTED_VALUE"""),"XTAEACDI091215")</f>
        <v>XTAEACDI091215</v>
      </c>
      <c r="B1245" s="1">
        <f>IFERROR(__xludf.DUMMYFUNCTION("""COMPUTED_VALUE"""),40.0)</f>
        <v>40</v>
      </c>
      <c r="C1245" s="1">
        <f>IFERROR(__xludf.DUMMYFUNCTION("""COMPUTED_VALUE"""),40.0)</f>
        <v>40</v>
      </c>
      <c r="D1245" s="1">
        <f>IFERROR(__xludf.DUMMYFUNCTION("""COMPUTED_VALUE"""),40.0)</f>
        <v>40</v>
      </c>
      <c r="E1245" s="1">
        <f>IFERROR(__xludf.DUMMYFUNCTION("""COMPUTED_VALUE"""),0.0)</f>
        <v>0</v>
      </c>
    </row>
    <row r="1246">
      <c r="A1246" s="1" t="str">
        <f>IFERROR(__xludf.DUMMYFUNCTION("""COMPUTED_VALUE"""),"XTAEACDI131211D")</f>
        <v>XTAEACDI131211D</v>
      </c>
      <c r="B1246" s="1">
        <f>IFERROR(__xludf.DUMMYFUNCTION("""COMPUTED_VALUE"""),19.0)</f>
        <v>19</v>
      </c>
      <c r="C1246" s="1">
        <f>IFERROR(__xludf.DUMMYFUNCTION("""COMPUTED_VALUE"""),19.0)</f>
        <v>19</v>
      </c>
      <c r="D1246" s="1">
        <f>IFERROR(__xludf.DUMMYFUNCTION("""COMPUTED_VALUE"""),19.0)</f>
        <v>19</v>
      </c>
      <c r="E1246" s="1">
        <f>IFERROR(__xludf.DUMMYFUNCTION("""COMPUTED_VALUE"""),0.0)</f>
        <v>0</v>
      </c>
    </row>
    <row r="1247">
      <c r="A1247" s="1" t="str">
        <f>IFERROR(__xludf.DUMMYFUNCTION("""COMPUTED_VALUE"""),"XTAEACDI161210")</f>
        <v>XTAEACDI161210</v>
      </c>
      <c r="B1247" s="1">
        <f>IFERROR(__xludf.DUMMYFUNCTION("""COMPUTED_VALUE"""),1.0)</f>
        <v>1</v>
      </c>
      <c r="C1247" s="1">
        <f>IFERROR(__xludf.DUMMYFUNCTION("""COMPUTED_VALUE"""),1.0)</f>
        <v>1</v>
      </c>
      <c r="D1247" s="1">
        <f>IFERROR(__xludf.DUMMYFUNCTION("""COMPUTED_VALUE"""),1.0)</f>
        <v>1</v>
      </c>
      <c r="E1247" s="1">
        <f>IFERROR(__xludf.DUMMYFUNCTION("""COMPUTED_VALUE"""),0.0)</f>
        <v>0</v>
      </c>
    </row>
    <row r="1248">
      <c r="A1248" s="1" t="str">
        <f>IFERROR(__xludf.DUMMYFUNCTION("""COMPUTED_VALUE"""),"XTAEACDI191207D")</f>
        <v>XTAEACDI191207D</v>
      </c>
      <c r="B1248" s="1">
        <f>IFERROR(__xludf.DUMMYFUNCTION("""COMPUTED_VALUE"""),0.0)</f>
        <v>0</v>
      </c>
      <c r="C1248" s="1">
        <f>IFERROR(__xludf.DUMMYFUNCTION("""COMPUTED_VALUE"""),-28.0)</f>
        <v>-28</v>
      </c>
      <c r="D1248" s="1">
        <f>IFERROR(__xludf.DUMMYFUNCTION("""COMPUTED_VALUE"""),-28.0)</f>
        <v>-28</v>
      </c>
      <c r="E1248" s="1">
        <f>IFERROR(__xludf.DUMMYFUNCTION("""COMPUTED_VALUE"""),0.0)</f>
        <v>0</v>
      </c>
    </row>
    <row r="1249">
      <c r="A1249" s="1" t="str">
        <f>IFERROR(__xludf.DUMMYFUNCTION("""COMPUTED_VALUE"""),"XTAEACDI251205")</f>
        <v>XTAEACDI251205</v>
      </c>
      <c r="B1249" s="1">
        <f>IFERROR(__xludf.DUMMYFUNCTION("""COMPUTED_VALUE"""),1.0)</f>
        <v>1</v>
      </c>
      <c r="C1249" s="1">
        <f>IFERROR(__xludf.DUMMYFUNCTION("""COMPUTED_VALUE"""),1.0)</f>
        <v>1</v>
      </c>
      <c r="D1249" s="1">
        <f>IFERROR(__xludf.DUMMYFUNCTION("""COMPUTED_VALUE"""),1.0)</f>
        <v>1</v>
      </c>
      <c r="E1249" s="1">
        <f>IFERROR(__xludf.DUMMYFUNCTION("""COMPUTED_VALUE"""),0.0)</f>
        <v>0</v>
      </c>
    </row>
    <row r="1250">
      <c r="A1250" s="1" t="str">
        <f>IFERROR(__xludf.DUMMYFUNCTION("""COMPUTED_VALUE"""),"XTAEACDI251205D")</f>
        <v>XTAEACDI251205D</v>
      </c>
      <c r="B1250" s="1">
        <f>IFERROR(__xludf.DUMMYFUNCTION("""COMPUTED_VALUE"""),15.0)</f>
        <v>15</v>
      </c>
      <c r="C1250" s="1">
        <f>IFERROR(__xludf.DUMMYFUNCTION("""COMPUTED_VALUE"""),55.0)</f>
        <v>55</v>
      </c>
      <c r="D1250" s="1">
        <f>IFERROR(__xludf.DUMMYFUNCTION("""COMPUTED_VALUE"""),55.0)</f>
        <v>55</v>
      </c>
      <c r="E1250" s="1">
        <f>IFERROR(__xludf.DUMMYFUNCTION("""COMPUTED_VALUE"""),0.0)</f>
        <v>0</v>
      </c>
    </row>
    <row r="1251">
      <c r="A1251" s="1" t="str">
        <f>IFERROR(__xludf.DUMMYFUNCTION("""COMPUTED_VALUE"""),"XTAF2512204")</f>
        <v>XTAF2512204</v>
      </c>
      <c r="B1251" s="1">
        <f>IFERROR(__xludf.DUMMYFUNCTION("""COMPUTED_VALUE"""),1.0)</f>
        <v>1</v>
      </c>
      <c r="C1251" s="1">
        <f>IFERROR(__xludf.DUMMYFUNCTION("""COMPUTED_VALUE"""),1.0)</f>
        <v>1</v>
      </c>
      <c r="D1251" s="1">
        <f>IFERROR(__xludf.DUMMYFUNCTION("""COMPUTED_VALUE"""),1.0)</f>
        <v>1</v>
      </c>
      <c r="E1251" s="1">
        <f>IFERROR(__xludf.DUMMYFUNCTION("""COMPUTED_VALUE"""),0.0)</f>
        <v>0</v>
      </c>
    </row>
    <row r="1252">
      <c r="A1252" s="1" t="str">
        <f>IFERROR(__xludf.DUMMYFUNCTION("""COMPUTED_VALUE"""),"XTS0612224D")</f>
        <v>XTS0612224D</v>
      </c>
      <c r="B1252" s="1">
        <f>IFERROR(__xludf.DUMMYFUNCTION("""COMPUTED_VALUE"""),1.0)</f>
        <v>1</v>
      </c>
      <c r="C1252" s="1">
        <f>IFERROR(__xludf.DUMMYFUNCTION("""COMPUTED_VALUE"""),1.0)</f>
        <v>1</v>
      </c>
      <c r="D1252" s="1">
        <f>IFERROR(__xludf.DUMMYFUNCTION("""COMPUTED_VALUE"""),1.0)</f>
        <v>1</v>
      </c>
      <c r="E1252" s="1">
        <f>IFERROR(__xludf.DUMMYFUNCTION("""COMPUTED_VALUE"""),0.0)</f>
        <v>0</v>
      </c>
    </row>
    <row r="1253">
      <c r="A1253" s="1" t="str">
        <f>IFERROR(__xludf.DUMMYFUNCTION("""COMPUTED_VALUE"""),"XTS0614020D")</f>
        <v>XTS0614020D</v>
      </c>
      <c r="B1253" s="1">
        <f>IFERROR(__xludf.DUMMYFUNCTION("""COMPUTED_VALUE"""),25.0)</f>
        <v>25</v>
      </c>
      <c r="C1253" s="1">
        <f>IFERROR(__xludf.DUMMYFUNCTION("""COMPUTED_VALUE"""),25.0)</f>
        <v>25</v>
      </c>
      <c r="D1253" s="1">
        <f>IFERROR(__xludf.DUMMYFUNCTION("""COMPUTED_VALUE"""),25.0)</f>
        <v>25</v>
      </c>
      <c r="E1253" s="1">
        <f>IFERROR(__xludf.DUMMYFUNCTION("""COMPUTED_VALUE"""),0.0)</f>
        <v>0</v>
      </c>
    </row>
    <row r="1254">
      <c r="A1254" s="1" t="str">
        <f>IFERROR(__xludf.DUMMYFUNCTION("""COMPUTED_VALUE"""),"XTS13020914D")</f>
        <v>XTS13020914D</v>
      </c>
      <c r="B1254" s="1">
        <f>IFERROR(__xludf.DUMMYFUNCTION("""COMPUTED_VALUE"""),1.0)</f>
        <v>1</v>
      </c>
      <c r="C1254" s="1">
        <f>IFERROR(__xludf.DUMMYFUNCTION("""COMPUTED_VALUE"""),1.0)</f>
        <v>1</v>
      </c>
      <c r="D1254" s="1">
        <f>IFERROR(__xludf.DUMMYFUNCTION("""COMPUTED_VALUE"""),1.0)</f>
        <v>1</v>
      </c>
      <c r="E1254" s="1">
        <f>IFERROR(__xludf.DUMMYFUNCTION("""COMPUTED_VALUE"""),0.0)</f>
        <v>0</v>
      </c>
    </row>
    <row r="1255">
      <c r="A1255" s="1" t="str">
        <f>IFERROR(__xludf.DUMMYFUNCTION("""COMPUTED_VALUE"""),"XTS1612214BD")</f>
        <v>XTS1612214BD</v>
      </c>
      <c r="B1255" s="1">
        <f>IFERROR(__xludf.DUMMYFUNCTION("""COMPUTED_VALUE"""),1.0)</f>
        <v>1</v>
      </c>
      <c r="C1255" s="1">
        <f>IFERROR(__xludf.DUMMYFUNCTION("""COMPUTED_VALUE"""),1.0)</f>
        <v>1</v>
      </c>
      <c r="D1255" s="1">
        <f>IFERROR(__xludf.DUMMYFUNCTION("""COMPUTED_VALUE"""),1.0)</f>
        <v>1</v>
      </c>
      <c r="E1255" s="1">
        <f>IFERROR(__xludf.DUMMYFUNCTION("""COMPUTED_VALUE"""),0.0)</f>
        <v>0</v>
      </c>
    </row>
    <row r="1256">
      <c r="A1256" s="1" t="str">
        <f>IFERROR(__xludf.DUMMYFUNCTION("""COMPUTED_VALUE"""),"XTS2512208BD")</f>
        <v>XTS2512208BD</v>
      </c>
      <c r="B1256" s="1">
        <f>IFERROR(__xludf.DUMMYFUNCTION("""COMPUTED_VALUE"""),0.0)</f>
        <v>0</v>
      </c>
      <c r="C1256" s="1">
        <f>IFERROR(__xludf.DUMMYFUNCTION("""COMPUTED_VALUE"""),0.0)</f>
        <v>0</v>
      </c>
      <c r="D1256" s="1">
        <f>IFERROR(__xludf.DUMMYFUNCTION("""COMPUTED_VALUE"""),0.0)</f>
        <v>0</v>
      </c>
      <c r="E1256" s="1">
        <f>IFERROR(__xludf.DUMMYFUNCTION("""COMPUTED_VALUE"""),0.0)</f>
        <v>0</v>
      </c>
    </row>
    <row r="1257">
      <c r="A1257" s="1" t="str">
        <f>IFERROR(__xludf.DUMMYFUNCTION("""COMPUTED_VALUE"""),"XTS2512208D")</f>
        <v>XTS2512208D</v>
      </c>
      <c r="B1257" s="1">
        <f>IFERROR(__xludf.DUMMYFUNCTION("""COMPUTED_VALUE"""),10.0)</f>
        <v>10</v>
      </c>
      <c r="C1257" s="1">
        <f>IFERROR(__xludf.DUMMYFUNCTION("""COMPUTED_VALUE"""),26.0)</f>
        <v>26</v>
      </c>
      <c r="D1257" s="1">
        <f>IFERROR(__xludf.DUMMYFUNCTION("""COMPUTED_VALUE"""),10.0)</f>
        <v>10</v>
      </c>
      <c r="E1257" s="1">
        <f>IFERROR(__xludf.DUMMYFUNCTION("""COMPUTED_VALUE"""),16.0)</f>
        <v>16</v>
      </c>
    </row>
    <row r="1258">
      <c r="A1258" s="1" t="str">
        <f>IFERROR(__xludf.DUMMYFUNCTION("""COMPUTED_VALUE"""),"XTS2514010BD")</f>
        <v>XTS2514010BD</v>
      </c>
      <c r="B1258" s="1">
        <f>IFERROR(__xludf.DUMMYFUNCTION("""COMPUTED_VALUE"""),3.0)</f>
        <v>3</v>
      </c>
      <c r="C1258" s="1">
        <f>IFERROR(__xludf.DUMMYFUNCTION("""COMPUTED_VALUE"""),3.0)</f>
        <v>3</v>
      </c>
      <c r="D1258" s="1">
        <f>IFERROR(__xludf.DUMMYFUNCTION("""COMPUTED_VALUE"""),3.0)</f>
        <v>3</v>
      </c>
      <c r="E1258" s="1">
        <f>IFERROR(__xludf.DUMMYFUNCTION("""COMPUTED_VALUE"""),0.0)</f>
        <v>0</v>
      </c>
    </row>
    <row r="1259">
      <c r="A1259" s="1" t="str">
        <f>IFERROR(__xludf.DUMMYFUNCTION("""COMPUTED_VALUE"""),"XTSVN1012221D")</f>
        <v>XTSVN1012221D</v>
      </c>
      <c r="B1259" s="1">
        <f>IFERROR(__xludf.DUMMYFUNCTION("""COMPUTED_VALUE"""),0.0)</f>
        <v>0</v>
      </c>
      <c r="C1259" s="1">
        <f>IFERROR(__xludf.DUMMYFUNCTION("""COMPUTED_VALUE"""),0.0)</f>
        <v>0</v>
      </c>
      <c r="D1259" s="1">
        <f>IFERROR(__xludf.DUMMYFUNCTION("""COMPUTED_VALUE"""),0.0)</f>
        <v>0</v>
      </c>
      <c r="E1259" s="1">
        <f>IFERROR(__xludf.DUMMYFUNCTION("""COMPUTED_VALUE"""),0.0)</f>
        <v>0</v>
      </c>
    </row>
    <row r="1260">
      <c r="A1260" s="1" t="str">
        <f>IFERROR(__xludf.DUMMYFUNCTION("""COMPUTED_VALUE"""),"XTSVN1314015D")</f>
        <v>XTSVN1314015D</v>
      </c>
      <c r="B1260" s="1">
        <f>IFERROR(__xludf.DUMMYFUNCTION("""COMPUTED_VALUE"""),3.0)</f>
        <v>3</v>
      </c>
      <c r="C1260" s="1">
        <f>IFERROR(__xludf.DUMMYFUNCTION("""COMPUTED_VALUE"""),3.0)</f>
        <v>3</v>
      </c>
      <c r="D1260" s="1">
        <f>IFERROR(__xludf.DUMMYFUNCTION("""COMPUTED_VALUE"""),3.0)</f>
        <v>3</v>
      </c>
      <c r="E1260" s="1">
        <f>IFERROR(__xludf.DUMMYFUNCTION("""COMPUTED_VALUE"""),0.0)</f>
        <v>0</v>
      </c>
    </row>
    <row r="1261">
      <c r="A1261" s="1" t="str">
        <f>IFERROR(__xludf.DUMMYFUNCTION("""COMPUTED_VALUE"""),"XTSVN1612214D")</f>
        <v>XTSVN1612214D</v>
      </c>
      <c r="B1261" s="1">
        <f>IFERROR(__xludf.DUMMYFUNCTION("""COMPUTED_VALUE"""),1.0)</f>
        <v>1</v>
      </c>
      <c r="C1261" s="1">
        <f>IFERROR(__xludf.DUMMYFUNCTION("""COMPUTED_VALUE"""),1.0)</f>
        <v>1</v>
      </c>
      <c r="D1261" s="1">
        <f>IFERROR(__xludf.DUMMYFUNCTION("""COMPUTED_VALUE"""),1.0)</f>
        <v>1</v>
      </c>
      <c r="E1261" s="1">
        <f>IFERROR(__xludf.DUMMYFUNCTION("""COMPUTED_VALUE"""),0.0)</f>
        <v>0</v>
      </c>
    </row>
    <row r="1262">
      <c r="A1262" s="1" t="str">
        <f>IFERROR(__xludf.DUMMYFUNCTION("""COMPUTED_VALUE"""),"XTSVN1912209BD")</f>
        <v>XTSVN1912209BD</v>
      </c>
      <c r="B1262" s="1">
        <f>IFERROR(__xludf.DUMMYFUNCTION("""COMPUTED_VALUE"""),0.0)</f>
        <v>0</v>
      </c>
      <c r="C1262" s="1">
        <f>IFERROR(__xludf.DUMMYFUNCTION("""COMPUTED_VALUE"""),0.0)</f>
        <v>0</v>
      </c>
      <c r="D1262" s="1">
        <f>IFERROR(__xludf.DUMMYFUNCTION("""COMPUTED_VALUE"""),0.0)</f>
        <v>0</v>
      </c>
      <c r="E1262" s="1">
        <f>IFERROR(__xludf.DUMMYFUNCTION("""COMPUTED_VALUE"""),0.0)</f>
        <v>0</v>
      </c>
    </row>
    <row r="1263">
      <c r="A1263" s="1" t="str">
        <f>IFERROR(__xludf.DUMMYFUNCTION("""COMPUTED_VALUE"""),"XTSVN1912209D")</f>
        <v>XTSVN1912209D</v>
      </c>
      <c r="B1263" s="1">
        <f>IFERROR(__xludf.DUMMYFUNCTION("""COMPUTED_VALUE"""),3.0)</f>
        <v>3</v>
      </c>
      <c r="C1263" s="1">
        <f>IFERROR(__xludf.DUMMYFUNCTION("""COMPUTED_VALUE"""),3.0)</f>
        <v>3</v>
      </c>
      <c r="D1263" s="1">
        <f>IFERROR(__xludf.DUMMYFUNCTION("""COMPUTED_VALUE"""),3.0)</f>
        <v>3</v>
      </c>
      <c r="E1263" s="1">
        <f>IFERROR(__xludf.DUMMYFUNCTION("""COMPUTED_VALUE"""),0.0)</f>
        <v>0</v>
      </c>
    </row>
    <row r="1264">
      <c r="A1264" s="1" t="str">
        <f>IFERROR(__xludf.DUMMYFUNCTION("""COMPUTED_VALUE"""),"XTSVN2512208D")</f>
        <v>XTSVN2512208D</v>
      </c>
      <c r="B1264" s="1">
        <f>IFERROR(__xludf.DUMMYFUNCTION("""COMPUTED_VALUE"""),2.0)</f>
        <v>2</v>
      </c>
      <c r="C1264" s="1">
        <f>IFERROR(__xludf.DUMMYFUNCTION("""COMPUTED_VALUE"""),2.0)</f>
        <v>2</v>
      </c>
      <c r="D1264" s="1">
        <f>IFERROR(__xludf.DUMMYFUNCTION("""COMPUTED_VALUE"""),2.0)</f>
        <v>2</v>
      </c>
      <c r="E1264" s="1">
        <f>IFERROR(__xludf.DUMMYFUNCTION("""COMPUTED_VALUE"""),0.0)</f>
        <v>0</v>
      </c>
    </row>
    <row r="1265">
      <c r="A1265" s="1" t="str">
        <f>IFERROR(__xludf.DUMMYFUNCTION("""COMPUTED_VALUE"""),"XTSVN3812205D")</f>
        <v>XTSVN3812205D</v>
      </c>
      <c r="B1265" s="1">
        <f>IFERROR(__xludf.DUMMYFUNCTION("""COMPUTED_VALUE"""),4.0)</f>
        <v>4</v>
      </c>
      <c r="C1265" s="1">
        <f>IFERROR(__xludf.DUMMYFUNCTION("""COMPUTED_VALUE"""),4.0)</f>
        <v>4</v>
      </c>
      <c r="D1265" s="1">
        <f>IFERROR(__xludf.DUMMYFUNCTION("""COMPUTED_VALUE"""),4.0)</f>
        <v>4</v>
      </c>
      <c r="E1265" s="1">
        <f>IFERROR(__xludf.DUMMYFUNCTION("""COMPUTED_VALUE"""),0.0)</f>
        <v>0</v>
      </c>
    </row>
    <row r="1266">
      <c r="A1266" s="1" t="str">
        <f>IFERROR(__xludf.DUMMYFUNCTION("""COMPUTED_VALUE"""),"XULYAMKHO")</f>
        <v>XULYAMKHO</v>
      </c>
      <c r="B1266" s="1">
        <f>IFERROR(__xludf.DUMMYFUNCTION("""COMPUTED_VALUE"""),10000.0)</f>
        <v>10000</v>
      </c>
      <c r="C1266" s="1">
        <f>IFERROR(__xludf.DUMMYFUNCTION("""COMPUTED_VALUE"""),12000.0)</f>
        <v>12000</v>
      </c>
      <c r="D1266" s="1">
        <f>IFERROR(__xludf.DUMMYFUNCTION("""COMPUTED_VALUE"""),11000.0)</f>
        <v>11000</v>
      </c>
      <c r="E1266" s="1">
        <f>IFERROR(__xludf.DUMMYFUNCTION("""COMPUTED_VALUE"""),1000.0)</f>
        <v>1000</v>
      </c>
    </row>
    <row r="1267">
      <c r="A1267" s="1" t="str">
        <f>IFERROR(__xludf.DUMMYFUNCTION("""COMPUTED_VALUE"""),"YJ-125")</f>
        <v>YJ-125</v>
      </c>
      <c r="B1267" s="1">
        <f>IFERROR(__xludf.DUMMYFUNCTION("""COMPUTED_VALUE"""),1.0)</f>
        <v>1</v>
      </c>
      <c r="C1267" s="1">
        <f>IFERROR(__xludf.DUMMYFUNCTION("""COMPUTED_VALUE"""),1.0)</f>
        <v>1</v>
      </c>
      <c r="D1267" s="1">
        <f>IFERROR(__xludf.DUMMYFUNCTION("""COMPUTED_VALUE"""),1.0)</f>
        <v>1</v>
      </c>
      <c r="E1267" s="1">
        <f>IFERROR(__xludf.DUMMYFUNCTION("""COMPUTED_VALUE"""),0.0)</f>
        <v>0</v>
      </c>
    </row>
    <row r="1268">
      <c r="A1268" s="1" t="str">
        <f>IFERROR(__xludf.DUMMYFUNCTION("""COMPUTED_VALUE"""),"ZBOSDT0548914")</f>
        <v>ZBOSDT0548914</v>
      </c>
      <c r="B1268" s="1">
        <f>IFERROR(__xludf.DUMMYFUNCTION("""COMPUTED_VALUE"""),3.0)</f>
        <v>3</v>
      </c>
      <c r="C1268" s="1">
        <f>IFERROR(__xludf.DUMMYFUNCTION("""COMPUTED_VALUE"""),3.0)</f>
        <v>3</v>
      </c>
      <c r="D1268" s="1">
        <f>IFERROR(__xludf.DUMMYFUNCTION("""COMPUTED_VALUE"""),3.0)</f>
        <v>3</v>
      </c>
      <c r="E1268" s="1">
        <f>IFERROR(__xludf.DUMMYFUNCTION("""COMPUTED_VALUE"""),0.0)</f>
        <v>0</v>
      </c>
    </row>
    <row r="1269">
      <c r="A1269" s="1"/>
      <c r="B1269" s="1" t="str">
        <f>IFERROR(__xludf.DUMMYFUNCTION("""COMPUTED_VALUE"""),"")</f>
        <v/>
      </c>
      <c r="C1269" s="1" t="str">
        <f>IFERROR(__xludf.DUMMYFUNCTION("""COMPUTED_VALUE"""),"")</f>
        <v/>
      </c>
      <c r="D1269" s="1" t="str">
        <f>IFERROR(__xludf.DUMMYFUNCTION("""COMPUTED_VALUE"""),"")</f>
        <v/>
      </c>
      <c r="E1269" s="1" t="str">
        <f>IFERROR(__xludf.DUMMYFUNCTION("""COMPUTED_VALUE"""),"")</f>
        <v/>
      </c>
    </row>
    <row r="1270">
      <c r="A1270" s="1" t="str">
        <f>IFERROR(__xludf.DUMMYFUNCTION("""COMPUTED_VALUE"""),"DOCHLTS0635061")</f>
        <v>DOCHLTS0635061</v>
      </c>
      <c r="B1270" s="1">
        <f>IFERROR(__xludf.DUMMYFUNCTION("""COMPUTED_VALUE"""),0.0)</f>
        <v>0</v>
      </c>
      <c r="C1270" s="1">
        <f>IFERROR(__xludf.DUMMYFUNCTION("""COMPUTED_VALUE"""),1.0)</f>
        <v>1</v>
      </c>
      <c r="D1270" s="1">
        <f>IFERROR(__xludf.DUMMYFUNCTION("""COMPUTED_VALUE"""),1.0)</f>
        <v>1</v>
      </c>
      <c r="E1270" s="1">
        <f>IFERROR(__xludf.DUMMYFUNCTION("""COMPUTED_VALUE"""),0.0)</f>
        <v>0</v>
      </c>
    </row>
    <row r="1271">
      <c r="A1271" s="1" t="str">
        <f>IFERROR(__xludf.DUMMYFUNCTION("""COMPUTED_VALUE"""),"DOCHLTS1588071")</f>
        <v>DOCHLTS1588071</v>
      </c>
      <c r="B1271" s="1">
        <f>IFERROR(__xludf.DUMMYFUNCTION("""COMPUTED_VALUE"""),0.0)</f>
        <v>0</v>
      </c>
      <c r="C1271" s="1">
        <f>IFERROR(__xludf.DUMMYFUNCTION("""COMPUTED_VALUE"""),99.0)</f>
        <v>99</v>
      </c>
      <c r="D1271" s="1">
        <f>IFERROR(__xludf.DUMMYFUNCTION("""COMPUTED_VALUE"""),4.0)</f>
        <v>4</v>
      </c>
      <c r="E1271" s="1">
        <f>IFERROR(__xludf.DUMMYFUNCTION("""COMPUTED_VALUE"""),95.0)</f>
        <v>95</v>
      </c>
    </row>
    <row r="1272">
      <c r="A1272" s="1" t="str">
        <f>IFERROR(__xludf.DUMMYFUNCTION("""COMPUTED_VALUE"""),"DOCTAISEI0952061")</f>
        <v>DOCTAISEI0952061</v>
      </c>
      <c r="B1272" s="1">
        <f>IFERROR(__xludf.DUMMYFUNCTION("""COMPUTED_VALUE"""),0.0)</f>
        <v>0</v>
      </c>
      <c r="C1272" s="1">
        <f>IFERROR(__xludf.DUMMYFUNCTION("""COMPUTED_VALUE"""),11.0)</f>
        <v>11</v>
      </c>
      <c r="D1272" s="1">
        <f>IFERROR(__xludf.DUMMYFUNCTION("""COMPUTED_VALUE"""),10.0)</f>
        <v>10</v>
      </c>
      <c r="E1272" s="1">
        <f>IFERROR(__xludf.DUMMYFUNCTION("""COMPUTED_VALUE"""),1.0)</f>
        <v>1</v>
      </c>
    </row>
    <row r="1273">
      <c r="A1273" s="1" t="str">
        <f>IFERROR(__xludf.DUMMYFUNCTION("""COMPUTED_VALUE"""),"DOT3493127")</f>
        <v>DOT3493127</v>
      </c>
      <c r="B1273" s="1">
        <f>IFERROR(__xludf.DUMMYFUNCTION("""COMPUTED_VALUE"""),0.0)</f>
        <v>0</v>
      </c>
      <c r="C1273" s="1">
        <f>IFERROR(__xludf.DUMMYFUNCTION("""COMPUTED_VALUE"""),3.0)</f>
        <v>3</v>
      </c>
      <c r="D1273" s="1">
        <f>IFERROR(__xludf.DUMMYFUNCTION("""COMPUTED_VALUE"""),3.0)</f>
        <v>3</v>
      </c>
      <c r="E1273" s="1">
        <f>IFERROR(__xludf.DUMMYFUNCTION("""COMPUTED_VALUE"""),0.0)</f>
        <v>0</v>
      </c>
    </row>
    <row r="1274">
      <c r="A1274" s="1" t="str">
        <f>IFERROR(__xludf.DUMMYFUNCTION("""COMPUTED_VALUE"""),"GA32TQ10")</f>
        <v>GA32TQ10</v>
      </c>
      <c r="B1274" s="1">
        <f>IFERROR(__xludf.DUMMYFUNCTION("""COMPUTED_VALUE"""),0.0)</f>
        <v>0</v>
      </c>
      <c r="C1274" s="1">
        <f>IFERROR(__xludf.DUMMYFUNCTION("""COMPUTED_VALUE"""),2.0)</f>
        <v>2</v>
      </c>
      <c r="D1274" s="1">
        <f>IFERROR(__xludf.DUMMYFUNCTION("""COMPUTED_VALUE"""),1.0)</f>
        <v>1</v>
      </c>
      <c r="E1274" s="1">
        <f>IFERROR(__xludf.DUMMYFUNCTION("""COMPUTED_VALUE"""),1.0)</f>
        <v>1</v>
      </c>
    </row>
    <row r="1275">
      <c r="A1275" s="1" t="str">
        <f>IFERROR(__xludf.DUMMYFUNCTION("""COMPUTED_VALUE"""),"XTS1912209D")</f>
        <v>XTS1912209D</v>
      </c>
      <c r="B1275" s="1">
        <f>IFERROR(__xludf.DUMMYFUNCTION("""COMPUTED_VALUE"""),0.0)</f>
        <v>0</v>
      </c>
      <c r="C1275" s="1">
        <f>IFERROR(__xludf.DUMMYFUNCTION("""COMPUTED_VALUE"""),1.0)</f>
        <v>1</v>
      </c>
      <c r="D1275" s="1">
        <f>IFERROR(__xludf.DUMMYFUNCTION("""COMPUTED_VALUE"""),1.0)</f>
        <v>1</v>
      </c>
      <c r="E1275" s="1">
        <f>IFERROR(__xludf.DUMMYFUNCTION("""COMPUTED_VALUE"""),0.0)</f>
        <v>0</v>
      </c>
    </row>
    <row r="1276">
      <c r="A1276" s="1" t="str">
        <f>IFERROR(__xludf.DUMMYFUNCTION("""COMPUTED_VALUE"""),"XBOAE02513")</f>
        <v>XBOAE02513</v>
      </c>
      <c r="B1276" s="1">
        <f>IFERROR(__xludf.DUMMYFUNCTION("""COMPUTED_VALUE"""),0.0)</f>
        <v>0</v>
      </c>
      <c r="C1276" s="1">
        <f>IFERROR(__xludf.DUMMYFUNCTION("""COMPUTED_VALUE"""),240.0)</f>
        <v>240</v>
      </c>
      <c r="D1276" s="1">
        <f>IFERROR(__xludf.DUMMYFUNCTION("""COMPUTED_VALUE"""),240.0)</f>
        <v>240</v>
      </c>
      <c r="E1276" s="1">
        <f>IFERROR(__xludf.DUMMYFUNCTION("""COMPUTED_VALUE"""),0.0)</f>
        <v>0</v>
      </c>
    </row>
    <row r="1277">
      <c r="A1277" s="1" t="str">
        <f>IFERROR(__xludf.DUMMYFUNCTION("""COMPUTED_VALUE"""),"XBOAE03213")</f>
        <v>XBOAE03213</v>
      </c>
      <c r="B1277" s="1">
        <f>IFERROR(__xludf.DUMMYFUNCTION("""COMPUTED_VALUE"""),0.0)</f>
        <v>0</v>
      </c>
      <c r="C1277" s="1">
        <f>IFERROR(__xludf.DUMMYFUNCTION("""COMPUTED_VALUE"""),104.0)</f>
        <v>104</v>
      </c>
      <c r="D1277" s="1">
        <f>IFERROR(__xludf.DUMMYFUNCTION("""COMPUTED_VALUE"""),104.0)</f>
        <v>104</v>
      </c>
      <c r="E1277" s="1">
        <f>IFERROR(__xludf.DUMMYFUNCTION("""COMPUTED_VALUE"""),0.0)</f>
        <v>0</v>
      </c>
    </row>
    <row r="1278">
      <c r="A1278" s="1" t="str">
        <f>IFERROR(__xludf.DUMMYFUNCTION("""COMPUTED_VALUE"""),"XTAEACDI251205BD")</f>
        <v>XTAEACDI251205BD</v>
      </c>
      <c r="B1278" s="1">
        <f>IFERROR(__xludf.DUMMYFUNCTION("""COMPUTED_VALUE"""),0.0)</f>
        <v>0</v>
      </c>
      <c r="C1278" s="1">
        <f>IFERROR(__xludf.DUMMYFUNCTION("""COMPUTED_VALUE"""),126.0)</f>
        <v>126</v>
      </c>
      <c r="D1278" s="1">
        <f>IFERROR(__xludf.DUMMYFUNCTION("""COMPUTED_VALUE"""),126.0)</f>
        <v>126</v>
      </c>
      <c r="E1278" s="1">
        <f>IFERROR(__xludf.DUMMYFUNCTION("""COMPUTED_VALUE"""),0.0)</f>
        <v>0</v>
      </c>
    </row>
    <row r="1279">
      <c r="A1279" s="1" t="str">
        <f>IFERROR(__xludf.DUMMYFUNCTION("""COMPUTED_VALUE"""),"DOCTAISEI1270061")</f>
        <v>DOCTAISEI1270061</v>
      </c>
      <c r="B1279" s="1">
        <f>IFERROR(__xludf.DUMMYFUNCTION("""COMPUTED_VALUE"""),0.0)</f>
        <v>0</v>
      </c>
      <c r="C1279" s="1">
        <f>IFERROR(__xludf.DUMMYFUNCTION("""COMPUTED_VALUE"""),59.0)</f>
        <v>59</v>
      </c>
      <c r="D1279" s="1">
        <f>IFERROR(__xludf.DUMMYFUNCTION("""COMPUTED_VALUE"""),7.0)</f>
        <v>7</v>
      </c>
      <c r="E1279" s="1">
        <f>IFERROR(__xludf.DUMMYFUNCTION("""COMPUTED_VALUE"""),52.0)</f>
        <v>52</v>
      </c>
    </row>
    <row r="1280">
      <c r="A1280" s="1" t="str">
        <f>IFERROR(__xludf.DUMMYFUNCTION("""COMPUTED_VALUE"""),"MAUOSUP06x13")</f>
        <v>MAUOSUP06x13</v>
      </c>
      <c r="B1280" s="1">
        <f>IFERROR(__xludf.DUMMYFUNCTION("""COMPUTED_VALUE"""),0.0)</f>
        <v>0</v>
      </c>
      <c r="C1280" s="1">
        <f>IFERROR(__xludf.DUMMYFUNCTION("""COMPUTED_VALUE"""),36.0)</f>
        <v>36</v>
      </c>
      <c r="D1280" s="1">
        <f>IFERROR(__xludf.DUMMYFUNCTION("""COMPUTED_VALUE"""),30.0)</f>
        <v>30</v>
      </c>
      <c r="E1280" s="1">
        <f>IFERROR(__xludf.DUMMYFUNCTION("""COMPUTED_VALUE"""),6.0)</f>
        <v>6</v>
      </c>
    </row>
    <row r="1281">
      <c r="A1281" s="1" t="str">
        <f>IFERROR(__xludf.DUMMYFUNCTION("""COMPUTED_VALUE"""),"MAUOSUP10x13")</f>
        <v>MAUOSUP10x13</v>
      </c>
      <c r="B1281" s="1">
        <f>IFERROR(__xludf.DUMMYFUNCTION("""COMPUTED_VALUE"""),0.0)</f>
        <v>0</v>
      </c>
      <c r="C1281" s="1">
        <f>IFERROR(__xludf.DUMMYFUNCTION("""COMPUTED_VALUE"""),38.0)</f>
        <v>38</v>
      </c>
      <c r="D1281" s="1">
        <f>IFERROR(__xludf.DUMMYFUNCTION("""COMPUTED_VALUE"""),30.0)</f>
        <v>30</v>
      </c>
      <c r="E1281" s="1">
        <f>IFERROR(__xludf.DUMMYFUNCTION("""COMPUTED_VALUE"""),8.0)</f>
        <v>8</v>
      </c>
    </row>
    <row r="1282">
      <c r="A1282" s="1" t="str">
        <f>IFERROR(__xludf.DUMMYFUNCTION("""COMPUTED_VALUE"""),"MAUOSUP13x13")</f>
        <v>MAUOSUP13x13</v>
      </c>
      <c r="B1282" s="1">
        <f>IFERROR(__xludf.DUMMYFUNCTION("""COMPUTED_VALUE"""),0.0)</f>
        <v>0</v>
      </c>
      <c r="C1282" s="1">
        <f>IFERROR(__xludf.DUMMYFUNCTION("""COMPUTED_VALUE"""),44.0)</f>
        <v>44</v>
      </c>
      <c r="D1282" s="1">
        <f>IFERROR(__xludf.DUMMYFUNCTION("""COMPUTED_VALUE"""),30.0)</f>
        <v>30</v>
      </c>
      <c r="E1282" s="1">
        <f>IFERROR(__xludf.DUMMYFUNCTION("""COMPUTED_VALUE"""),14.0)</f>
        <v>14</v>
      </c>
    </row>
    <row r="1283">
      <c r="A1283" s="1" t="str">
        <f>IFERROR(__xludf.DUMMYFUNCTION("""COMPUTED_VALUE"""),"MAUOSUP35x25")</f>
        <v>MAUOSUP35x25</v>
      </c>
      <c r="B1283" s="1">
        <f>IFERROR(__xludf.DUMMYFUNCTION("""COMPUTED_VALUE"""),0.0)</f>
        <v>0</v>
      </c>
      <c r="C1283" s="1">
        <f>IFERROR(__xludf.DUMMYFUNCTION("""COMPUTED_VALUE"""),44.0)</f>
        <v>44</v>
      </c>
      <c r="D1283" s="1">
        <f>IFERROR(__xludf.DUMMYFUNCTION("""COMPUTED_VALUE"""),30.0)</f>
        <v>30</v>
      </c>
      <c r="E1283" s="1">
        <f>IFERROR(__xludf.DUMMYFUNCTION("""COMPUTED_VALUE"""),14.0)</f>
        <v>14</v>
      </c>
    </row>
    <row r="1284">
      <c r="A1284" s="1" t="str">
        <f>IFERROR(__xludf.DUMMYFUNCTION("""COMPUTED_VALUE"""),"MAUOSUP42x25")</f>
        <v>MAUOSUP42x25</v>
      </c>
      <c r="B1284" s="1">
        <f>IFERROR(__xludf.DUMMYFUNCTION("""COMPUTED_VALUE"""),0.0)</f>
        <v>0</v>
      </c>
      <c r="C1284" s="1">
        <f>IFERROR(__xludf.DUMMYFUNCTION("""COMPUTED_VALUE"""),34.0)</f>
        <v>34</v>
      </c>
      <c r="D1284" s="1">
        <f>IFERROR(__xludf.DUMMYFUNCTION("""COMPUTED_VALUE"""),20.0)</f>
        <v>20</v>
      </c>
      <c r="E1284" s="1">
        <f>IFERROR(__xludf.DUMMYFUNCTION("""COMPUTED_VALUE"""),14.0)</f>
        <v>14</v>
      </c>
    </row>
    <row r="1285">
      <c r="A1285" s="1" t="str">
        <f>IFERROR(__xludf.DUMMYFUNCTION("""COMPUTED_VALUE"""),"MAUTASUD10122914")</f>
        <v>MAUTASUD10122914</v>
      </c>
      <c r="B1285" s="1">
        <f>IFERROR(__xludf.DUMMYFUNCTION("""COMPUTED_VALUE"""),0.0)</f>
        <v>0</v>
      </c>
      <c r="C1285" s="1">
        <f>IFERROR(__xludf.DUMMYFUNCTION("""COMPUTED_VALUE"""),10.0)</f>
        <v>10</v>
      </c>
      <c r="D1285" s="1">
        <f>IFERROR(__xludf.DUMMYFUNCTION("""COMPUTED_VALUE"""),10.0)</f>
        <v>10</v>
      </c>
      <c r="E1285" s="1">
        <f>IFERROR(__xludf.DUMMYFUNCTION("""COMPUTED_VALUE"""),0.0)</f>
        <v>0</v>
      </c>
    </row>
    <row r="1286">
      <c r="A1286" s="1" t="str">
        <f>IFERROR(__xludf.DUMMYFUNCTION("""COMPUTED_VALUE"""),"MAUTASUD10122914D")</f>
        <v>MAUTASUD10122914D</v>
      </c>
      <c r="B1286" s="1">
        <f>IFERROR(__xludf.DUMMYFUNCTION("""COMPUTED_VALUE"""),0.0)</f>
        <v>0</v>
      </c>
      <c r="C1286" s="1">
        <f>IFERROR(__xludf.DUMMYFUNCTION("""COMPUTED_VALUE"""),10.0)</f>
        <v>10</v>
      </c>
      <c r="D1286" s="1">
        <f>IFERROR(__xludf.DUMMYFUNCTION("""COMPUTED_VALUE"""),10.0)</f>
        <v>10</v>
      </c>
      <c r="E1286" s="1">
        <f>IFERROR(__xludf.DUMMYFUNCTION("""COMPUTED_VALUE"""),0.0)</f>
        <v>0</v>
      </c>
    </row>
    <row r="1287">
      <c r="A1287" s="1" t="str">
        <f>IFERROR(__xludf.DUMMYFUNCTION("""COMPUTED_VALUE"""),"MAUTASUD25122914D")</f>
        <v>MAUTASUD25122914D</v>
      </c>
      <c r="B1287" s="1">
        <f>IFERROR(__xludf.DUMMYFUNCTION("""COMPUTED_VALUE"""),0.0)</f>
        <v>0</v>
      </c>
      <c r="C1287" s="1">
        <f>IFERROR(__xludf.DUMMYFUNCTION("""COMPUTED_VALUE"""),10.0)</f>
        <v>10</v>
      </c>
      <c r="D1287" s="1">
        <f>IFERROR(__xludf.DUMMYFUNCTION("""COMPUTED_VALUE"""),10.0)</f>
        <v>10</v>
      </c>
      <c r="E1287" s="1">
        <f>IFERROR(__xludf.DUMMYFUNCTION("""COMPUTED_VALUE"""),0.0)</f>
        <v>0</v>
      </c>
    </row>
    <row r="1288">
      <c r="A1288" s="1" t="str">
        <f>IFERROR(__xludf.DUMMYFUNCTION("""COMPUTED_VALUE"""),"XTA250284C0")</f>
        <v>XTA250284C0</v>
      </c>
      <c r="B1288" s="1">
        <f>IFERROR(__xludf.DUMMYFUNCTION("""COMPUTED_VALUE"""),195.0)</f>
        <v>195</v>
      </c>
      <c r="C1288" s="1">
        <f>IFERROR(__xludf.DUMMYFUNCTION("""COMPUTED_VALUE"""),195.0)</f>
        <v>195</v>
      </c>
      <c r="D1288" s="1">
        <f>IFERROR(__xludf.DUMMYFUNCTION("""COMPUTED_VALUE"""),195.0)</f>
        <v>195</v>
      </c>
      <c r="E1288" s="1">
        <f>IFERROR(__xludf.DUMMYFUNCTION("""COMPUTED_VALUE"""),0.0)</f>
        <v>0</v>
      </c>
    </row>
    <row r="1289">
      <c r="A1289" s="1" t="str">
        <f>IFERROR(__xludf.DUMMYFUNCTION("""COMPUTED_VALUE"""),"XTA250284C0D")</f>
        <v>XTA250284C0D</v>
      </c>
      <c r="B1289" s="1">
        <f>IFERROR(__xludf.DUMMYFUNCTION("""COMPUTED_VALUE"""),296.0)</f>
        <v>296</v>
      </c>
      <c r="C1289" s="1">
        <f>IFERROR(__xludf.DUMMYFUNCTION("""COMPUTED_VALUE"""),296.0)</f>
        <v>296</v>
      </c>
      <c r="D1289" s="1">
        <f>IFERROR(__xludf.DUMMYFUNCTION("""COMPUTED_VALUE"""),296.0)</f>
        <v>296</v>
      </c>
      <c r="E1289" s="1">
        <f>IFERROR(__xludf.DUMMYFUNCTION("""COMPUTED_VALUE"""),0.0)</f>
        <v>0</v>
      </c>
    </row>
    <row r="1290">
      <c r="A1290" s="1" t="str">
        <f>IFERROR(__xludf.DUMMYFUNCTION("""COMPUTED_VALUE"""),"XTAEACDI131211")</f>
        <v>XTAEACDI131211</v>
      </c>
      <c r="B1290" s="1">
        <f>IFERROR(__xludf.DUMMYFUNCTION("""COMPUTED_VALUE"""),7.0)</f>
        <v>7</v>
      </c>
      <c r="C1290" s="1">
        <f>IFERROR(__xludf.DUMMYFUNCTION("""COMPUTED_VALUE"""),7.0)</f>
        <v>7</v>
      </c>
      <c r="D1290" s="1">
        <f>IFERROR(__xludf.DUMMYFUNCTION("""COMPUTED_VALUE"""),7.0)</f>
        <v>7</v>
      </c>
      <c r="E1290" s="1">
        <f>IFERROR(__xludf.DUMMYFUNCTION("""COMPUTED_VALUE"""),0.0)</f>
        <v>0</v>
      </c>
    </row>
    <row r="1291">
      <c r="A1291" s="1" t="str">
        <f>IFERROR(__xludf.DUMMYFUNCTION("""COMPUTED_VALUE"""),"XTHB2512204D")</f>
        <v>XTHB2512204D</v>
      </c>
      <c r="B1291" s="1">
        <f>IFERROR(__xludf.DUMMYFUNCTION("""COMPUTED_VALUE"""),2.0)</f>
        <v>2</v>
      </c>
      <c r="C1291" s="1">
        <f>IFERROR(__xludf.DUMMYFUNCTION("""COMPUTED_VALUE"""),2.0)</f>
        <v>2</v>
      </c>
      <c r="D1291" s="1">
        <f>IFERROR(__xludf.DUMMYFUNCTION("""COMPUTED_VALUE"""),2.0)</f>
        <v>2</v>
      </c>
      <c r="E1291" s="1">
        <f>IFERROR(__xludf.DUMMYFUNCTION("""COMPUTED_VALUE"""),0.0)</f>
        <v>0</v>
      </c>
    </row>
    <row r="1292">
      <c r="A1292" s="1" t="str">
        <f>IFERROR(__xludf.DUMMYFUNCTION("""COMPUTED_VALUE"""),"XTS0612224")</f>
        <v>XTS0612224</v>
      </c>
      <c r="B1292" s="1">
        <f>IFERROR(__xludf.DUMMYFUNCTION("""COMPUTED_VALUE"""),0.0)</f>
        <v>0</v>
      </c>
      <c r="C1292" s="1">
        <f>IFERROR(__xludf.DUMMYFUNCTION("""COMPUTED_VALUE"""),0.0)</f>
        <v>0</v>
      </c>
      <c r="D1292" s="1">
        <f>IFERROR(__xludf.DUMMYFUNCTION("""COMPUTED_VALUE"""),0.0)</f>
        <v>0</v>
      </c>
      <c r="E1292" s="1">
        <f>IFERROR(__xludf.DUMMYFUNCTION("""COMPUTED_VALUE"""),0.0)</f>
        <v>0</v>
      </c>
    </row>
    <row r="1293">
      <c r="A1293" s="1" t="str">
        <f>IFERROR(__xludf.DUMMYFUNCTION("""COMPUTED_VALUE"""),"XTS0614020")</f>
        <v>XTS0614020</v>
      </c>
      <c r="B1293" s="1">
        <f>IFERROR(__xludf.DUMMYFUNCTION("""COMPUTED_VALUE"""),71.0)</f>
        <v>71</v>
      </c>
      <c r="C1293" s="1">
        <f>IFERROR(__xludf.DUMMYFUNCTION("""COMPUTED_VALUE"""),71.0)</f>
        <v>71</v>
      </c>
      <c r="D1293" s="1">
        <f>IFERROR(__xludf.DUMMYFUNCTION("""COMPUTED_VALUE"""),71.0)</f>
        <v>71</v>
      </c>
      <c r="E1293" s="1">
        <f>IFERROR(__xludf.DUMMYFUNCTION("""COMPUTED_VALUE"""),0.0)</f>
        <v>0</v>
      </c>
    </row>
    <row r="1294">
      <c r="A1294" s="1" t="str">
        <f>IFERROR(__xludf.DUMMYFUNCTION("""COMPUTED_VALUE"""),"XTS1612214")</f>
        <v>XTS1612214</v>
      </c>
      <c r="B1294" s="1">
        <f>IFERROR(__xludf.DUMMYFUNCTION("""COMPUTED_VALUE"""),20.0)</f>
        <v>20</v>
      </c>
      <c r="C1294" s="1">
        <f>IFERROR(__xludf.DUMMYFUNCTION("""COMPUTED_VALUE"""),20.0)</f>
        <v>20</v>
      </c>
      <c r="D1294" s="1">
        <f>IFERROR(__xludf.DUMMYFUNCTION("""COMPUTED_VALUE"""),20.0)</f>
        <v>20</v>
      </c>
      <c r="E1294" s="1">
        <f>IFERROR(__xludf.DUMMYFUNCTION("""COMPUTED_VALUE"""),0.0)</f>
        <v>0</v>
      </c>
    </row>
    <row r="1295">
      <c r="A1295" s="1" t="str">
        <f>IFERROR(__xludf.DUMMYFUNCTION("""COMPUTED_VALUE"""),"XTS1912209")</f>
        <v>XTS1912209</v>
      </c>
      <c r="B1295" s="1">
        <f>IFERROR(__xludf.DUMMYFUNCTION("""COMPUTED_VALUE"""),18.0)</f>
        <v>18</v>
      </c>
      <c r="C1295" s="1">
        <f>IFERROR(__xludf.DUMMYFUNCTION("""COMPUTED_VALUE"""),18.0)</f>
        <v>18</v>
      </c>
      <c r="D1295" s="1">
        <f>IFERROR(__xludf.DUMMYFUNCTION("""COMPUTED_VALUE"""),18.0)</f>
        <v>18</v>
      </c>
      <c r="E1295" s="1">
        <f>IFERROR(__xludf.DUMMYFUNCTION("""COMPUTED_VALUE"""),0.0)</f>
        <v>0</v>
      </c>
    </row>
    <row r="1296">
      <c r="A1296" s="1" t="str">
        <f>IFERROR(__xludf.DUMMYFUNCTION("""COMPUTED_VALUE"""),"XTS3212206")</f>
        <v>XTS3212206</v>
      </c>
      <c r="B1296" s="1">
        <f>IFERROR(__xludf.DUMMYFUNCTION("""COMPUTED_VALUE"""),3.0)</f>
        <v>3</v>
      </c>
      <c r="C1296" s="1">
        <f>IFERROR(__xludf.DUMMYFUNCTION("""COMPUTED_VALUE"""),3.0)</f>
        <v>3</v>
      </c>
      <c r="D1296" s="1">
        <f>IFERROR(__xludf.DUMMYFUNCTION("""COMPUTED_VALUE"""),3.0)</f>
        <v>3</v>
      </c>
      <c r="E1296" s="1">
        <f>IFERROR(__xludf.DUMMYFUNCTION("""COMPUTED_VALUE"""),0.0)</f>
        <v>0</v>
      </c>
    </row>
    <row r="1297">
      <c r="A1297" s="1" t="str">
        <f>IFERROR(__xludf.DUMMYFUNCTION("""COMPUTED_VALUE"""),"XTS5112204")</f>
        <v>XTS5112204</v>
      </c>
      <c r="B1297" s="1">
        <f>IFERROR(__xludf.DUMMYFUNCTION("""COMPUTED_VALUE"""),1.0)</f>
        <v>1</v>
      </c>
      <c r="C1297" s="1">
        <f>IFERROR(__xludf.DUMMYFUNCTION("""COMPUTED_VALUE"""),1.0)</f>
        <v>1</v>
      </c>
      <c r="D1297" s="1">
        <f>IFERROR(__xludf.DUMMYFUNCTION("""COMPUTED_VALUE"""),1.0)</f>
        <v>1</v>
      </c>
      <c r="E1297" s="1">
        <f>IFERROR(__xludf.DUMMYFUNCTION("""COMPUTED_VALUE"""),0.0)</f>
        <v>0</v>
      </c>
    </row>
    <row r="1298">
      <c r="A1298" s="1" t="str">
        <f>IFERROR(__xludf.DUMMYFUNCTION("""COMPUTED_VALUE"""),"XTSVN1012221")</f>
        <v>XTSVN1012221</v>
      </c>
      <c r="B1298" s="1">
        <f>IFERROR(__xludf.DUMMYFUNCTION("""COMPUTED_VALUE"""),5.0)</f>
        <v>5</v>
      </c>
      <c r="C1298" s="1">
        <f>IFERROR(__xludf.DUMMYFUNCTION("""COMPUTED_VALUE"""),7.0)</f>
        <v>7</v>
      </c>
      <c r="D1298" s="1">
        <f>IFERROR(__xludf.DUMMYFUNCTION("""COMPUTED_VALUE"""),5.0)</f>
        <v>5</v>
      </c>
      <c r="E1298" s="1">
        <f>IFERROR(__xludf.DUMMYFUNCTION("""COMPUTED_VALUE"""),2.0)</f>
        <v>2</v>
      </c>
    </row>
    <row r="1299">
      <c r="A1299" s="1" t="str">
        <f>IFERROR(__xludf.DUMMYFUNCTION("""COMPUTED_VALUE"""),"XTSVN1312215")</f>
        <v>XTSVN1312215</v>
      </c>
      <c r="B1299" s="1">
        <f>IFERROR(__xludf.DUMMYFUNCTION("""COMPUTED_VALUE"""),140.0)</f>
        <v>140</v>
      </c>
      <c r="C1299" s="1">
        <f>IFERROR(__xludf.DUMMYFUNCTION("""COMPUTED_VALUE"""),140.0)</f>
        <v>140</v>
      </c>
      <c r="D1299" s="1">
        <f>IFERROR(__xludf.DUMMYFUNCTION("""COMPUTED_VALUE"""),140.0)</f>
        <v>140</v>
      </c>
      <c r="E1299" s="1">
        <f>IFERROR(__xludf.DUMMYFUNCTION("""COMPUTED_VALUE"""),0.0)</f>
        <v>0</v>
      </c>
    </row>
    <row r="1300">
      <c r="A1300" s="1" t="str">
        <f>IFERROR(__xludf.DUMMYFUNCTION("""COMPUTED_VALUE"""),"XTSVN1314015")</f>
        <v>XTSVN1314015</v>
      </c>
      <c r="B1300" s="1">
        <f>IFERROR(__xludf.DUMMYFUNCTION("""COMPUTED_VALUE"""),33.0)</f>
        <v>33</v>
      </c>
      <c r="C1300" s="1">
        <f>IFERROR(__xludf.DUMMYFUNCTION("""COMPUTED_VALUE"""),33.0)</f>
        <v>33</v>
      </c>
      <c r="D1300" s="1">
        <f>IFERROR(__xludf.DUMMYFUNCTION("""COMPUTED_VALUE"""),33.0)</f>
        <v>33</v>
      </c>
      <c r="E1300" s="1">
        <f>IFERROR(__xludf.DUMMYFUNCTION("""COMPUTED_VALUE"""),0.0)</f>
        <v>0</v>
      </c>
    </row>
    <row r="1301">
      <c r="A1301" s="1" t="str">
        <f>IFERROR(__xludf.DUMMYFUNCTION("""COMPUTED_VALUE"""),"XTSVN1612214")</f>
        <v>XTSVN1612214</v>
      </c>
      <c r="B1301" s="1">
        <f>IFERROR(__xludf.DUMMYFUNCTION("""COMPUTED_VALUE"""),62.0)</f>
        <v>62</v>
      </c>
      <c r="C1301" s="1">
        <f>IFERROR(__xludf.DUMMYFUNCTION("""COMPUTED_VALUE"""),62.0)</f>
        <v>62</v>
      </c>
      <c r="D1301" s="1">
        <f>IFERROR(__xludf.DUMMYFUNCTION("""COMPUTED_VALUE"""),62.0)</f>
        <v>62</v>
      </c>
      <c r="E1301" s="1">
        <f>IFERROR(__xludf.DUMMYFUNCTION("""COMPUTED_VALUE"""),0.0)</f>
        <v>0</v>
      </c>
    </row>
    <row r="1302">
      <c r="A1302" s="1" t="str">
        <f>IFERROR(__xludf.DUMMYFUNCTION("""COMPUTED_VALUE"""),"XTSVN1912209")</f>
        <v>XTSVN1912209</v>
      </c>
      <c r="B1302" s="1">
        <f>IFERROR(__xludf.DUMMYFUNCTION("""COMPUTED_VALUE"""),133.0)</f>
        <v>133</v>
      </c>
      <c r="C1302" s="1">
        <f>IFERROR(__xludf.DUMMYFUNCTION("""COMPUTED_VALUE"""),153.0)</f>
        <v>153</v>
      </c>
      <c r="D1302" s="1">
        <f>IFERROR(__xludf.DUMMYFUNCTION("""COMPUTED_VALUE"""),133.0)</f>
        <v>133</v>
      </c>
      <c r="E1302" s="1">
        <f>IFERROR(__xludf.DUMMYFUNCTION("""COMPUTED_VALUE"""),20.0)</f>
        <v>20</v>
      </c>
    </row>
    <row r="1303">
      <c r="A1303" s="1" t="str">
        <f>IFERROR(__xludf.DUMMYFUNCTION("""COMPUTED_VALUE"""),"XTSVN1914010")</f>
        <v>XTSVN1914010</v>
      </c>
      <c r="B1303" s="1">
        <f>IFERROR(__xludf.DUMMYFUNCTION("""COMPUTED_VALUE"""),97.0)</f>
        <v>97</v>
      </c>
      <c r="C1303" s="1">
        <f>IFERROR(__xludf.DUMMYFUNCTION("""COMPUTED_VALUE"""),97.0)</f>
        <v>97</v>
      </c>
      <c r="D1303" s="1">
        <f>IFERROR(__xludf.DUMMYFUNCTION("""COMPUTED_VALUE"""),97.0)</f>
        <v>97</v>
      </c>
      <c r="E1303" s="1">
        <f>IFERROR(__xludf.DUMMYFUNCTION("""COMPUTED_VALUE"""),0.0)</f>
        <v>0</v>
      </c>
    </row>
    <row r="1304">
      <c r="A1304" s="1" t="str">
        <f>IFERROR(__xludf.DUMMYFUNCTION("""COMPUTED_VALUE"""),"XTSVN2512208")</f>
        <v>XTSVN2512208</v>
      </c>
      <c r="B1304" s="1">
        <f>IFERROR(__xludf.DUMMYFUNCTION("""COMPUTED_VALUE"""),275.0)</f>
        <v>275</v>
      </c>
      <c r="C1304" s="1">
        <f>IFERROR(__xludf.DUMMYFUNCTION("""COMPUTED_VALUE"""),290.0)</f>
        <v>290</v>
      </c>
      <c r="D1304" s="1">
        <f>IFERROR(__xludf.DUMMYFUNCTION("""COMPUTED_VALUE"""),275.0)</f>
        <v>275</v>
      </c>
      <c r="E1304" s="1">
        <f>IFERROR(__xludf.DUMMYFUNCTION("""COMPUTED_VALUE"""),15.0)</f>
        <v>15</v>
      </c>
    </row>
    <row r="1305">
      <c r="A1305" s="1" t="str">
        <f>IFERROR(__xludf.DUMMYFUNCTION("""COMPUTED_VALUE"""),"XTSVN2514010")</f>
        <v>XTSVN2514010</v>
      </c>
      <c r="B1305" s="1">
        <f>IFERROR(__xludf.DUMMYFUNCTION("""COMPUTED_VALUE"""),12.0)</f>
        <v>12</v>
      </c>
      <c r="C1305" s="1">
        <f>IFERROR(__xludf.DUMMYFUNCTION("""COMPUTED_VALUE"""),12.0)</f>
        <v>12</v>
      </c>
      <c r="D1305" s="1">
        <f>IFERROR(__xludf.DUMMYFUNCTION("""COMPUTED_VALUE"""),12.0)</f>
        <v>12</v>
      </c>
      <c r="E1305" s="1">
        <f>IFERROR(__xludf.DUMMYFUNCTION("""COMPUTED_VALUE"""),0.0)</f>
        <v>0</v>
      </c>
    </row>
    <row r="1306">
      <c r="A1306" s="1" t="str">
        <f>IFERROR(__xludf.DUMMYFUNCTION("""COMPUTED_VALUE"""),"XTSVN3212206")</f>
        <v>XTSVN3212206</v>
      </c>
      <c r="B1306" s="1">
        <f>IFERROR(__xludf.DUMMYFUNCTION("""COMPUTED_VALUE"""),102.0)</f>
        <v>102</v>
      </c>
      <c r="C1306" s="1">
        <f>IFERROR(__xludf.DUMMYFUNCTION("""COMPUTED_VALUE"""),102.0)</f>
        <v>102</v>
      </c>
      <c r="D1306" s="1">
        <f>IFERROR(__xludf.DUMMYFUNCTION("""COMPUTED_VALUE"""),102.0)</f>
        <v>102</v>
      </c>
      <c r="E1306" s="1">
        <f>IFERROR(__xludf.DUMMYFUNCTION("""COMPUTED_VALUE"""),0.0)</f>
        <v>0</v>
      </c>
    </row>
    <row r="1307">
      <c r="A1307" s="1" t="str">
        <f>IFERROR(__xludf.DUMMYFUNCTION("""COMPUTED_VALUE"""),"XTSVN3812205")</f>
        <v>XTSVN3812205</v>
      </c>
      <c r="B1307" s="1">
        <f>IFERROR(__xludf.DUMMYFUNCTION("""COMPUTED_VALUE"""),31.0)</f>
        <v>31</v>
      </c>
      <c r="C1307" s="1">
        <f>IFERROR(__xludf.DUMMYFUNCTION("""COMPUTED_VALUE"""),40.0)</f>
        <v>40</v>
      </c>
      <c r="D1307" s="1">
        <f>IFERROR(__xludf.DUMMYFUNCTION("""COMPUTED_VALUE"""),31.0)</f>
        <v>31</v>
      </c>
      <c r="E1307" s="1">
        <f>IFERROR(__xludf.DUMMYFUNCTION("""COMPUTED_VALUE"""),9.0)</f>
        <v>9</v>
      </c>
    </row>
    <row r="1308">
      <c r="A1308" s="1" t="str">
        <f>IFERROR(__xludf.DUMMYFUNCTION("""COMPUTED_VALUE"""),"XTSVN5112204")</f>
        <v>XTSVN5112204</v>
      </c>
      <c r="B1308" s="1">
        <f>IFERROR(__xludf.DUMMYFUNCTION("""COMPUTED_VALUE"""),10.0)</f>
        <v>10</v>
      </c>
      <c r="C1308" s="1">
        <f>IFERROR(__xludf.DUMMYFUNCTION("""COMPUTED_VALUE"""),10.0)</f>
        <v>10</v>
      </c>
      <c r="D1308" s="1">
        <f>IFERROR(__xludf.DUMMYFUNCTION("""COMPUTED_VALUE"""),10.0)</f>
        <v>10</v>
      </c>
      <c r="E1308" s="1">
        <f>IFERROR(__xludf.DUMMYFUNCTION("""COMPUTED_VALUE"""),0.0)</f>
        <v>0</v>
      </c>
    </row>
    <row r="1309">
      <c r="A1309" s="1" t="str">
        <f>IFERROR(__xludf.DUMMYFUNCTION("""COMPUTED_VALUE"""),"XTSVN51122914")</f>
        <v>XTSVN51122914</v>
      </c>
      <c r="B1309" s="1">
        <f>IFERROR(__xludf.DUMMYFUNCTION("""COMPUTED_VALUE"""),1.0)</f>
        <v>1</v>
      </c>
      <c r="C1309" s="1">
        <f>IFERROR(__xludf.DUMMYFUNCTION("""COMPUTED_VALUE"""),1.0)</f>
        <v>1</v>
      </c>
      <c r="D1309" s="1">
        <f>IFERROR(__xludf.DUMMYFUNCTION("""COMPUTED_VALUE"""),1.0)</f>
        <v>1</v>
      </c>
      <c r="E1309" s="1">
        <f>IFERROR(__xludf.DUMMYFUNCTION("""COMPUTED_VALUE"""),0.0)</f>
        <v>0</v>
      </c>
    </row>
    <row r="1310">
      <c r="A1310" s="1" t="str">
        <f>IFERROR(__xludf.DUMMYFUNCTION("""COMPUTED_VALUE"""),"AL6PET1545")</f>
        <v>AL6PET1545</v>
      </c>
      <c r="B1310" s="1">
        <f>IFERROR(__xludf.DUMMYFUNCTION("""COMPUTED_VALUE"""),0.0)</f>
        <v>0</v>
      </c>
      <c r="C1310" s="1">
        <f>IFERROR(__xludf.DUMMYFUNCTION("""COMPUTED_VALUE"""),1523.25)</f>
        <v>1523.25</v>
      </c>
      <c r="D1310" s="1">
        <f>IFERROR(__xludf.DUMMYFUNCTION("""COMPUTED_VALUE"""),1523.25)</f>
        <v>1523.25</v>
      </c>
      <c r="E1310" s="1">
        <f>IFERROR(__xludf.DUMMYFUNCTION("""COMPUTED_VALUE"""),0.0)</f>
        <v>0</v>
      </c>
    </row>
    <row r="1311">
      <c r="A1311" s="1" t="str">
        <f>IFERROR(__xludf.DUMMYFUNCTION("""COMPUTED_VALUE"""),"BPL9OZOG060x28")</f>
        <v>BPL9OZOG060x28</v>
      </c>
      <c r="B1311" s="1">
        <f>IFERROR(__xludf.DUMMYFUNCTION("""COMPUTED_VALUE"""),0.0)</f>
        <v>0</v>
      </c>
      <c r="C1311" s="1">
        <f>IFERROR(__xludf.DUMMYFUNCTION("""COMPUTED_VALUE"""),0.0)</f>
        <v>0</v>
      </c>
      <c r="D1311" s="1">
        <f>IFERROR(__xludf.DUMMYFUNCTION("""COMPUTED_VALUE"""),0.0)</f>
        <v>0</v>
      </c>
      <c r="E1311" s="1">
        <f>IFERROR(__xludf.DUMMYFUNCTION("""COMPUTED_VALUE"""),0.0)</f>
        <v>0</v>
      </c>
    </row>
    <row r="1312">
      <c r="A1312" s="1" t="str">
        <f>IFERROR(__xludf.DUMMYFUNCTION("""COMPUTED_VALUE"""),"BPL9OZOG078x28")</f>
        <v>BPL9OZOG078x28</v>
      </c>
      <c r="B1312" s="1">
        <f>IFERROR(__xludf.DUMMYFUNCTION("""COMPUTED_VALUE"""),0.0)</f>
        <v>0</v>
      </c>
      <c r="C1312" s="1">
        <f>IFERROR(__xludf.DUMMYFUNCTION("""COMPUTED_VALUE"""),0.0)</f>
        <v>0</v>
      </c>
      <c r="D1312" s="1">
        <f>IFERROR(__xludf.DUMMYFUNCTION("""COMPUTED_VALUE"""),0.0)</f>
        <v>0</v>
      </c>
      <c r="E1312" s="1">
        <f>IFERROR(__xludf.DUMMYFUNCTION("""COMPUTED_VALUE"""),0.0)</f>
        <v>0</v>
      </c>
    </row>
    <row r="1313">
      <c r="A1313" s="1" t="str">
        <f>IFERROR(__xludf.DUMMYFUNCTION("""COMPUTED_VALUE"""),"DMTL-1294")</f>
        <v>DMTL-1294</v>
      </c>
      <c r="B1313" s="1">
        <f>IFERROR(__xludf.DUMMYFUNCTION("""COMPUTED_VALUE"""),0.0)</f>
        <v>0</v>
      </c>
      <c r="C1313" s="1">
        <f>IFERROR(__xludf.DUMMYFUNCTION("""COMPUTED_VALUE"""),91.49)</f>
        <v>91.49</v>
      </c>
      <c r="D1313" s="1">
        <f>IFERROR(__xludf.DUMMYFUNCTION("""COMPUTED_VALUE"""),91.49)</f>
        <v>91.49</v>
      </c>
      <c r="E1313" s="1">
        <f>IFERROR(__xludf.DUMMYFUNCTION("""COMPUTED_VALUE"""),0.0)</f>
        <v>0</v>
      </c>
    </row>
    <row r="1314">
      <c r="A1314" s="1" t="str">
        <f>IFERROR(__xludf.DUMMYFUNCTION("""COMPUTED_VALUE"""),"GB12x500")</f>
        <v>GB12x500</v>
      </c>
      <c r="B1314" s="1">
        <f>IFERROR(__xludf.DUMMYFUNCTION("""COMPUTED_VALUE"""),0.0)</f>
        <v>0</v>
      </c>
      <c r="C1314" s="1">
        <f>IFERROR(__xludf.DUMMYFUNCTION("""COMPUTED_VALUE"""),16739.2)</f>
        <v>16739.2</v>
      </c>
      <c r="D1314" s="1">
        <f>IFERROR(__xludf.DUMMYFUNCTION("""COMPUTED_VALUE"""),16739.2)</f>
        <v>16739.2</v>
      </c>
      <c r="E1314" s="1">
        <f>IFERROR(__xludf.DUMMYFUNCTION("""COMPUTED_VALUE"""),0.0)</f>
        <v>0</v>
      </c>
    </row>
    <row r="1315">
      <c r="A1315" s="1" t="str">
        <f>IFERROR(__xludf.DUMMYFUNCTION("""COMPUTED_VALUE"""),"HKTKCSGB1500")</f>
        <v>HKTKCSGB1500</v>
      </c>
      <c r="B1315" s="1">
        <f>IFERROR(__xludf.DUMMYFUNCTION("""COMPUTED_VALUE"""),0.0)</f>
        <v>0</v>
      </c>
      <c r="C1315" s="1">
        <f>IFERROR(__xludf.DUMMYFUNCTION("""COMPUTED_VALUE"""),1.0)</f>
        <v>1</v>
      </c>
      <c r="D1315" s="1">
        <f>IFERROR(__xludf.DUMMYFUNCTION("""COMPUTED_VALUE"""),1.0)</f>
        <v>1</v>
      </c>
      <c r="E1315" s="1">
        <f>IFERROR(__xludf.DUMMYFUNCTION("""COMPUTED_VALUE"""),0.0)</f>
        <v>0</v>
      </c>
    </row>
    <row r="1316">
      <c r="A1316" s="1" t="str">
        <f>IFERROR(__xludf.DUMMYFUNCTION("""COMPUTED_VALUE"""),"HKTNL36")</f>
        <v>HKTNL36</v>
      </c>
      <c r="B1316" s="1">
        <f>IFERROR(__xludf.DUMMYFUNCTION("""COMPUTED_VALUE"""),0.0)</f>
        <v>0</v>
      </c>
      <c r="C1316" s="1">
        <f>IFERROR(__xludf.DUMMYFUNCTION("""COMPUTED_VALUE"""),95.80000000000001)</f>
        <v>95.8</v>
      </c>
      <c r="D1316" s="1">
        <f>IFERROR(__xludf.DUMMYFUNCTION("""COMPUTED_VALUE"""),95.80000000000001)</f>
        <v>95.8</v>
      </c>
      <c r="E1316" s="1">
        <f>IFERROR(__xludf.DUMMYFUNCTION("""COMPUTED_VALUE"""),0.0)</f>
        <v>0</v>
      </c>
    </row>
    <row r="1317">
      <c r="A1317" s="1" t="str">
        <f>IFERROR(__xludf.DUMMYFUNCTION("""COMPUTED_VALUE"""),"HKTNL45")</f>
        <v>HKTNL45</v>
      </c>
      <c r="B1317" s="1">
        <f>IFERROR(__xludf.DUMMYFUNCTION("""COMPUTED_VALUE"""),0.0)</f>
        <v>0</v>
      </c>
      <c r="C1317" s="1">
        <f>IFERROR(__xludf.DUMMYFUNCTION("""COMPUTED_VALUE"""),165.25)</f>
        <v>165.25</v>
      </c>
      <c r="D1317" s="1">
        <f>IFERROR(__xludf.DUMMYFUNCTION("""COMPUTED_VALUE"""),165.25)</f>
        <v>165.25</v>
      </c>
      <c r="E1317" s="1">
        <f>IFERROR(__xludf.DUMMYFUNCTION("""COMPUTED_VALUE"""),0.0)</f>
        <v>0</v>
      </c>
    </row>
    <row r="1318">
      <c r="A1318" s="1" t="str">
        <f>IFERROR(__xludf.DUMMYFUNCTION("""COMPUTED_VALUE"""),"HKTNL52")</f>
        <v>HKTNL52</v>
      </c>
      <c r="B1318" s="1">
        <f>IFERROR(__xludf.DUMMYFUNCTION("""COMPUTED_VALUE"""),0.0)</f>
        <v>0</v>
      </c>
      <c r="C1318" s="1">
        <f>IFERROR(__xludf.DUMMYFUNCTION("""COMPUTED_VALUE"""),59.9)</f>
        <v>59.9</v>
      </c>
      <c r="D1318" s="1">
        <f>IFERROR(__xludf.DUMMYFUNCTION("""COMPUTED_VALUE"""),59.9)</f>
        <v>59.9</v>
      </c>
      <c r="E1318" s="1">
        <f>IFERROR(__xludf.DUMMYFUNCTION("""COMPUTED_VALUE"""),0.0)</f>
        <v>0</v>
      </c>
    </row>
    <row r="1319">
      <c r="A1319" s="1" t="str">
        <f>IFERROR(__xludf.DUMMYFUNCTION("""COMPUTED_VALUE"""),"HKTNL58")</f>
        <v>HKTNL58</v>
      </c>
      <c r="B1319" s="1">
        <f>IFERROR(__xludf.DUMMYFUNCTION("""COMPUTED_VALUE"""),0.0)</f>
        <v>0</v>
      </c>
      <c r="C1319" s="1">
        <f>IFERROR(__xludf.DUMMYFUNCTION("""COMPUTED_VALUE"""),85.9)</f>
        <v>85.9</v>
      </c>
      <c r="D1319" s="1">
        <f>IFERROR(__xludf.DUMMYFUNCTION("""COMPUTED_VALUE"""),85.9)</f>
        <v>85.9</v>
      </c>
      <c r="E1319" s="1">
        <f>IFERROR(__xludf.DUMMYFUNCTION("""COMPUTED_VALUE"""),0.0)</f>
        <v>0</v>
      </c>
    </row>
    <row r="1320">
      <c r="A1320" s="1" t="str">
        <f>IFERROR(__xludf.DUMMYFUNCTION("""COMPUTED_VALUE"""),"HKTNL67")</f>
        <v>HKTNL67</v>
      </c>
      <c r="B1320" s="1">
        <f>IFERROR(__xludf.DUMMYFUNCTION("""COMPUTED_VALUE"""),0.0)</f>
        <v>0</v>
      </c>
      <c r="C1320" s="1">
        <f>IFERROR(__xludf.DUMMYFUNCTION("""COMPUTED_VALUE"""),92.48)</f>
        <v>92.48</v>
      </c>
      <c r="D1320" s="1">
        <f>IFERROR(__xludf.DUMMYFUNCTION("""COMPUTED_VALUE"""),92.48)</f>
        <v>92.48</v>
      </c>
      <c r="E1320" s="1">
        <f>IFERROR(__xludf.DUMMYFUNCTION("""COMPUTED_VALUE"""),0.0)</f>
        <v>0</v>
      </c>
    </row>
    <row r="1321">
      <c r="A1321" s="1" t="str">
        <f>IFERROR(__xludf.DUMMYFUNCTION("""COMPUTED_VALUE"""),"HKTNL83")</f>
        <v>HKTNL83</v>
      </c>
      <c r="B1321" s="1">
        <f>IFERROR(__xludf.DUMMYFUNCTION("""COMPUTED_VALUE"""),0.0)</f>
        <v>0</v>
      </c>
      <c r="C1321" s="1">
        <f>IFERROR(__xludf.DUMMYFUNCTION("""COMPUTED_VALUE"""),16.0)</f>
        <v>16</v>
      </c>
      <c r="D1321" s="1">
        <f>IFERROR(__xludf.DUMMYFUNCTION("""COMPUTED_VALUE"""),16.0)</f>
        <v>16</v>
      </c>
      <c r="E1321" s="1">
        <f>IFERROR(__xludf.DUMMYFUNCTION("""COMPUTED_VALUE"""),0.0)</f>
        <v>0</v>
      </c>
    </row>
    <row r="1322">
      <c r="A1322" s="1" t="str">
        <f>IFERROR(__xludf.DUMMYFUNCTION("""COMPUTED_VALUE"""),"JACKET072500")</f>
        <v>JACKET072500</v>
      </c>
      <c r="B1322" s="1">
        <f>IFERROR(__xludf.DUMMYFUNCTION("""COMPUTED_VALUE"""),0.0)</f>
        <v>0</v>
      </c>
      <c r="C1322" s="1">
        <f>IFERROR(__xludf.DUMMYFUNCTION("""COMPUTED_VALUE"""),94.03)</f>
        <v>94.03</v>
      </c>
      <c r="D1322" s="1">
        <f>IFERROR(__xludf.DUMMYFUNCTION("""COMPUTED_VALUE"""),94.03)</f>
        <v>94.03</v>
      </c>
      <c r="E1322" s="1">
        <f>IFERROR(__xludf.DUMMYFUNCTION("""COMPUTED_VALUE"""),0.0)</f>
        <v>0</v>
      </c>
    </row>
    <row r="1323">
      <c r="A1323" s="1" t="str">
        <f>IFERROR(__xludf.DUMMYFUNCTION("""COMPUTED_VALUE"""),"JACKET084500")</f>
        <v>JACKET084500</v>
      </c>
      <c r="B1323" s="1">
        <f>IFERROR(__xludf.DUMMYFUNCTION("""COMPUTED_VALUE"""),0.0)</f>
        <v>0</v>
      </c>
      <c r="C1323" s="1">
        <f>IFERROR(__xludf.DUMMYFUNCTION("""COMPUTED_VALUE"""),242.95)</f>
        <v>242.95</v>
      </c>
      <c r="D1323" s="1">
        <f>IFERROR(__xludf.DUMMYFUNCTION("""COMPUTED_VALUE"""),242.95)</f>
        <v>242.95</v>
      </c>
      <c r="E1323" s="1">
        <f>IFERROR(__xludf.DUMMYFUNCTION("""COMPUTED_VALUE"""),0.0)</f>
        <v>0</v>
      </c>
    </row>
    <row r="1324">
      <c r="A1324" s="1" t="str">
        <f>IFERROR(__xludf.DUMMYFUNCTION("""COMPUTED_VALUE"""),"JACKET12500")</f>
        <v>JACKET12500</v>
      </c>
      <c r="B1324" s="1">
        <f>IFERROR(__xludf.DUMMYFUNCTION("""COMPUTED_VALUE"""),0.0)</f>
        <v>0</v>
      </c>
      <c r="C1324" s="1">
        <f>IFERROR(__xludf.DUMMYFUNCTION("""COMPUTED_VALUE"""),43.95)</f>
        <v>43.95</v>
      </c>
      <c r="D1324" s="1">
        <f>IFERROR(__xludf.DUMMYFUNCTION("""COMPUTED_VALUE"""),43.95)</f>
        <v>43.95</v>
      </c>
      <c r="E1324" s="1">
        <f>IFERROR(__xludf.DUMMYFUNCTION("""COMPUTED_VALUE"""),0.0)</f>
        <v>0</v>
      </c>
    </row>
    <row r="1325">
      <c r="A1325" s="1" t="str">
        <f>IFERROR(__xludf.DUMMYFUNCTION("""COMPUTED_VALUE"""),"JACKET13500")</f>
        <v>JACKET13500</v>
      </c>
      <c r="B1325" s="1">
        <f>IFERROR(__xludf.DUMMYFUNCTION("""COMPUTED_VALUE"""),0.0)</f>
        <v>0</v>
      </c>
      <c r="C1325" s="1">
        <f>IFERROR(__xludf.DUMMYFUNCTION("""COMPUTED_VALUE"""),9.0)</f>
        <v>9</v>
      </c>
      <c r="D1325" s="1">
        <f>IFERROR(__xludf.DUMMYFUNCTION("""COMPUTED_VALUE"""),9.0)</f>
        <v>9</v>
      </c>
      <c r="E1325" s="1">
        <f>IFERROR(__xludf.DUMMYFUNCTION("""COMPUTED_VALUE"""),0.0)</f>
        <v>0</v>
      </c>
    </row>
    <row r="1326">
      <c r="A1326" s="1" t="str">
        <f>IFERROR(__xludf.DUMMYFUNCTION("""COMPUTED_VALUE"""),"JACKET1500")</f>
        <v>JACKET1500</v>
      </c>
      <c r="B1326" s="1">
        <f>IFERROR(__xludf.DUMMYFUNCTION("""COMPUTED_VALUE"""),0.0)</f>
        <v>0</v>
      </c>
      <c r="C1326" s="1">
        <f>IFERROR(__xludf.DUMMYFUNCTION("""COMPUTED_VALUE"""),43.58)</f>
        <v>43.58</v>
      </c>
      <c r="D1326" s="1">
        <f>IFERROR(__xludf.DUMMYFUNCTION("""COMPUTED_VALUE"""),43.58)</f>
        <v>43.58</v>
      </c>
      <c r="E1326" s="1">
        <f>IFERROR(__xludf.DUMMYFUNCTION("""COMPUTED_VALUE"""),0.0)</f>
        <v>0</v>
      </c>
    </row>
    <row r="1327">
      <c r="A1327" s="1" t="str">
        <f>IFERROR(__xludf.DUMMYFUNCTION("""COMPUTED_VALUE"""),"KEO1395")</f>
        <v>KEO1395</v>
      </c>
      <c r="B1327" s="1">
        <f>IFERROR(__xludf.DUMMYFUNCTION("""COMPUTED_VALUE"""),0.0)</f>
        <v>0</v>
      </c>
      <c r="C1327" s="1">
        <f>IFERROR(__xludf.DUMMYFUNCTION("""COMPUTED_VALUE"""),169.16)</f>
        <v>169.16</v>
      </c>
      <c r="D1327" s="1">
        <f>IFERROR(__xludf.DUMMYFUNCTION("""COMPUTED_VALUE"""),169.16)</f>
        <v>169.16</v>
      </c>
      <c r="E1327" s="1">
        <f>IFERROR(__xludf.DUMMYFUNCTION("""COMPUTED_VALUE"""),0.0)</f>
        <v>0</v>
      </c>
    </row>
    <row r="1328">
      <c r="A1328" s="1" t="str">
        <f>IFERROR(__xludf.DUMMYFUNCTION("""COMPUTED_VALUE"""),"MNKPEGASUS0.36")</f>
        <v>MNKPEGASUS0.36</v>
      </c>
      <c r="B1328" s="1">
        <f>IFERROR(__xludf.DUMMYFUNCTION("""COMPUTED_VALUE"""),0.0)</f>
        <v>0</v>
      </c>
      <c r="C1328" s="1">
        <f>IFERROR(__xludf.DUMMYFUNCTION("""COMPUTED_VALUE"""),1.0)</f>
        <v>1</v>
      </c>
      <c r="D1328" s="1">
        <f>IFERROR(__xludf.DUMMYFUNCTION("""COMPUTED_VALUE"""),1.0)</f>
        <v>1</v>
      </c>
      <c r="E1328" s="1">
        <f>IFERROR(__xludf.DUMMYFUNCTION("""COMPUTED_VALUE"""),0.0)</f>
        <v>0</v>
      </c>
    </row>
    <row r="1329">
      <c r="A1329" s="1" t="str">
        <f>IFERROR(__xludf.DUMMYFUNCTION("""COMPUTED_VALUE"""),"SXDAYTHEP009")</f>
        <v>SXDAYTHEP009</v>
      </c>
      <c r="B1329" s="1">
        <f>IFERROR(__xludf.DUMMYFUNCTION("""COMPUTED_VALUE"""),0.0)</f>
        <v>0</v>
      </c>
      <c r="C1329" s="1">
        <f>IFERROR(__xludf.DUMMYFUNCTION("""COMPUTED_VALUE"""),6220.0)</f>
        <v>6220</v>
      </c>
      <c r="D1329" s="1">
        <f>IFERROR(__xludf.DUMMYFUNCTION("""COMPUTED_VALUE"""),6220.0)</f>
        <v>6220</v>
      </c>
      <c r="E1329" s="1">
        <f>IFERROR(__xludf.DUMMYFUNCTION("""COMPUTED_VALUE"""),0.0)</f>
        <v>0</v>
      </c>
    </row>
    <row r="1330">
      <c r="A1330" s="1" t="str">
        <f>IFERROR(__xludf.DUMMYFUNCTION("""COMPUTED_VALUE"""),"SXDAYTHEP010")</f>
        <v>SXDAYTHEP010</v>
      </c>
      <c r="B1330" s="1">
        <f>IFERROR(__xludf.DUMMYFUNCTION("""COMPUTED_VALUE"""),0.0)</f>
        <v>0</v>
      </c>
      <c r="C1330" s="1">
        <f>IFERROR(__xludf.DUMMYFUNCTION("""COMPUTED_VALUE"""),153.65)</f>
        <v>153.65</v>
      </c>
      <c r="D1330" s="1">
        <f>IFERROR(__xludf.DUMMYFUNCTION("""COMPUTED_VALUE"""),153.65)</f>
        <v>153.65</v>
      </c>
      <c r="E1330" s="1">
        <f>IFERROR(__xludf.DUMMYFUNCTION("""COMPUTED_VALUE"""),0.0)</f>
        <v>0</v>
      </c>
    </row>
    <row r="1331">
      <c r="A1331" s="1" t="str">
        <f>IFERROR(__xludf.DUMMYFUNCTION("""COMPUTED_VALUE"""),"SXDAYTHEP010DB")</f>
        <v>SXDAYTHEP010DB</v>
      </c>
      <c r="B1331" s="1">
        <f>IFERROR(__xludf.DUMMYFUNCTION("""COMPUTED_VALUE"""),0.0)</f>
        <v>0</v>
      </c>
      <c r="C1331" s="1">
        <f>IFERROR(__xludf.DUMMYFUNCTION("""COMPUTED_VALUE"""),3.0)</f>
        <v>3</v>
      </c>
      <c r="D1331" s="1">
        <f>IFERROR(__xludf.DUMMYFUNCTION("""COMPUTED_VALUE"""),3.0)</f>
        <v>3</v>
      </c>
      <c r="E1331" s="1">
        <f>IFERROR(__xludf.DUMMYFUNCTION("""COMPUTED_VALUE"""),0.0)</f>
        <v>0</v>
      </c>
    </row>
    <row r="1332">
      <c r="A1332" s="1" t="str">
        <f>IFERROR(__xludf.DUMMYFUNCTION("""COMPUTED_VALUE"""),"SXDAYTHEP011")</f>
        <v>SXDAYTHEP011</v>
      </c>
      <c r="B1332" s="1">
        <f>IFERROR(__xludf.DUMMYFUNCTION("""COMPUTED_VALUE"""),0.0)</f>
        <v>0</v>
      </c>
      <c r="C1332" s="1">
        <f>IFERROR(__xludf.DUMMYFUNCTION("""COMPUTED_VALUE"""),1934.85)</f>
        <v>1934.85</v>
      </c>
      <c r="D1332" s="1">
        <f>IFERROR(__xludf.DUMMYFUNCTION("""COMPUTED_VALUE"""),1934.85)</f>
        <v>1934.85</v>
      </c>
      <c r="E1332" s="1">
        <f>IFERROR(__xludf.DUMMYFUNCTION("""COMPUTED_VALUE"""),0.0)</f>
        <v>0</v>
      </c>
    </row>
    <row r="1333">
      <c r="A1333" s="1" t="str">
        <f>IFERROR(__xludf.DUMMYFUNCTION("""COMPUTED_VALUE"""),"SXDAYTHEP011DB")</f>
        <v>SXDAYTHEP011DB</v>
      </c>
      <c r="B1333" s="1">
        <f>IFERROR(__xludf.DUMMYFUNCTION("""COMPUTED_VALUE"""),0.0)</f>
        <v>0</v>
      </c>
      <c r="C1333" s="1">
        <f>IFERROR(__xludf.DUMMYFUNCTION("""COMPUTED_VALUE"""),2.5)</f>
        <v>2.5</v>
      </c>
      <c r="D1333" s="1">
        <f>IFERROR(__xludf.DUMMYFUNCTION("""COMPUTED_VALUE"""),2.5)</f>
        <v>2.5</v>
      </c>
      <c r="E1333" s="1">
        <f>IFERROR(__xludf.DUMMYFUNCTION("""COMPUTED_VALUE"""),0.0)</f>
        <v>0</v>
      </c>
    </row>
    <row r="1334">
      <c r="A1334" s="1" t="str">
        <f>IFERROR(__xludf.DUMMYFUNCTION("""COMPUTED_VALUE"""),"SXDAYTHEP08")</f>
        <v>SXDAYTHEP08</v>
      </c>
      <c r="B1334" s="1">
        <f>IFERROR(__xludf.DUMMYFUNCTION("""COMPUTED_VALUE"""),0.0)</f>
        <v>0</v>
      </c>
      <c r="C1334" s="1">
        <f>IFERROR(__xludf.DUMMYFUNCTION("""COMPUTED_VALUE"""),1735.0)</f>
        <v>1735</v>
      </c>
      <c r="D1334" s="1">
        <f>IFERROR(__xludf.DUMMYFUNCTION("""COMPUTED_VALUE"""),1735.0)</f>
        <v>1735</v>
      </c>
      <c r="E1334" s="1">
        <f>IFERROR(__xludf.DUMMYFUNCTION("""COMPUTED_VALUE"""),0.0)</f>
        <v>0</v>
      </c>
    </row>
    <row r="1335">
      <c r="A1335" s="1" t="str">
        <f>IFERROR(__xludf.DUMMYFUNCTION("""COMPUTED_VALUE"""),"ACSV")</f>
        <v>ACSV</v>
      </c>
      <c r="B1335" s="1">
        <f>IFERROR(__xludf.DUMMYFUNCTION("""COMPUTED_VALUE"""),0.0)</f>
        <v>0</v>
      </c>
      <c r="C1335" s="1">
        <f>IFERROR(__xludf.DUMMYFUNCTION("""COMPUTED_VALUE"""),7.0)</f>
        <v>7</v>
      </c>
      <c r="D1335" s="1">
        <f>IFERROR(__xludf.DUMMYFUNCTION("""COMPUTED_VALUE"""),4.0)</f>
        <v>4</v>
      </c>
      <c r="E1335" s="1">
        <f>IFERROR(__xludf.DUMMYFUNCTION("""COMPUTED_VALUE"""),3.0)</f>
        <v>3</v>
      </c>
    </row>
    <row r="1336">
      <c r="A1336" s="1" t="str">
        <f>IFERROR(__xludf.DUMMYFUNCTION("""COMPUTED_VALUE"""),"ACSVVIP")</f>
        <v>ACSVVIP</v>
      </c>
      <c r="B1336" s="1">
        <f>IFERROR(__xludf.DUMMYFUNCTION("""COMPUTED_VALUE"""),0.0)</f>
        <v>0</v>
      </c>
      <c r="C1336" s="1">
        <f>IFERROR(__xludf.DUMMYFUNCTION("""COMPUTED_VALUE"""),3.0)</f>
        <v>3</v>
      </c>
      <c r="D1336" s="1">
        <f>IFERROR(__xludf.DUMMYFUNCTION("""COMPUTED_VALUE"""),0.0)</f>
        <v>0</v>
      </c>
      <c r="E1336" s="1">
        <f>IFERROR(__xludf.DUMMYFUNCTION("""COMPUTED_VALUE"""),3.0)</f>
        <v>3</v>
      </c>
    </row>
    <row r="1337">
      <c r="A1337" s="1" t="str">
        <f>IFERROR(__xludf.DUMMYFUNCTION("""COMPUTED_VALUE"""),"ACTDL")</f>
        <v>ACTDL</v>
      </c>
      <c r="B1337" s="1">
        <f>IFERROR(__xludf.DUMMYFUNCTION("""COMPUTED_VALUE"""),0.0)</f>
        <v>0</v>
      </c>
      <c r="C1337" s="1">
        <f>IFERROR(__xludf.DUMMYFUNCTION("""COMPUTED_VALUE"""),98.0)</f>
        <v>98</v>
      </c>
      <c r="D1337" s="1">
        <f>IFERROR(__xludf.DUMMYFUNCTION("""COMPUTED_VALUE"""),95.0)</f>
        <v>95</v>
      </c>
      <c r="E1337" s="1">
        <f>IFERROR(__xludf.DUMMYFUNCTION("""COMPUTED_VALUE"""),3.0)</f>
        <v>3</v>
      </c>
    </row>
    <row r="1338">
      <c r="A1338" s="1" t="str">
        <f>IFERROR(__xludf.DUMMYFUNCTION("""COMPUTED_VALUE"""),"ACTV")</f>
        <v>ACTV</v>
      </c>
      <c r="B1338" s="1">
        <f>IFERROR(__xludf.DUMMYFUNCTION("""COMPUTED_VALUE"""),0.0)</f>
        <v>0</v>
      </c>
      <c r="C1338" s="1">
        <f>IFERROR(__xludf.DUMMYFUNCTION("""COMPUTED_VALUE"""),7.0)</f>
        <v>7</v>
      </c>
      <c r="D1338" s="1">
        <f>IFERROR(__xludf.DUMMYFUNCTION("""COMPUTED_VALUE"""),6.0)</f>
        <v>6</v>
      </c>
      <c r="E1338" s="1">
        <f>IFERROR(__xludf.DUMMYFUNCTION("""COMPUTED_VALUE"""),1.0)</f>
        <v>1</v>
      </c>
    </row>
    <row r="1339">
      <c r="A1339" s="1" t="str">
        <f>IFERROR(__xludf.DUMMYFUNCTION("""COMPUTED_VALUE"""),"BCTRANGSGM")</f>
        <v>BCTRANGSGM</v>
      </c>
      <c r="B1339" s="1">
        <f>IFERROR(__xludf.DUMMYFUNCTION("""COMPUTED_VALUE"""),0.0)</f>
        <v>0</v>
      </c>
      <c r="C1339" s="1">
        <f>IFERROR(__xludf.DUMMYFUNCTION("""COMPUTED_VALUE"""),5194.4)</f>
        <v>5194.4</v>
      </c>
      <c r="D1339" s="1">
        <f>IFERROR(__xludf.DUMMYFUNCTION("""COMPUTED_VALUE"""),0.0)</f>
        <v>0</v>
      </c>
      <c r="E1339" s="1">
        <f>IFERROR(__xludf.DUMMYFUNCTION("""COMPUTED_VALUE"""),5194.4)</f>
        <v>5194.4</v>
      </c>
    </row>
    <row r="1340">
      <c r="A1340" s="1" t="str">
        <f>IFERROR(__xludf.DUMMYFUNCTION("""COMPUTED_VALUE"""),"BKDH60X60CB")</f>
        <v>BKDH60X60CB</v>
      </c>
      <c r="B1340" s="1">
        <f>IFERROR(__xludf.DUMMYFUNCTION("""COMPUTED_VALUE"""),0.0)</f>
        <v>0</v>
      </c>
      <c r="C1340" s="1">
        <f>IFERROR(__xludf.DUMMYFUNCTION("""COMPUTED_VALUE"""),43.0)</f>
        <v>43</v>
      </c>
      <c r="D1340" s="1">
        <f>IFERROR(__xludf.DUMMYFUNCTION("""COMPUTED_VALUE"""),0.0)</f>
        <v>0</v>
      </c>
      <c r="E1340" s="1">
        <f>IFERROR(__xludf.DUMMYFUNCTION("""COMPUTED_VALUE"""),43.0)</f>
        <v>43</v>
      </c>
    </row>
    <row r="1341">
      <c r="A1341" s="1" t="str">
        <f>IFERROR(__xludf.DUMMYFUNCTION("""COMPUTED_VALUE"""),"BKDO16940CB")</f>
        <v>BKDO16940CB</v>
      </c>
      <c r="B1341" s="1">
        <f>IFERROR(__xludf.DUMMYFUNCTION("""COMPUTED_VALUE"""),0.0)</f>
        <v>0</v>
      </c>
      <c r="C1341" s="1">
        <f>IFERROR(__xludf.DUMMYFUNCTION("""COMPUTED_VALUE"""),6.0)</f>
        <v>6</v>
      </c>
      <c r="D1341" s="1">
        <f>IFERROR(__xludf.DUMMYFUNCTION("""COMPUTED_VALUE"""),0.0)</f>
        <v>0</v>
      </c>
      <c r="E1341" s="1">
        <f>IFERROR(__xludf.DUMMYFUNCTION("""COMPUTED_VALUE"""),6.0)</f>
        <v>6</v>
      </c>
    </row>
    <row r="1342">
      <c r="A1342" s="1" t="str">
        <f>IFERROR(__xludf.DUMMYFUNCTION("""COMPUTED_VALUE"""),"BTTO114X50CB")</f>
        <v>BTTO114X50CB</v>
      </c>
      <c r="B1342" s="1">
        <f>IFERROR(__xludf.DUMMYFUNCTION("""COMPUTED_VALUE"""),0.0)</f>
        <v>0</v>
      </c>
      <c r="C1342" s="1">
        <f>IFERROR(__xludf.DUMMYFUNCTION("""COMPUTED_VALUE"""),161.0)</f>
        <v>161</v>
      </c>
      <c r="D1342" s="1">
        <f>IFERROR(__xludf.DUMMYFUNCTION("""COMPUTED_VALUE"""),0.0)</f>
        <v>0</v>
      </c>
      <c r="E1342" s="1">
        <f>IFERROR(__xludf.DUMMYFUNCTION("""COMPUTED_VALUE"""),161.0)</f>
        <v>161</v>
      </c>
    </row>
    <row r="1343">
      <c r="A1343" s="1" t="str">
        <f>IFERROR(__xludf.DUMMYFUNCTION("""COMPUTED_VALUE"""),"BTTO43X60CB")</f>
        <v>BTTO43X60CB</v>
      </c>
      <c r="B1343" s="1">
        <f>IFERROR(__xludf.DUMMYFUNCTION("""COMPUTED_VALUE"""),0.0)</f>
        <v>0</v>
      </c>
      <c r="C1343" s="1">
        <f>IFERROR(__xludf.DUMMYFUNCTION("""COMPUTED_VALUE"""),20.0)</f>
        <v>20</v>
      </c>
      <c r="D1343" s="1">
        <f>IFERROR(__xludf.DUMMYFUNCTION("""COMPUTED_VALUE"""),0.0)</f>
        <v>0</v>
      </c>
      <c r="E1343" s="1">
        <f>IFERROR(__xludf.DUMMYFUNCTION("""COMPUTED_VALUE"""),20.0)</f>
        <v>20</v>
      </c>
    </row>
    <row r="1344">
      <c r="A1344" s="1" t="str">
        <f>IFERROR(__xludf.DUMMYFUNCTION("""COMPUTED_VALUE"""),"BTTO89X50CB")</f>
        <v>BTTO89X50CB</v>
      </c>
      <c r="B1344" s="1">
        <f>IFERROR(__xludf.DUMMYFUNCTION("""COMPUTED_VALUE"""),0.0)</f>
        <v>0</v>
      </c>
      <c r="C1344" s="1">
        <f>IFERROR(__xludf.DUMMYFUNCTION("""COMPUTED_VALUE"""),6.0)</f>
        <v>6</v>
      </c>
      <c r="D1344" s="1">
        <f>IFERROR(__xludf.DUMMYFUNCTION("""COMPUTED_VALUE"""),0.0)</f>
        <v>0</v>
      </c>
      <c r="E1344" s="1">
        <f>IFERROR(__xludf.DUMMYFUNCTION("""COMPUTED_VALUE"""),6.0)</f>
        <v>6</v>
      </c>
    </row>
    <row r="1345">
      <c r="A1345" s="1" t="str">
        <f>IFERROR(__xludf.DUMMYFUNCTION("""COMPUTED_VALUE"""),"DOC0635040")</f>
        <v>DOC0635040</v>
      </c>
      <c r="B1345" s="1">
        <f>IFERROR(__xludf.DUMMYFUNCTION("""COMPUTED_VALUE"""),0.0)</f>
        <v>0</v>
      </c>
      <c r="C1345" s="1">
        <f>IFERROR(__xludf.DUMMYFUNCTION("""COMPUTED_VALUE"""),323.0)</f>
        <v>323</v>
      </c>
      <c r="D1345" s="1">
        <f>IFERROR(__xludf.DUMMYFUNCTION("""COMPUTED_VALUE"""),0.0)</f>
        <v>0</v>
      </c>
      <c r="E1345" s="1">
        <f>IFERROR(__xludf.DUMMYFUNCTION("""COMPUTED_VALUE"""),323.0)</f>
        <v>323</v>
      </c>
    </row>
    <row r="1346">
      <c r="A1346" s="1" t="str">
        <f>IFERROR(__xludf.DUMMYFUNCTION("""COMPUTED_VALUE"""),"DOC0635051")</f>
        <v>DOC0635051</v>
      </c>
      <c r="B1346" s="1">
        <f>IFERROR(__xludf.DUMMYFUNCTION("""COMPUTED_VALUE"""),0.0)</f>
        <v>0</v>
      </c>
      <c r="C1346" s="1">
        <f>IFERROR(__xludf.DUMMYFUNCTION("""COMPUTED_VALUE"""),84.0)</f>
        <v>84</v>
      </c>
      <c r="D1346" s="1">
        <f>IFERROR(__xludf.DUMMYFUNCTION("""COMPUTED_VALUE"""),0.0)</f>
        <v>0</v>
      </c>
      <c r="E1346" s="1">
        <f>IFERROR(__xludf.DUMMYFUNCTION("""COMPUTED_VALUE"""),84.0)</f>
        <v>84</v>
      </c>
    </row>
    <row r="1347">
      <c r="A1347" s="1" t="str">
        <f>IFERROR(__xludf.DUMMYFUNCTION("""COMPUTED_VALUE"""),"DOC0635066")</f>
        <v>DOC0635066</v>
      </c>
      <c r="B1347" s="1">
        <f>IFERROR(__xludf.DUMMYFUNCTION("""COMPUTED_VALUE"""),0.0)</f>
        <v>0</v>
      </c>
      <c r="C1347" s="1">
        <f>IFERROR(__xludf.DUMMYFUNCTION("""COMPUTED_VALUE"""),310.0)</f>
        <v>310</v>
      </c>
      <c r="D1347" s="1">
        <f>IFERROR(__xludf.DUMMYFUNCTION("""COMPUTED_VALUE"""),0.0)</f>
        <v>0</v>
      </c>
      <c r="E1347" s="1">
        <f>IFERROR(__xludf.DUMMYFUNCTION("""COMPUTED_VALUE"""),310.0)</f>
        <v>310</v>
      </c>
    </row>
    <row r="1348">
      <c r="A1348" s="1" t="str">
        <f>IFERROR(__xludf.DUMMYFUNCTION("""COMPUTED_VALUE"""),"DOC0794071")</f>
        <v>DOC0794071</v>
      </c>
      <c r="B1348" s="1">
        <f>IFERROR(__xludf.DUMMYFUNCTION("""COMPUTED_VALUE"""),0.0)</f>
        <v>0</v>
      </c>
      <c r="C1348" s="1">
        <f>IFERROR(__xludf.DUMMYFUNCTION("""COMPUTED_VALUE"""),2.0)</f>
        <v>2</v>
      </c>
      <c r="D1348" s="1">
        <f>IFERROR(__xludf.DUMMYFUNCTION("""COMPUTED_VALUE"""),0.0)</f>
        <v>0</v>
      </c>
      <c r="E1348" s="1">
        <f>IFERROR(__xludf.DUMMYFUNCTION("""COMPUTED_VALUE"""),2.0)</f>
        <v>2</v>
      </c>
    </row>
    <row r="1349">
      <c r="A1349" s="1" t="str">
        <f>IFERROR(__xludf.DUMMYFUNCTION("""COMPUTED_VALUE"""),"DOC0952055")</f>
        <v>DOC0952055</v>
      </c>
      <c r="B1349" s="1">
        <f>IFERROR(__xludf.DUMMYFUNCTION("""COMPUTED_VALUE"""),0.0)</f>
        <v>0</v>
      </c>
      <c r="C1349" s="1">
        <f>IFERROR(__xludf.DUMMYFUNCTION("""COMPUTED_VALUE"""),3.0)</f>
        <v>3</v>
      </c>
      <c r="D1349" s="1">
        <f>IFERROR(__xludf.DUMMYFUNCTION("""COMPUTED_VALUE"""),0.0)</f>
        <v>0</v>
      </c>
      <c r="E1349" s="1">
        <f>IFERROR(__xludf.DUMMYFUNCTION("""COMPUTED_VALUE"""),3.0)</f>
        <v>3</v>
      </c>
    </row>
    <row r="1350">
      <c r="A1350" s="1" t="str">
        <f>IFERROR(__xludf.DUMMYFUNCTION("""COMPUTED_VALUE"""),"DOC1905102")</f>
        <v>DOC1905102</v>
      </c>
      <c r="B1350" s="1">
        <f>IFERROR(__xludf.DUMMYFUNCTION("""COMPUTED_VALUE"""),0.0)</f>
        <v>0</v>
      </c>
      <c r="C1350" s="1">
        <f>IFERROR(__xludf.DUMMYFUNCTION("""COMPUTED_VALUE"""),2.0)</f>
        <v>2</v>
      </c>
      <c r="D1350" s="1">
        <f>IFERROR(__xludf.DUMMYFUNCTION("""COMPUTED_VALUE"""),0.0)</f>
        <v>0</v>
      </c>
      <c r="E1350" s="1">
        <f>IFERROR(__xludf.DUMMYFUNCTION("""COMPUTED_VALUE"""),2.0)</f>
        <v>2</v>
      </c>
    </row>
    <row r="1351">
      <c r="A1351" s="1" t="str">
        <f>IFERROR(__xludf.DUMMYFUNCTION("""COMPUTED_VALUE"""),"DOC1905107")</f>
        <v>DOC1905107</v>
      </c>
      <c r="B1351" s="1">
        <f>IFERROR(__xludf.DUMMYFUNCTION("""COMPUTED_VALUE"""),0.0)</f>
        <v>0</v>
      </c>
      <c r="C1351" s="1">
        <f>IFERROR(__xludf.DUMMYFUNCTION("""COMPUTED_VALUE"""),2.0)</f>
        <v>2</v>
      </c>
      <c r="D1351" s="1">
        <f>IFERROR(__xludf.DUMMYFUNCTION("""COMPUTED_VALUE"""),0.0)</f>
        <v>0</v>
      </c>
      <c r="E1351" s="1">
        <f>IFERROR(__xludf.DUMMYFUNCTION("""COMPUTED_VALUE"""),2.0)</f>
        <v>2</v>
      </c>
    </row>
    <row r="1352">
      <c r="A1352" s="1" t="str">
        <f>IFERROR(__xludf.DUMMYFUNCTION("""COMPUTED_VALUE"""),"DOCHL063505615")</f>
        <v>DOCHL063505615</v>
      </c>
      <c r="B1352" s="1">
        <f>IFERROR(__xludf.DUMMYFUNCTION("""COMPUTED_VALUE"""),0.0)</f>
        <v>0</v>
      </c>
      <c r="C1352" s="1">
        <f>IFERROR(__xludf.DUMMYFUNCTION("""COMPUTED_VALUE"""),2.0)</f>
        <v>2</v>
      </c>
      <c r="D1352" s="1">
        <f>IFERROR(__xludf.DUMMYFUNCTION("""COMPUTED_VALUE"""),0.0)</f>
        <v>0</v>
      </c>
      <c r="E1352" s="1">
        <f>IFERROR(__xludf.DUMMYFUNCTION("""COMPUTED_VALUE"""),2.0)</f>
        <v>2</v>
      </c>
    </row>
    <row r="1353">
      <c r="A1353" s="1" t="str">
        <f>IFERROR(__xludf.DUMMYFUNCTION("""COMPUTED_VALUE"""),"DOCHL063506115")</f>
        <v>DOCHL063506115</v>
      </c>
      <c r="B1353" s="1">
        <f>IFERROR(__xludf.DUMMYFUNCTION("""COMPUTED_VALUE"""),0.0)</f>
        <v>0</v>
      </c>
      <c r="C1353" s="1">
        <f>IFERROR(__xludf.DUMMYFUNCTION("""COMPUTED_VALUE"""),377.0)</f>
        <v>377</v>
      </c>
      <c r="D1353" s="1">
        <f>IFERROR(__xludf.DUMMYFUNCTION("""COMPUTED_VALUE"""),0.0)</f>
        <v>0</v>
      </c>
      <c r="E1353" s="1">
        <f>IFERROR(__xludf.DUMMYFUNCTION("""COMPUTED_VALUE"""),377.0)</f>
        <v>377</v>
      </c>
    </row>
    <row r="1354">
      <c r="A1354" s="1" t="str">
        <f>IFERROR(__xludf.DUMMYFUNCTION("""COMPUTED_VALUE"""),"DOCHL063507115")</f>
        <v>DOCHL063507115</v>
      </c>
      <c r="B1354" s="1">
        <f>IFERROR(__xludf.DUMMYFUNCTION("""COMPUTED_VALUE"""),0.0)</f>
        <v>0</v>
      </c>
      <c r="C1354" s="1">
        <f>IFERROR(__xludf.DUMMYFUNCTION("""COMPUTED_VALUE"""),795.0)</f>
        <v>795</v>
      </c>
      <c r="D1354" s="1">
        <f>IFERROR(__xludf.DUMMYFUNCTION("""COMPUTED_VALUE"""),0.0)</f>
        <v>0</v>
      </c>
      <c r="E1354" s="1">
        <f>IFERROR(__xludf.DUMMYFUNCTION("""COMPUTED_VALUE"""),795.0)</f>
        <v>795</v>
      </c>
    </row>
    <row r="1355">
      <c r="A1355" s="1" t="str">
        <f>IFERROR(__xludf.DUMMYFUNCTION("""COMPUTED_VALUE"""),"DOCHL095207115")</f>
        <v>DOCHL095207115</v>
      </c>
      <c r="B1355" s="1">
        <f>IFERROR(__xludf.DUMMYFUNCTION("""COMPUTED_VALUE"""),0.0)</f>
        <v>0</v>
      </c>
      <c r="C1355" s="1">
        <f>IFERROR(__xludf.DUMMYFUNCTION("""COMPUTED_VALUE"""),323.0)</f>
        <v>323</v>
      </c>
      <c r="D1355" s="1">
        <f>IFERROR(__xludf.DUMMYFUNCTION("""COMPUTED_VALUE"""),0.0)</f>
        <v>0</v>
      </c>
      <c r="E1355" s="1">
        <f>IFERROR(__xludf.DUMMYFUNCTION("""COMPUTED_VALUE"""),323.0)</f>
        <v>323</v>
      </c>
    </row>
    <row r="1356">
      <c r="A1356" s="1" t="str">
        <f>IFERROR(__xludf.DUMMYFUNCTION("""COMPUTED_VALUE"""),"DOCHL158809115")</f>
        <v>DOCHL158809115</v>
      </c>
      <c r="B1356" s="1">
        <f>IFERROR(__xludf.DUMMYFUNCTION("""COMPUTED_VALUE"""),0.0)</f>
        <v>0</v>
      </c>
      <c r="C1356" s="1">
        <f>IFERROR(__xludf.DUMMYFUNCTION("""COMPUTED_VALUE"""),2.0)</f>
        <v>2</v>
      </c>
      <c r="D1356" s="1">
        <f>IFERROR(__xludf.DUMMYFUNCTION("""COMPUTED_VALUE"""),0.0)</f>
        <v>0</v>
      </c>
      <c r="E1356" s="1">
        <f>IFERROR(__xludf.DUMMYFUNCTION("""COMPUTED_VALUE"""),2.0)</f>
        <v>2</v>
      </c>
    </row>
    <row r="1357">
      <c r="A1357" s="1" t="str">
        <f>IFERROR(__xludf.DUMMYFUNCTION("""COMPUTED_VALUE"""),"DOCHL190507115")</f>
        <v>DOCHL190507115</v>
      </c>
      <c r="B1357" s="1">
        <f>IFERROR(__xludf.DUMMYFUNCTION("""COMPUTED_VALUE"""),0.0)</f>
        <v>0</v>
      </c>
      <c r="C1357" s="1">
        <f>IFERROR(__xludf.DUMMYFUNCTION("""COMPUTED_VALUE"""),1.0)</f>
        <v>1</v>
      </c>
      <c r="D1357" s="1">
        <f>IFERROR(__xludf.DUMMYFUNCTION("""COMPUTED_VALUE"""),0.0)</f>
        <v>0</v>
      </c>
      <c r="E1357" s="1">
        <f>IFERROR(__xludf.DUMMYFUNCTION("""COMPUTED_VALUE"""),1.0)</f>
        <v>1</v>
      </c>
    </row>
    <row r="1358">
      <c r="A1358" s="1" t="str">
        <f>IFERROR(__xludf.DUMMYFUNCTION("""COMPUTED_VALUE"""),"DOCHLTS0635071")</f>
        <v>DOCHLTS0635071</v>
      </c>
      <c r="B1358" s="1">
        <f>IFERROR(__xludf.DUMMYFUNCTION("""COMPUTED_VALUE"""),0.0)</f>
        <v>0</v>
      </c>
      <c r="C1358" s="1">
        <f>IFERROR(__xludf.DUMMYFUNCTION("""COMPUTED_VALUE"""),204.0)</f>
        <v>204</v>
      </c>
      <c r="D1358" s="1">
        <f>IFERROR(__xludf.DUMMYFUNCTION("""COMPUTED_VALUE"""),0.0)</f>
        <v>0</v>
      </c>
      <c r="E1358" s="1">
        <f>IFERROR(__xludf.DUMMYFUNCTION("""COMPUTED_VALUE"""),204.0)</f>
        <v>204</v>
      </c>
    </row>
    <row r="1359">
      <c r="A1359" s="1" t="str">
        <f>IFERROR(__xludf.DUMMYFUNCTION("""COMPUTED_VALUE"""),"DOCHLTS0952081")</f>
        <v>DOCHLTS0952081</v>
      </c>
      <c r="B1359" s="1">
        <f>IFERROR(__xludf.DUMMYFUNCTION("""COMPUTED_VALUE"""),0.0)</f>
        <v>0</v>
      </c>
      <c r="C1359" s="1">
        <f>IFERROR(__xludf.DUMMYFUNCTION("""COMPUTED_VALUE"""),92.0)</f>
        <v>92</v>
      </c>
      <c r="D1359" s="1">
        <f>IFERROR(__xludf.DUMMYFUNCTION("""COMPUTED_VALUE"""),0.0)</f>
        <v>0</v>
      </c>
      <c r="E1359" s="1">
        <f>IFERROR(__xludf.DUMMYFUNCTION("""COMPUTED_VALUE"""),92.0)</f>
        <v>92</v>
      </c>
    </row>
    <row r="1360">
      <c r="A1360" s="1" t="str">
        <f>IFERROR(__xludf.DUMMYFUNCTION("""COMPUTED_VALUE"""),"DOCHLTS1905100")</f>
        <v>DOCHLTS1905100</v>
      </c>
      <c r="B1360" s="1">
        <f>IFERROR(__xludf.DUMMYFUNCTION("""COMPUTED_VALUE"""),0.0)</f>
        <v>0</v>
      </c>
      <c r="C1360" s="1">
        <f>IFERROR(__xludf.DUMMYFUNCTION("""COMPUTED_VALUE"""),186.0)</f>
        <v>186</v>
      </c>
      <c r="D1360" s="1">
        <f>IFERROR(__xludf.DUMMYFUNCTION("""COMPUTED_VALUE"""),0.0)</f>
        <v>0</v>
      </c>
      <c r="E1360" s="1">
        <f>IFERROR(__xludf.DUMMYFUNCTION("""COMPUTED_VALUE"""),186.0)</f>
        <v>186</v>
      </c>
    </row>
    <row r="1361">
      <c r="A1361" s="1" t="str">
        <f>IFERROR(__xludf.DUMMYFUNCTION("""COMPUTED_VALUE"""),"DOCRB0635071")</f>
        <v>DOCRB0635071</v>
      </c>
      <c r="B1361" s="1">
        <f>IFERROR(__xludf.DUMMYFUNCTION("""COMPUTED_VALUE"""),0.0)</f>
        <v>0</v>
      </c>
      <c r="C1361" s="1">
        <f>IFERROR(__xludf.DUMMYFUNCTION("""COMPUTED_VALUE"""),132.0)</f>
        <v>132</v>
      </c>
      <c r="D1361" s="1">
        <f>IFERROR(__xludf.DUMMYFUNCTION("""COMPUTED_VALUE"""),0.0)</f>
        <v>0</v>
      </c>
      <c r="E1361" s="1">
        <f>IFERROR(__xludf.DUMMYFUNCTION("""COMPUTED_VALUE"""),132.0)</f>
        <v>132</v>
      </c>
    </row>
    <row r="1362">
      <c r="A1362" s="1" t="str">
        <f>IFERROR(__xludf.DUMMYFUNCTION("""COMPUTED_VALUE"""),"DOCRB0952071")</f>
        <v>DOCRB0952071</v>
      </c>
      <c r="B1362" s="1">
        <f>IFERROR(__xludf.DUMMYFUNCTION("""COMPUTED_VALUE"""),0.0)</f>
        <v>0</v>
      </c>
      <c r="C1362" s="1">
        <f>IFERROR(__xludf.DUMMYFUNCTION("""COMPUTED_VALUE"""),30.0)</f>
        <v>30</v>
      </c>
      <c r="D1362" s="1">
        <f>IFERROR(__xludf.DUMMYFUNCTION("""COMPUTED_VALUE"""),0.0)</f>
        <v>0</v>
      </c>
      <c r="E1362" s="1">
        <f>IFERROR(__xludf.DUMMYFUNCTION("""COMPUTED_VALUE"""),30.0)</f>
        <v>30</v>
      </c>
    </row>
    <row r="1363">
      <c r="A1363" s="1" t="str">
        <f>IFERROR(__xludf.DUMMYFUNCTION("""COMPUTED_VALUE"""),"DOCRB1270071")</f>
        <v>DOCRB1270071</v>
      </c>
      <c r="B1363" s="1">
        <f>IFERROR(__xludf.DUMMYFUNCTION("""COMPUTED_VALUE"""),0.0)</f>
        <v>0</v>
      </c>
      <c r="C1363" s="1">
        <f>IFERROR(__xludf.DUMMYFUNCTION("""COMPUTED_VALUE"""),158.0)</f>
        <v>158</v>
      </c>
      <c r="D1363" s="1">
        <f>IFERROR(__xludf.DUMMYFUNCTION("""COMPUTED_VALUE"""),0.0)</f>
        <v>0</v>
      </c>
      <c r="E1363" s="1">
        <f>IFERROR(__xludf.DUMMYFUNCTION("""COMPUTED_VALUE"""),158.0)</f>
        <v>158</v>
      </c>
    </row>
    <row r="1364">
      <c r="A1364" s="1" t="str">
        <f>IFERROR(__xludf.DUMMYFUNCTION("""COMPUTED_VALUE"""),"DOCRB1270081")</f>
        <v>DOCRB1270081</v>
      </c>
      <c r="B1364" s="1">
        <f>IFERROR(__xludf.DUMMYFUNCTION("""COMPUTED_VALUE"""),0.0)</f>
        <v>0</v>
      </c>
      <c r="C1364" s="1">
        <f>IFERROR(__xludf.DUMMYFUNCTION("""COMPUTED_VALUE"""),71.0)</f>
        <v>71</v>
      </c>
      <c r="D1364" s="1">
        <f>IFERROR(__xludf.DUMMYFUNCTION("""COMPUTED_VALUE"""),0.0)</f>
        <v>0</v>
      </c>
      <c r="E1364" s="1">
        <f>IFERROR(__xludf.DUMMYFUNCTION("""COMPUTED_VALUE"""),71.0)</f>
        <v>71</v>
      </c>
    </row>
    <row r="1365">
      <c r="A1365" s="1" t="str">
        <f>IFERROR(__xludf.DUMMYFUNCTION("""COMPUTED_VALUE"""),"DOCRB1588071")</f>
        <v>DOCRB1588071</v>
      </c>
      <c r="B1365" s="1">
        <f>IFERROR(__xludf.DUMMYFUNCTION("""COMPUTED_VALUE"""),0.0)</f>
        <v>0</v>
      </c>
      <c r="C1365" s="1">
        <f>IFERROR(__xludf.DUMMYFUNCTION("""COMPUTED_VALUE"""),47.0)</f>
        <v>47</v>
      </c>
      <c r="D1365" s="1">
        <f>IFERROR(__xludf.DUMMYFUNCTION("""COMPUTED_VALUE"""),0.0)</f>
        <v>0</v>
      </c>
      <c r="E1365" s="1">
        <f>IFERROR(__xludf.DUMMYFUNCTION("""COMPUTED_VALUE"""),47.0)</f>
        <v>47</v>
      </c>
    </row>
    <row r="1366">
      <c r="A1366" s="1" t="str">
        <f>IFERROR(__xludf.DUMMYFUNCTION("""COMPUTED_VALUE"""),"DOCRB1588081")</f>
        <v>DOCRB1588081</v>
      </c>
      <c r="B1366" s="1">
        <f>IFERROR(__xludf.DUMMYFUNCTION("""COMPUTED_VALUE"""),0.0)</f>
        <v>0</v>
      </c>
      <c r="C1366" s="1">
        <f>IFERROR(__xludf.DUMMYFUNCTION("""COMPUTED_VALUE"""),100.0)</f>
        <v>100</v>
      </c>
      <c r="D1366" s="1">
        <f>IFERROR(__xludf.DUMMYFUNCTION("""COMPUTED_VALUE"""),0.0)</f>
        <v>0</v>
      </c>
      <c r="E1366" s="1">
        <f>IFERROR(__xludf.DUMMYFUNCTION("""COMPUTED_VALUE"""),100.0)</f>
        <v>100</v>
      </c>
    </row>
    <row r="1367">
      <c r="A1367" s="1" t="str">
        <f>IFERROR(__xludf.DUMMYFUNCTION("""COMPUTED_VALUE"""),"DOCRB1905100")</f>
        <v>DOCRB1905100</v>
      </c>
      <c r="B1367" s="1">
        <f>IFERROR(__xludf.DUMMYFUNCTION("""COMPUTED_VALUE"""),0.0)</f>
        <v>0</v>
      </c>
      <c r="C1367" s="1">
        <f>IFERROR(__xludf.DUMMYFUNCTION("""COMPUTED_VALUE"""),8.0)</f>
        <v>8</v>
      </c>
      <c r="D1367" s="1">
        <f>IFERROR(__xludf.DUMMYFUNCTION("""COMPUTED_VALUE"""),0.0)</f>
        <v>0</v>
      </c>
      <c r="E1367" s="1">
        <f>IFERROR(__xludf.DUMMYFUNCTION("""COMPUTED_VALUE"""),8.0)</f>
        <v>8</v>
      </c>
    </row>
    <row r="1368">
      <c r="A1368" s="1" t="str">
        <f>IFERROR(__xludf.DUMMYFUNCTION("""COMPUTED_VALUE"""),"DOHLLWC0635081")</f>
        <v>DOHLLWC0635081</v>
      </c>
      <c r="B1368" s="1">
        <f>IFERROR(__xludf.DUMMYFUNCTION("""COMPUTED_VALUE"""),0.0)</f>
        <v>0</v>
      </c>
      <c r="C1368" s="1">
        <f>IFERROR(__xludf.DUMMYFUNCTION("""COMPUTED_VALUE"""),167.0)</f>
        <v>167</v>
      </c>
      <c r="D1368" s="1">
        <f>IFERROR(__xludf.DUMMYFUNCTION("""COMPUTED_VALUE"""),0.0)</f>
        <v>0</v>
      </c>
      <c r="E1368" s="1">
        <f>IFERROR(__xludf.DUMMYFUNCTION("""COMPUTED_VALUE"""),167.0)</f>
        <v>167</v>
      </c>
    </row>
    <row r="1369">
      <c r="A1369" s="1" t="str">
        <f>IFERROR(__xludf.DUMMYFUNCTION("""COMPUTED_VALUE"""),"DOHLLWC1270081")</f>
        <v>DOHLLWC1270081</v>
      </c>
      <c r="B1369" s="1">
        <f>IFERROR(__xludf.DUMMYFUNCTION("""COMPUTED_VALUE"""),0.0)</f>
        <v>0</v>
      </c>
      <c r="C1369" s="1">
        <f>IFERROR(__xludf.DUMMYFUNCTION("""COMPUTED_VALUE"""),1317.5)</f>
        <v>1317.5</v>
      </c>
      <c r="D1369" s="1">
        <f>IFERROR(__xludf.DUMMYFUNCTION("""COMPUTED_VALUE"""),0.0)</f>
        <v>0</v>
      </c>
      <c r="E1369" s="1">
        <f>IFERROR(__xludf.DUMMYFUNCTION("""COMPUTED_VALUE"""),1317.5)</f>
        <v>1317.5</v>
      </c>
    </row>
    <row r="1370">
      <c r="A1370" s="1" t="str">
        <f>IFERROR(__xludf.DUMMYFUNCTION("""COMPUTED_VALUE"""),"DOHLLWC1905102")</f>
        <v>DOHLLWC1905102</v>
      </c>
      <c r="B1370" s="1">
        <f>IFERROR(__xludf.DUMMYFUNCTION("""COMPUTED_VALUE"""),0.0)</f>
        <v>0</v>
      </c>
      <c r="C1370" s="1">
        <f>IFERROR(__xludf.DUMMYFUNCTION("""COMPUTED_VALUE"""),151.5)</f>
        <v>151.5</v>
      </c>
      <c r="D1370" s="1">
        <f>IFERROR(__xludf.DUMMYFUNCTION("""COMPUTED_VALUE"""),0.0)</f>
        <v>0</v>
      </c>
      <c r="E1370" s="1">
        <f>IFERROR(__xludf.DUMMYFUNCTION("""COMPUTED_VALUE"""),151.5)</f>
        <v>151.5</v>
      </c>
    </row>
    <row r="1371">
      <c r="A1371" s="1" t="str">
        <f>IFERROR(__xludf.DUMMYFUNCTION("""COMPUTED_VALUE"""),"DOLWCTS0635061")</f>
        <v>DOLWCTS0635061</v>
      </c>
      <c r="B1371" s="1">
        <f>IFERROR(__xludf.DUMMYFUNCTION("""COMPUTED_VALUE"""),0.0)</f>
        <v>0</v>
      </c>
      <c r="C1371" s="1">
        <f>IFERROR(__xludf.DUMMYFUNCTION("""COMPUTED_VALUE"""),46.0)</f>
        <v>46</v>
      </c>
      <c r="D1371" s="1">
        <f>IFERROR(__xludf.DUMMYFUNCTION("""COMPUTED_VALUE"""),0.0)</f>
        <v>0</v>
      </c>
      <c r="E1371" s="1">
        <f>IFERROR(__xludf.DUMMYFUNCTION("""COMPUTED_VALUE"""),46.0)</f>
        <v>46</v>
      </c>
    </row>
    <row r="1372">
      <c r="A1372" s="1" t="str">
        <f>IFERROR(__xludf.DUMMYFUNCTION("""COMPUTED_VALUE"""),"DOLWCTS0635065")</f>
        <v>DOLWCTS0635065</v>
      </c>
      <c r="B1372" s="1">
        <f>IFERROR(__xludf.DUMMYFUNCTION("""COMPUTED_VALUE"""),0.0)</f>
        <v>0</v>
      </c>
      <c r="C1372" s="1">
        <f>IFERROR(__xludf.DUMMYFUNCTION("""COMPUTED_VALUE"""),0.0)</f>
        <v>0</v>
      </c>
      <c r="D1372" s="1">
        <f>IFERROR(__xludf.DUMMYFUNCTION("""COMPUTED_VALUE"""),0.0)</f>
        <v>0</v>
      </c>
      <c r="E1372" s="1">
        <f>IFERROR(__xludf.DUMMYFUNCTION("""COMPUTED_VALUE"""),0.0)</f>
        <v>0</v>
      </c>
    </row>
    <row r="1373">
      <c r="A1373" s="1" t="str">
        <f>IFERROR(__xludf.DUMMYFUNCTION("""COMPUTED_VALUE"""),"DOLWCTSKI0635061")</f>
        <v>DOLWCTSKI0635061</v>
      </c>
      <c r="B1373" s="1">
        <f>IFERROR(__xludf.DUMMYFUNCTION("""COMPUTED_VALUE"""),0.0)</f>
        <v>0</v>
      </c>
      <c r="C1373" s="1">
        <f>IFERROR(__xludf.DUMMYFUNCTION("""COMPUTED_VALUE"""),354.0)</f>
        <v>354</v>
      </c>
      <c r="D1373" s="1">
        <f>IFERROR(__xludf.DUMMYFUNCTION("""COMPUTED_VALUE"""),0.0)</f>
        <v>0</v>
      </c>
      <c r="E1373" s="1">
        <f>IFERROR(__xludf.DUMMYFUNCTION("""COMPUTED_VALUE"""),354.0)</f>
        <v>354</v>
      </c>
    </row>
    <row r="1374">
      <c r="A1374" s="1" t="str">
        <f>IFERROR(__xludf.DUMMYFUNCTION("""COMPUTED_VALUE"""),"DOLWCTSKI0635071")</f>
        <v>DOLWCTSKI0635071</v>
      </c>
      <c r="B1374" s="1">
        <f>IFERROR(__xludf.DUMMYFUNCTION("""COMPUTED_VALUE"""),0.0)</f>
        <v>0</v>
      </c>
      <c r="C1374" s="1">
        <f>IFERROR(__xludf.DUMMYFUNCTION("""COMPUTED_VALUE"""),613.5)</f>
        <v>613.5</v>
      </c>
      <c r="D1374" s="1">
        <f>IFERROR(__xludf.DUMMYFUNCTION("""COMPUTED_VALUE"""),0.0)</f>
        <v>0</v>
      </c>
      <c r="E1374" s="1">
        <f>IFERROR(__xludf.DUMMYFUNCTION("""COMPUTED_VALUE"""),613.5)</f>
        <v>613.5</v>
      </c>
    </row>
    <row r="1375">
      <c r="A1375" s="1" t="str">
        <f>IFERROR(__xludf.DUMMYFUNCTION("""COMPUTED_VALUE"""),"DOLWCTSKI0635081")</f>
        <v>DOLWCTSKI0635081</v>
      </c>
      <c r="B1375" s="1">
        <f>IFERROR(__xludf.DUMMYFUNCTION("""COMPUTED_VALUE"""),0.0)</f>
        <v>0</v>
      </c>
      <c r="C1375" s="1">
        <f>IFERROR(__xludf.DUMMYFUNCTION("""COMPUTED_VALUE"""),266.5)</f>
        <v>266.5</v>
      </c>
      <c r="D1375" s="1">
        <f>IFERROR(__xludf.DUMMYFUNCTION("""COMPUTED_VALUE"""),0.0)</f>
        <v>0</v>
      </c>
      <c r="E1375" s="1">
        <f>IFERROR(__xludf.DUMMYFUNCTION("""COMPUTED_VALUE"""),266.5)</f>
        <v>266.5</v>
      </c>
    </row>
    <row r="1376">
      <c r="A1376" s="1" t="str">
        <f>IFERROR(__xludf.DUMMYFUNCTION("""COMPUTED_VALUE"""),"DOLWCTSKI0952071")</f>
        <v>DOLWCTSKI0952071</v>
      </c>
      <c r="B1376" s="1">
        <f>IFERROR(__xludf.DUMMYFUNCTION("""COMPUTED_VALUE"""),0.0)</f>
        <v>0</v>
      </c>
      <c r="C1376" s="1">
        <f>IFERROR(__xludf.DUMMYFUNCTION("""COMPUTED_VALUE"""),0.0)</f>
        <v>0</v>
      </c>
      <c r="D1376" s="1">
        <f>IFERROR(__xludf.DUMMYFUNCTION("""COMPUTED_VALUE"""),0.0)</f>
        <v>0</v>
      </c>
      <c r="E1376" s="1">
        <f>IFERROR(__xludf.DUMMYFUNCTION("""COMPUTED_VALUE"""),0.0)</f>
        <v>0</v>
      </c>
    </row>
    <row r="1377">
      <c r="A1377" s="1" t="str">
        <f>IFERROR(__xludf.DUMMYFUNCTION("""COMPUTED_VALUE"""),"DOLWCTSKI0952081")</f>
        <v>DOLWCTSKI0952081</v>
      </c>
      <c r="B1377" s="1">
        <f>IFERROR(__xludf.DUMMYFUNCTION("""COMPUTED_VALUE"""),0.0)</f>
        <v>0</v>
      </c>
      <c r="C1377" s="1">
        <f>IFERROR(__xludf.DUMMYFUNCTION("""COMPUTED_VALUE"""),0.0)</f>
        <v>0</v>
      </c>
      <c r="D1377" s="1">
        <f>IFERROR(__xludf.DUMMYFUNCTION("""COMPUTED_VALUE"""),0.0)</f>
        <v>0</v>
      </c>
      <c r="E1377" s="1">
        <f>IFERROR(__xludf.DUMMYFUNCTION("""COMPUTED_VALUE"""),0.0)</f>
        <v>0</v>
      </c>
    </row>
    <row r="1378">
      <c r="A1378" s="1" t="str">
        <f>IFERROR(__xludf.DUMMYFUNCTION("""COMPUTED_VALUE"""),"DOLWCTSKI1270071")</f>
        <v>DOLWCTSKI1270071</v>
      </c>
      <c r="B1378" s="1">
        <f>IFERROR(__xludf.DUMMYFUNCTION("""COMPUTED_VALUE"""),0.0)</f>
        <v>0</v>
      </c>
      <c r="C1378" s="1">
        <f>IFERROR(__xludf.DUMMYFUNCTION("""COMPUTED_VALUE"""),550.4)</f>
        <v>550.4</v>
      </c>
      <c r="D1378" s="1">
        <f>IFERROR(__xludf.DUMMYFUNCTION("""COMPUTED_VALUE"""),0.0)</f>
        <v>0</v>
      </c>
      <c r="E1378" s="1">
        <f>IFERROR(__xludf.DUMMYFUNCTION("""COMPUTED_VALUE"""),550.4)</f>
        <v>550.4</v>
      </c>
    </row>
    <row r="1379">
      <c r="A1379" s="1" t="str">
        <f>IFERROR(__xludf.DUMMYFUNCTION("""COMPUTED_VALUE"""),"DOLWCTSKI1588071")</f>
        <v>DOLWCTSKI1588071</v>
      </c>
      <c r="B1379" s="1">
        <f>IFERROR(__xludf.DUMMYFUNCTION("""COMPUTED_VALUE"""),0.0)</f>
        <v>0</v>
      </c>
      <c r="C1379" s="1">
        <f>IFERROR(__xludf.DUMMYFUNCTION("""COMPUTED_VALUE"""),156.2)</f>
        <v>156.2</v>
      </c>
      <c r="D1379" s="1">
        <f>IFERROR(__xludf.DUMMYFUNCTION("""COMPUTED_VALUE"""),0.0)</f>
        <v>0</v>
      </c>
      <c r="E1379" s="1">
        <f>IFERROR(__xludf.DUMMYFUNCTION("""COMPUTED_VALUE"""),156.2)</f>
        <v>156.2</v>
      </c>
    </row>
    <row r="1380">
      <c r="A1380" s="1" t="str">
        <f>IFERROR(__xludf.DUMMYFUNCTION("""COMPUTED_VALUE"""),"DOLWCTSKI1588081")</f>
        <v>DOLWCTSKI1588081</v>
      </c>
      <c r="B1380" s="1">
        <f>IFERROR(__xludf.DUMMYFUNCTION("""COMPUTED_VALUE"""),0.0)</f>
        <v>0</v>
      </c>
      <c r="C1380" s="1">
        <f>IFERROR(__xludf.DUMMYFUNCTION("""COMPUTED_VALUE"""),1417.9)</f>
        <v>1417.9</v>
      </c>
      <c r="D1380" s="1">
        <f>IFERROR(__xludf.DUMMYFUNCTION("""COMPUTED_VALUE"""),0.0)</f>
        <v>0</v>
      </c>
      <c r="E1380" s="1">
        <f>IFERROR(__xludf.DUMMYFUNCTION("""COMPUTED_VALUE"""),1417.9)</f>
        <v>1417.9</v>
      </c>
    </row>
    <row r="1381">
      <c r="A1381" s="1" t="str">
        <f>IFERROR(__xludf.DUMMYFUNCTION("""COMPUTED_VALUE"""),"DOT1905071")</f>
        <v>DOT1905071</v>
      </c>
      <c r="B1381" s="1">
        <f>IFERROR(__xludf.DUMMYFUNCTION("""COMPUTED_VALUE"""),0.0)</f>
        <v>0</v>
      </c>
      <c r="C1381" s="1">
        <f>IFERROR(__xludf.DUMMYFUNCTION("""COMPUTED_VALUE"""),15.0)</f>
        <v>15</v>
      </c>
      <c r="D1381" s="1">
        <f>IFERROR(__xludf.DUMMYFUNCTION("""COMPUTED_VALUE"""),0.0)</f>
        <v>0</v>
      </c>
      <c r="E1381" s="1">
        <f>IFERROR(__xludf.DUMMYFUNCTION("""COMPUTED_VALUE"""),15.0)</f>
        <v>15</v>
      </c>
    </row>
    <row r="1382">
      <c r="A1382" s="1" t="str">
        <f>IFERROR(__xludf.DUMMYFUNCTION("""COMPUTED_VALUE"""),"DOT2200060212")</f>
        <v>DOT2200060212</v>
      </c>
      <c r="B1382" s="1">
        <f>IFERROR(__xludf.DUMMYFUNCTION("""COMPUTED_VALUE"""),0.0)</f>
        <v>0</v>
      </c>
      <c r="C1382" s="1">
        <f>IFERROR(__xludf.DUMMYFUNCTION("""COMPUTED_VALUE"""),15.0)</f>
        <v>15</v>
      </c>
      <c r="D1382" s="1">
        <f>IFERROR(__xludf.DUMMYFUNCTION("""COMPUTED_VALUE"""),0.0)</f>
        <v>0</v>
      </c>
      <c r="E1382" s="1">
        <f>IFERROR(__xludf.DUMMYFUNCTION("""COMPUTED_VALUE"""),15.0)</f>
        <v>15</v>
      </c>
    </row>
    <row r="1383">
      <c r="A1383" s="1" t="str">
        <f>IFERROR(__xludf.DUMMYFUNCTION("""COMPUTED_VALUE"""),"DOT2200060262")</f>
        <v>DOT2200060262</v>
      </c>
      <c r="B1383" s="1">
        <f>IFERROR(__xludf.DUMMYFUNCTION("""COMPUTED_VALUE"""),0.0)</f>
        <v>0</v>
      </c>
      <c r="C1383" s="1">
        <f>IFERROR(__xludf.DUMMYFUNCTION("""COMPUTED_VALUE"""),31.0)</f>
        <v>31</v>
      </c>
      <c r="D1383" s="1">
        <f>IFERROR(__xludf.DUMMYFUNCTION("""COMPUTED_VALUE"""),0.0)</f>
        <v>0</v>
      </c>
      <c r="E1383" s="1">
        <f>IFERROR(__xludf.DUMMYFUNCTION("""COMPUTED_VALUE"""),31.0)</f>
        <v>31</v>
      </c>
    </row>
    <row r="1384">
      <c r="A1384" s="1" t="str">
        <f>IFERROR(__xludf.DUMMYFUNCTION("""COMPUTED_VALUE"""),"DOT254008149")</f>
        <v>DOT254008149</v>
      </c>
      <c r="B1384" s="1">
        <f>IFERROR(__xludf.DUMMYFUNCTION("""COMPUTED_VALUE"""),0.0)</f>
        <v>0</v>
      </c>
      <c r="C1384" s="1">
        <f>IFERROR(__xludf.DUMMYFUNCTION("""COMPUTED_VALUE"""),47.0)</f>
        <v>47</v>
      </c>
      <c r="D1384" s="1">
        <f>IFERROR(__xludf.DUMMYFUNCTION("""COMPUTED_VALUE"""),0.0)</f>
        <v>0</v>
      </c>
      <c r="E1384" s="1">
        <f>IFERROR(__xludf.DUMMYFUNCTION("""COMPUTED_VALUE"""),47.0)</f>
        <v>47</v>
      </c>
    </row>
    <row r="1385">
      <c r="A1385" s="1" t="str">
        <f>IFERROR(__xludf.DUMMYFUNCTION("""COMPUTED_VALUE"""),"DOT285810046")</f>
        <v>DOT285810046</v>
      </c>
      <c r="B1385" s="1">
        <f>IFERROR(__xludf.DUMMYFUNCTION("""COMPUTED_VALUE"""),0.0)</f>
        <v>0</v>
      </c>
      <c r="C1385" s="1">
        <f>IFERROR(__xludf.DUMMYFUNCTION("""COMPUTED_VALUE"""),25.0)</f>
        <v>25</v>
      </c>
      <c r="D1385" s="1">
        <f>IFERROR(__xludf.DUMMYFUNCTION("""COMPUTED_VALUE"""),0.0)</f>
        <v>0</v>
      </c>
      <c r="E1385" s="1">
        <f>IFERROR(__xludf.DUMMYFUNCTION("""COMPUTED_VALUE"""),25.0)</f>
        <v>25</v>
      </c>
    </row>
    <row r="1386">
      <c r="A1386" s="1" t="str">
        <f>IFERROR(__xludf.DUMMYFUNCTION("""COMPUTED_VALUE"""),"DOT317510058")</f>
        <v>DOT317510058</v>
      </c>
      <c r="B1386" s="1">
        <f>IFERROR(__xludf.DUMMYFUNCTION("""COMPUTED_VALUE"""),0.0)</f>
        <v>0</v>
      </c>
      <c r="C1386" s="1">
        <f>IFERROR(__xludf.DUMMYFUNCTION("""COMPUTED_VALUE"""),9.0)</f>
        <v>9</v>
      </c>
      <c r="D1386" s="1">
        <f>IFERROR(__xludf.DUMMYFUNCTION("""COMPUTED_VALUE"""),0.0)</f>
        <v>0</v>
      </c>
      <c r="E1386" s="1">
        <f>IFERROR(__xludf.DUMMYFUNCTION("""COMPUTED_VALUE"""),9.0)</f>
        <v>9</v>
      </c>
    </row>
    <row r="1387">
      <c r="A1387" s="1" t="str">
        <f>IFERROR(__xludf.DUMMYFUNCTION("""COMPUTED_VALUE"""),"DOT3493081")</f>
        <v>DOT3493081</v>
      </c>
      <c r="B1387" s="1">
        <f>IFERROR(__xludf.DUMMYFUNCTION("""COMPUTED_VALUE"""),0.0)</f>
        <v>0</v>
      </c>
      <c r="C1387" s="1">
        <f>IFERROR(__xludf.DUMMYFUNCTION("""COMPUTED_VALUE"""),4.0)</f>
        <v>4</v>
      </c>
      <c r="D1387" s="1">
        <f>IFERROR(__xludf.DUMMYFUNCTION("""COMPUTED_VALUE"""),0.0)</f>
        <v>0</v>
      </c>
      <c r="E1387" s="1">
        <f>IFERROR(__xludf.DUMMYFUNCTION("""COMPUTED_VALUE"""),4.0)</f>
        <v>4</v>
      </c>
    </row>
    <row r="1388">
      <c r="A1388" s="1" t="str">
        <f>IFERROR(__xludf.DUMMYFUNCTION("""COMPUTED_VALUE"""),"DOT4128081")</f>
        <v>DOT4128081</v>
      </c>
      <c r="B1388" s="1">
        <f>IFERROR(__xludf.DUMMYFUNCTION("""COMPUTED_VALUE"""),0.0)</f>
        <v>0</v>
      </c>
      <c r="C1388" s="1">
        <f>IFERROR(__xludf.DUMMYFUNCTION("""COMPUTED_VALUE"""),4.0)</f>
        <v>4</v>
      </c>
      <c r="D1388" s="1">
        <f>IFERROR(__xludf.DUMMYFUNCTION("""COMPUTED_VALUE"""),0.0)</f>
        <v>0</v>
      </c>
      <c r="E1388" s="1">
        <f>IFERROR(__xludf.DUMMYFUNCTION("""COMPUTED_VALUE"""),4.0)</f>
        <v>4</v>
      </c>
    </row>
    <row r="1389">
      <c r="A1389" s="1" t="str">
        <f>IFERROR(__xludf.DUMMYFUNCTION("""COMPUTED_VALUE"""),"DOT4450120")</f>
        <v>DOT4450120</v>
      </c>
      <c r="B1389" s="1">
        <f>IFERROR(__xludf.DUMMYFUNCTION("""COMPUTED_VALUE"""),0.0)</f>
        <v>0</v>
      </c>
      <c r="C1389" s="1">
        <f>IFERROR(__xludf.DUMMYFUNCTION("""COMPUTED_VALUE"""),10.0)</f>
        <v>10</v>
      </c>
      <c r="D1389" s="1">
        <f>IFERROR(__xludf.DUMMYFUNCTION("""COMPUTED_VALUE"""),0.0)</f>
        <v>0</v>
      </c>
      <c r="E1389" s="1">
        <f>IFERROR(__xludf.DUMMYFUNCTION("""COMPUTED_VALUE"""),10.0)</f>
        <v>10</v>
      </c>
    </row>
    <row r="1390">
      <c r="A1390" s="1" t="str">
        <f>IFERROR(__xludf.DUMMYFUNCTION("""COMPUTED_VALUE"""),"DOT8000401885")</f>
        <v>DOT8000401885</v>
      </c>
      <c r="B1390" s="1">
        <f>IFERROR(__xludf.DUMMYFUNCTION("""COMPUTED_VALUE"""),0.0)</f>
        <v>0</v>
      </c>
      <c r="C1390" s="1">
        <f>IFERROR(__xludf.DUMMYFUNCTION("""COMPUTED_VALUE"""),163.0)</f>
        <v>163</v>
      </c>
      <c r="D1390" s="1">
        <f>IFERROR(__xludf.DUMMYFUNCTION("""COMPUTED_VALUE"""),0.0)</f>
        <v>0</v>
      </c>
      <c r="E1390" s="1">
        <f>IFERROR(__xludf.DUMMYFUNCTION("""COMPUTED_VALUE"""),163.0)</f>
        <v>163</v>
      </c>
    </row>
    <row r="1391">
      <c r="A1391" s="1" t="str">
        <f>IFERROR(__xludf.DUMMYFUNCTION("""COMPUTED_VALUE"""),"DOTHL190510229")</f>
        <v>DOTHL190510229</v>
      </c>
      <c r="B1391" s="1">
        <f>IFERROR(__xludf.DUMMYFUNCTION("""COMPUTED_VALUE"""),0.0)</f>
        <v>0</v>
      </c>
      <c r="C1391" s="1">
        <f>IFERROR(__xludf.DUMMYFUNCTION("""COMPUTED_VALUE"""),6.0)</f>
        <v>6</v>
      </c>
      <c r="D1391" s="1">
        <f>IFERROR(__xludf.DUMMYFUNCTION("""COMPUTED_VALUE"""),0.0)</f>
        <v>0</v>
      </c>
      <c r="E1391" s="1">
        <f>IFERROR(__xludf.DUMMYFUNCTION("""COMPUTED_VALUE"""),6.0)</f>
        <v>6</v>
      </c>
    </row>
    <row r="1392">
      <c r="A1392" s="1" t="str">
        <f>IFERROR(__xludf.DUMMYFUNCTION("""COMPUTED_VALUE"""),"DOTHL254012229")</f>
        <v>DOTHL254012229</v>
      </c>
      <c r="B1392" s="1">
        <f>IFERROR(__xludf.DUMMYFUNCTION("""COMPUTED_VALUE"""),0.0)</f>
        <v>0</v>
      </c>
      <c r="C1392" s="1">
        <f>IFERROR(__xludf.DUMMYFUNCTION("""COMPUTED_VALUE"""),138.0)</f>
        <v>138</v>
      </c>
      <c r="D1392" s="1">
        <f>IFERROR(__xludf.DUMMYFUNCTION("""COMPUTED_VALUE"""),0.0)</f>
        <v>0</v>
      </c>
      <c r="E1392" s="1">
        <f>IFERROR(__xludf.DUMMYFUNCTION("""COMPUTED_VALUE"""),138.0)</f>
        <v>138</v>
      </c>
    </row>
    <row r="1393">
      <c r="A1393" s="1" t="str">
        <f>IFERROR(__xludf.DUMMYFUNCTION("""COMPUTED_VALUE"""),"DOTHL285808129")</f>
        <v>DOTHL285808129</v>
      </c>
      <c r="B1393" s="1">
        <f>IFERROR(__xludf.DUMMYFUNCTION("""COMPUTED_VALUE"""),0.0)</f>
        <v>0</v>
      </c>
      <c r="C1393" s="1">
        <f>IFERROR(__xludf.DUMMYFUNCTION("""COMPUTED_VALUE"""),183.0)</f>
        <v>183</v>
      </c>
      <c r="D1393" s="1">
        <f>IFERROR(__xludf.DUMMYFUNCTION("""COMPUTED_VALUE"""),0.0)</f>
        <v>0</v>
      </c>
      <c r="E1393" s="1">
        <f>IFERROR(__xludf.DUMMYFUNCTION("""COMPUTED_VALUE"""),183.0)</f>
        <v>183</v>
      </c>
    </row>
    <row r="1394">
      <c r="A1394" s="1" t="str">
        <f>IFERROR(__xludf.DUMMYFUNCTION("""COMPUTED_VALUE"""),"DOTHL285812729")</f>
        <v>DOTHL285812729</v>
      </c>
      <c r="B1394" s="1">
        <f>IFERROR(__xludf.DUMMYFUNCTION("""COMPUTED_VALUE"""),0.0)</f>
        <v>0</v>
      </c>
      <c r="C1394" s="1">
        <f>IFERROR(__xludf.DUMMYFUNCTION("""COMPUTED_VALUE"""),7.0)</f>
        <v>7</v>
      </c>
      <c r="D1394" s="1">
        <f>IFERROR(__xludf.DUMMYFUNCTION("""COMPUTED_VALUE"""),0.0)</f>
        <v>0</v>
      </c>
      <c r="E1394" s="1">
        <f>IFERROR(__xludf.DUMMYFUNCTION("""COMPUTED_VALUE"""),7.0)</f>
        <v>7</v>
      </c>
    </row>
    <row r="1395">
      <c r="A1395" s="1" t="str">
        <f>IFERROR(__xludf.DUMMYFUNCTION("""COMPUTED_VALUE"""),"DOTHL381014329")</f>
        <v>DOTHL381014329</v>
      </c>
      <c r="B1395" s="1">
        <f>IFERROR(__xludf.DUMMYFUNCTION("""COMPUTED_VALUE"""),0.0)</f>
        <v>0</v>
      </c>
      <c r="C1395" s="1">
        <f>IFERROR(__xludf.DUMMYFUNCTION("""COMPUTED_VALUE"""),30.0)</f>
        <v>30</v>
      </c>
      <c r="D1395" s="1">
        <f>IFERROR(__xludf.DUMMYFUNCTION("""COMPUTED_VALUE"""),0.0)</f>
        <v>0</v>
      </c>
      <c r="E1395" s="1">
        <f>IFERROR(__xludf.DUMMYFUNCTION("""COMPUTED_VALUE"""),30.0)</f>
        <v>30</v>
      </c>
    </row>
    <row r="1396">
      <c r="A1396" s="1" t="str">
        <f>IFERROR(__xludf.DUMMYFUNCTION("""COMPUTED_VALUE"""),"DOTHL412817029")</f>
        <v>DOTHL412817029</v>
      </c>
      <c r="B1396" s="1">
        <f>IFERROR(__xludf.DUMMYFUNCTION("""COMPUTED_VALUE"""),0.0)</f>
        <v>0</v>
      </c>
      <c r="C1396" s="1">
        <f>IFERROR(__xludf.DUMMYFUNCTION("""COMPUTED_VALUE"""),4.0)</f>
        <v>4</v>
      </c>
      <c r="D1396" s="1">
        <f>IFERROR(__xludf.DUMMYFUNCTION("""COMPUTED_VALUE"""),0.0)</f>
        <v>0</v>
      </c>
      <c r="E1396" s="1">
        <f>IFERROR(__xludf.DUMMYFUNCTION("""COMPUTED_VALUE"""),4.0)</f>
        <v>4</v>
      </c>
    </row>
    <row r="1397">
      <c r="A1397" s="1" t="str">
        <f>IFERROR(__xludf.DUMMYFUNCTION("""COMPUTED_VALUE"""),"DOTRB28581058")</f>
        <v>DOTRB28581058</v>
      </c>
      <c r="B1397" s="1">
        <f>IFERROR(__xludf.DUMMYFUNCTION("""COMPUTED_VALUE"""),0.0)</f>
        <v>0</v>
      </c>
      <c r="C1397" s="1">
        <f>IFERROR(__xludf.DUMMYFUNCTION("""COMPUTED_VALUE"""),73.0)</f>
        <v>73</v>
      </c>
      <c r="D1397" s="1">
        <f>IFERROR(__xludf.DUMMYFUNCTION("""COMPUTED_VALUE"""),0.0)</f>
        <v>0</v>
      </c>
      <c r="E1397" s="1">
        <f>IFERROR(__xludf.DUMMYFUNCTION("""COMPUTED_VALUE"""),73.0)</f>
        <v>73</v>
      </c>
    </row>
    <row r="1398">
      <c r="A1398" s="1" t="str">
        <f>IFERROR(__xludf.DUMMYFUNCTION("""COMPUTED_VALUE"""),"DOTRB317512058")</f>
        <v>DOTRB317512058</v>
      </c>
      <c r="B1398" s="1">
        <f>IFERROR(__xludf.DUMMYFUNCTION("""COMPUTED_VALUE"""),0.0)</f>
        <v>0</v>
      </c>
      <c r="C1398" s="1">
        <f>IFERROR(__xludf.DUMMYFUNCTION("""COMPUTED_VALUE"""),9.0)</f>
        <v>9</v>
      </c>
      <c r="D1398" s="1">
        <f>IFERROR(__xludf.DUMMYFUNCTION("""COMPUTED_VALUE"""),0.0)</f>
        <v>0</v>
      </c>
      <c r="E1398" s="1">
        <f>IFERROR(__xludf.DUMMYFUNCTION("""COMPUTED_VALUE"""),9.0)</f>
        <v>9</v>
      </c>
    </row>
    <row r="1399">
      <c r="A1399" s="1" t="str">
        <f>IFERROR(__xludf.DUMMYFUNCTION("""COMPUTED_VALUE"""),"DOTRB412814258")</f>
        <v>DOTRB412814258</v>
      </c>
      <c r="B1399" s="1">
        <f>IFERROR(__xludf.DUMMYFUNCTION("""COMPUTED_VALUE"""),0.0)</f>
        <v>0</v>
      </c>
      <c r="C1399" s="1">
        <f>IFERROR(__xludf.DUMMYFUNCTION("""COMPUTED_VALUE"""),75.0)</f>
        <v>75</v>
      </c>
      <c r="D1399" s="1">
        <f>IFERROR(__xludf.DUMMYFUNCTION("""COMPUTED_VALUE"""),0.0)</f>
        <v>0</v>
      </c>
      <c r="E1399" s="1">
        <f>IFERROR(__xludf.DUMMYFUNCTION("""COMPUTED_VALUE"""),75.0)</f>
        <v>75</v>
      </c>
    </row>
    <row r="1400">
      <c r="A1400" s="1" t="str">
        <f>IFERROR(__xludf.DUMMYFUNCTION("""COMPUTED_VALUE"""),"DOTTS090010830")</f>
        <v>DOTTS090010830</v>
      </c>
      <c r="B1400" s="1">
        <f>IFERROR(__xludf.DUMMYFUNCTION("""COMPUTED_VALUE"""),0.0)</f>
        <v>0</v>
      </c>
      <c r="C1400" s="1">
        <f>IFERROR(__xludf.DUMMYFUNCTION("""COMPUTED_VALUE"""),105.9)</f>
        <v>105.9</v>
      </c>
      <c r="D1400" s="1">
        <f>IFERROR(__xludf.DUMMYFUNCTION("""COMPUTED_VALUE"""),0.0)</f>
        <v>0</v>
      </c>
      <c r="E1400" s="1">
        <f>IFERROR(__xludf.DUMMYFUNCTION("""COMPUTED_VALUE"""),105.9)</f>
        <v>105.9</v>
      </c>
    </row>
    <row r="1401">
      <c r="A1401" s="1" t="str">
        <f>IFERROR(__xludf.DUMMYFUNCTION("""COMPUTED_VALUE"""),"DOTTS158805158")</f>
        <v>DOTTS158805158</v>
      </c>
      <c r="B1401" s="1">
        <f>IFERROR(__xludf.DUMMYFUNCTION("""COMPUTED_VALUE"""),0.0)</f>
        <v>0</v>
      </c>
      <c r="C1401" s="1">
        <f>IFERROR(__xludf.DUMMYFUNCTION("""COMPUTED_VALUE"""),360.0)</f>
        <v>360</v>
      </c>
      <c r="D1401" s="1">
        <f>IFERROR(__xludf.DUMMYFUNCTION("""COMPUTED_VALUE"""),0.0)</f>
        <v>0</v>
      </c>
      <c r="E1401" s="1">
        <f>IFERROR(__xludf.DUMMYFUNCTION("""COMPUTED_VALUE"""),360.0)</f>
        <v>360</v>
      </c>
    </row>
    <row r="1402">
      <c r="A1402" s="1" t="str">
        <f>IFERROR(__xludf.DUMMYFUNCTION("""COMPUTED_VALUE"""),"DOTTS300035020")</f>
        <v>DOTTS300035020</v>
      </c>
      <c r="B1402" s="1">
        <f>IFERROR(__xludf.DUMMYFUNCTION("""COMPUTED_VALUE"""),0.0)</f>
        <v>0</v>
      </c>
      <c r="C1402" s="1">
        <f>IFERROR(__xludf.DUMMYFUNCTION("""COMPUTED_VALUE"""),0.12)</f>
        <v>0.12</v>
      </c>
      <c r="D1402" s="1">
        <f>IFERROR(__xludf.DUMMYFUNCTION("""COMPUTED_VALUE"""),0.0)</f>
        <v>0</v>
      </c>
      <c r="E1402" s="1">
        <f>IFERROR(__xludf.DUMMYFUNCTION("""COMPUTED_VALUE"""),0.12)</f>
        <v>0.12</v>
      </c>
    </row>
    <row r="1403">
      <c r="A1403" s="1" t="str">
        <f>IFERROR(__xludf.DUMMYFUNCTION("""COMPUTED_VALUE"""),"GA134TAISEI")</f>
        <v>GA134TAISEI</v>
      </c>
      <c r="B1403" s="1">
        <f>IFERROR(__xludf.DUMMYFUNCTION("""COMPUTED_VALUE"""),0.0)</f>
        <v>0</v>
      </c>
      <c r="C1403" s="1">
        <f>IFERROR(__xludf.DUMMYFUNCTION("""COMPUTED_VALUE"""),2.0)</f>
        <v>2</v>
      </c>
      <c r="D1403" s="1">
        <f>IFERROR(__xludf.DUMMYFUNCTION("""COMPUTED_VALUE"""),0.0)</f>
        <v>0</v>
      </c>
      <c r="E1403" s="1">
        <f>IFERROR(__xludf.DUMMYFUNCTION("""COMPUTED_VALUE"""),2.0)</f>
        <v>2</v>
      </c>
    </row>
    <row r="1404">
      <c r="A1404" s="1" t="str">
        <f>IFERROR(__xludf.DUMMYFUNCTION("""COMPUTED_VALUE"""),"GA32TQ9.5")</f>
        <v>GA32TQ9.5</v>
      </c>
      <c r="B1404" s="1">
        <f>IFERROR(__xludf.DUMMYFUNCTION("""COMPUTED_VALUE"""),0.0)</f>
        <v>0</v>
      </c>
      <c r="C1404" s="1">
        <f>IFERROR(__xludf.DUMMYFUNCTION("""COMPUTED_VALUE"""),0.0)</f>
        <v>0</v>
      </c>
      <c r="D1404" s="1">
        <f>IFERROR(__xludf.DUMMYFUNCTION("""COMPUTED_VALUE"""),0.0)</f>
        <v>0</v>
      </c>
      <c r="E1404" s="1">
        <f>IFERROR(__xludf.DUMMYFUNCTION("""COMPUTED_VALUE"""),0.0)</f>
        <v>0</v>
      </c>
    </row>
    <row r="1405">
      <c r="A1405" s="1" t="str">
        <f>IFERROR(__xludf.DUMMYFUNCTION("""COMPUTED_VALUE"""),"HKBKLOGO63")</f>
        <v>HKBKLOGO63</v>
      </c>
      <c r="B1405" s="1">
        <f>IFERROR(__xludf.DUMMYFUNCTION("""COMPUTED_VALUE"""),0.0)</f>
        <v>0</v>
      </c>
      <c r="C1405" s="1">
        <f>IFERROR(__xludf.DUMMYFUNCTION("""COMPUTED_VALUE"""),280.0)</f>
        <v>280</v>
      </c>
      <c r="D1405" s="1">
        <f>IFERROR(__xludf.DUMMYFUNCTION("""COMPUTED_VALUE"""),0.0)</f>
        <v>0</v>
      </c>
      <c r="E1405" s="1">
        <f>IFERROR(__xludf.DUMMYFUNCTION("""COMPUTED_VALUE"""),280.0)</f>
        <v>280</v>
      </c>
    </row>
    <row r="1406">
      <c r="A1406" s="1" t="str">
        <f>IFERROR(__xludf.DUMMYFUNCTION("""COMPUTED_VALUE"""),"HKBXBAN2.5")</f>
        <v>HKBXBAN2.5</v>
      </c>
      <c r="B1406" s="1">
        <f>IFERROR(__xludf.DUMMYFUNCTION("""COMPUTED_VALUE"""),0.0)</f>
        <v>0</v>
      </c>
      <c r="C1406" s="1">
        <f>IFERROR(__xludf.DUMMYFUNCTION("""COMPUTED_VALUE"""),7.0)</f>
        <v>7</v>
      </c>
      <c r="D1406" s="1">
        <f>IFERROR(__xludf.DUMMYFUNCTION("""COMPUTED_VALUE"""),0.0)</f>
        <v>0</v>
      </c>
      <c r="E1406" s="1">
        <f>IFERROR(__xludf.DUMMYFUNCTION("""COMPUTED_VALUE"""),7.0)</f>
        <v>7</v>
      </c>
    </row>
    <row r="1407">
      <c r="A1407" s="1" t="str">
        <f>IFERROR(__xludf.DUMMYFUNCTION("""COMPUTED_VALUE"""),"HKĐCG134")</f>
        <v>HKĐCG134</v>
      </c>
      <c r="B1407" s="1">
        <f>IFERROR(__xludf.DUMMYFUNCTION("""COMPUTED_VALUE"""),0.0)</f>
        <v>0</v>
      </c>
      <c r="C1407" s="1">
        <f>IFERROR(__xludf.DUMMYFUNCTION("""COMPUTED_VALUE"""),74.0)</f>
        <v>74</v>
      </c>
      <c r="D1407" s="1">
        <f>IFERROR(__xludf.DUMMYFUNCTION("""COMPUTED_VALUE"""),0.0)</f>
        <v>0</v>
      </c>
      <c r="E1407" s="1">
        <f>IFERROR(__xludf.DUMMYFUNCTION("""COMPUTED_VALUE"""),74.0)</f>
        <v>74</v>
      </c>
    </row>
    <row r="1408">
      <c r="A1408" s="1" t="str">
        <f>IFERROR(__xludf.DUMMYFUNCTION("""COMPUTED_VALUE"""),"HKDONGHOHD")</f>
        <v>HKDONGHOHD</v>
      </c>
      <c r="B1408" s="1">
        <f>IFERROR(__xludf.DUMMYFUNCTION("""COMPUTED_VALUE"""),0.0)</f>
        <v>0</v>
      </c>
      <c r="C1408" s="1">
        <f>IFERROR(__xludf.DUMMYFUNCTION("""COMPUTED_VALUE"""),8.0)</f>
        <v>8</v>
      </c>
      <c r="D1408" s="1">
        <f>IFERROR(__xludf.DUMMYFUNCTION("""COMPUTED_VALUE"""),0.0)</f>
        <v>0</v>
      </c>
      <c r="E1408" s="1">
        <f>IFERROR(__xludf.DUMMYFUNCTION("""COMPUTED_VALUE"""),8.0)</f>
        <v>8</v>
      </c>
    </row>
    <row r="1409">
      <c r="A1409" s="1" t="str">
        <f>IFERROR(__xludf.DUMMYFUNCTION("""COMPUTED_VALUE"""),"HKHMAFRV")</f>
        <v>HKHMAFRV</v>
      </c>
      <c r="B1409" s="1">
        <f>IFERROR(__xludf.DUMMYFUNCTION("""COMPUTED_VALUE"""),0.0)</f>
        <v>0</v>
      </c>
      <c r="C1409" s="1">
        <f>IFERROR(__xludf.DUMMYFUNCTION("""COMPUTED_VALUE"""),4.0)</f>
        <v>4</v>
      </c>
      <c r="D1409" s="1">
        <f>IFERROR(__xludf.DUMMYFUNCTION("""COMPUTED_VALUE"""),0.0)</f>
        <v>0</v>
      </c>
      <c r="E1409" s="1">
        <f>IFERROR(__xludf.DUMMYFUNCTION("""COMPUTED_VALUE"""),4.0)</f>
        <v>4</v>
      </c>
    </row>
    <row r="1410">
      <c r="A1410" s="1" t="str">
        <f>IFERROR(__xludf.DUMMYFUNCTION("""COMPUTED_VALUE"""),"HKHOPDUNGRUOU")</f>
        <v>HKHOPDUNGRUOU</v>
      </c>
      <c r="B1410" s="1">
        <f>IFERROR(__xludf.DUMMYFUNCTION("""COMPUTED_VALUE"""),0.0)</f>
        <v>0</v>
      </c>
      <c r="C1410" s="1">
        <f>IFERROR(__xludf.DUMMYFUNCTION("""COMPUTED_VALUE"""),9.0)</f>
        <v>9</v>
      </c>
      <c r="D1410" s="1">
        <f>IFERROR(__xludf.DUMMYFUNCTION("""COMPUTED_VALUE"""),5.0)</f>
        <v>5</v>
      </c>
      <c r="E1410" s="1">
        <f>IFERROR(__xludf.DUMMYFUNCTION("""COMPUTED_VALUE"""),4.0)</f>
        <v>4</v>
      </c>
    </row>
    <row r="1411">
      <c r="A1411" s="1" t="str">
        <f>IFERROR(__xludf.DUMMYFUNCTION("""COMPUTED_VALUE"""),"HKRVBARON")</f>
        <v>HKRVBARON</v>
      </c>
      <c r="B1411" s="1">
        <f>IFERROR(__xludf.DUMMYFUNCTION("""COMPUTED_VALUE"""),0.0)</f>
        <v>0</v>
      </c>
      <c r="C1411" s="1">
        <f>IFERROR(__xludf.DUMMYFUNCTION("""COMPUTED_VALUE"""),31.0)</f>
        <v>31</v>
      </c>
      <c r="D1411" s="1">
        <f>IFERROR(__xludf.DUMMYFUNCTION("""COMPUTED_VALUE"""),27.0)</f>
        <v>27</v>
      </c>
      <c r="E1411" s="1">
        <f>IFERROR(__xludf.DUMMYFUNCTION("""COMPUTED_VALUE"""),4.0)</f>
        <v>4</v>
      </c>
    </row>
    <row r="1412">
      <c r="A1412" s="1" t="str">
        <f>IFERROR(__xludf.DUMMYFUNCTION("""COMPUTED_VALUE"""),"HKRVCOLONIE")</f>
        <v>HKRVCOLONIE</v>
      </c>
      <c r="B1412" s="1">
        <f>IFERROR(__xludf.DUMMYFUNCTION("""COMPUTED_VALUE"""),0.0)</f>
        <v>0</v>
      </c>
      <c r="C1412" s="1">
        <f>IFERROR(__xludf.DUMMYFUNCTION("""COMPUTED_VALUE"""),4.0)</f>
        <v>4</v>
      </c>
      <c r="D1412" s="1">
        <f>IFERROR(__xludf.DUMMYFUNCTION("""COMPUTED_VALUE"""),0.0)</f>
        <v>0</v>
      </c>
      <c r="E1412" s="1">
        <f>IFERROR(__xludf.DUMMYFUNCTION("""COMPUTED_VALUE"""),4.0)</f>
        <v>4</v>
      </c>
    </row>
    <row r="1413">
      <c r="A1413" s="1" t="str">
        <f>IFERROR(__xludf.DUMMYFUNCTION("""COMPUTED_VALUE"""),"HKTTHU2810")</f>
        <v>HKTTHU2810</v>
      </c>
      <c r="B1413" s="1">
        <f>IFERROR(__xludf.DUMMYFUNCTION("""COMPUTED_VALUE"""),0.0)</f>
        <v>0</v>
      </c>
      <c r="C1413" s="1">
        <f>IFERROR(__xludf.DUMMYFUNCTION("""COMPUTED_VALUE"""),3.0)</f>
        <v>3</v>
      </c>
      <c r="D1413" s="1">
        <f>IFERROR(__xludf.DUMMYFUNCTION("""COMPUTED_VALUE"""),0.0)</f>
        <v>0</v>
      </c>
      <c r="E1413" s="1">
        <f>IFERROR(__xludf.DUMMYFUNCTION("""COMPUTED_VALUE"""),3.0)</f>
        <v>3</v>
      </c>
    </row>
    <row r="1414">
      <c r="A1414" s="1" t="str">
        <f>IFERROR(__xludf.DUMMYFUNCTION("""COMPUTED_VALUE"""),"HKTTHU2812")</f>
        <v>HKTTHU2812</v>
      </c>
      <c r="B1414" s="1">
        <f>IFERROR(__xludf.DUMMYFUNCTION("""COMPUTED_VALUE"""),0.0)</f>
        <v>0</v>
      </c>
      <c r="C1414" s="1">
        <f>IFERROR(__xludf.DUMMYFUNCTION("""COMPUTED_VALUE"""),9.0)</f>
        <v>9</v>
      </c>
      <c r="D1414" s="1">
        <f>IFERROR(__xludf.DUMMYFUNCTION("""COMPUTED_VALUE"""),0.0)</f>
        <v>0</v>
      </c>
      <c r="E1414" s="1">
        <f>IFERROR(__xludf.DUMMYFUNCTION("""COMPUTED_VALUE"""),9.0)</f>
        <v>9</v>
      </c>
    </row>
    <row r="1415">
      <c r="A1415" s="1" t="str">
        <f>IFERROR(__xludf.DUMMYFUNCTION("""COMPUTED_VALUE"""),"HKTTHU3528")</f>
        <v>HKTTHU3528</v>
      </c>
      <c r="B1415" s="1">
        <f>IFERROR(__xludf.DUMMYFUNCTION("""COMPUTED_VALUE"""),0.0)</f>
        <v>0</v>
      </c>
      <c r="C1415" s="1">
        <f>IFERROR(__xludf.DUMMYFUNCTION("""COMPUTED_VALUE"""),12.0)</f>
        <v>12</v>
      </c>
      <c r="D1415" s="1">
        <f>IFERROR(__xludf.DUMMYFUNCTION("""COMPUTED_VALUE"""),0.0)</f>
        <v>0</v>
      </c>
      <c r="E1415" s="1">
        <f>IFERROR(__xludf.DUMMYFUNCTION("""COMPUTED_VALUE"""),12.0)</f>
        <v>12</v>
      </c>
    </row>
    <row r="1416">
      <c r="A1416" s="1" t="str">
        <f>IFERROR(__xludf.DUMMYFUNCTION("""COMPUTED_VALUE"""),"HKTTHU5435")</f>
        <v>HKTTHU5435</v>
      </c>
      <c r="B1416" s="1">
        <f>IFERROR(__xludf.DUMMYFUNCTION("""COMPUTED_VALUE"""),0.0)</f>
        <v>0</v>
      </c>
      <c r="C1416" s="1">
        <f>IFERROR(__xludf.DUMMYFUNCTION("""COMPUTED_VALUE"""),2.0)</f>
        <v>2</v>
      </c>
      <c r="D1416" s="1">
        <f>IFERROR(__xludf.DUMMYFUNCTION("""COMPUTED_VALUE"""),0.0)</f>
        <v>0</v>
      </c>
      <c r="E1416" s="1">
        <f>IFERROR(__xludf.DUMMYFUNCTION("""COMPUTED_VALUE"""),2.0)</f>
        <v>2</v>
      </c>
    </row>
    <row r="1417">
      <c r="A1417" s="1" t="str">
        <f>IFERROR(__xludf.DUMMYFUNCTION("""COMPUTED_VALUE"""),"HKVBCG33T")</f>
        <v>HKVBCG33T</v>
      </c>
      <c r="B1417" s="1">
        <f>IFERROR(__xludf.DUMMYFUNCTION("""COMPUTED_VALUE"""),0.0)</f>
        <v>0</v>
      </c>
      <c r="C1417" s="1">
        <f>IFERROR(__xludf.DUMMYFUNCTION("""COMPUTED_VALUE"""),4.0)</f>
        <v>4</v>
      </c>
      <c r="D1417" s="1">
        <f>IFERROR(__xludf.DUMMYFUNCTION("""COMPUTED_VALUE"""),0.0)</f>
        <v>0</v>
      </c>
      <c r="E1417" s="1">
        <f>IFERROR(__xludf.DUMMYFUNCTION("""COMPUTED_VALUE"""),4.0)</f>
        <v>4</v>
      </c>
    </row>
    <row r="1418">
      <c r="A1418" s="1" t="str">
        <f>IFERROR(__xludf.DUMMYFUNCTION("""COMPUTED_VALUE"""),"HKVBCG37T")</f>
        <v>HKVBCG37T</v>
      </c>
      <c r="B1418" s="1">
        <f>IFERROR(__xludf.DUMMYFUNCTION("""COMPUTED_VALUE"""),0.0)</f>
        <v>0</v>
      </c>
      <c r="C1418" s="1">
        <f>IFERROR(__xludf.DUMMYFUNCTION("""COMPUTED_VALUE"""),14.0)</f>
        <v>14</v>
      </c>
      <c r="D1418" s="1">
        <f>IFERROR(__xludf.DUMMYFUNCTION("""COMPUTED_VALUE"""),0.0)</f>
        <v>0</v>
      </c>
      <c r="E1418" s="1">
        <f>IFERROR(__xludf.DUMMYFUNCTION("""COMPUTED_VALUE"""),14.0)</f>
        <v>14</v>
      </c>
    </row>
    <row r="1419">
      <c r="A1419" s="1" t="str">
        <f>IFERROR(__xludf.DUMMYFUNCTION("""COMPUTED_VALUE"""),"HKVBCG75T")</f>
        <v>HKVBCG75T</v>
      </c>
      <c r="B1419" s="1">
        <f>IFERROR(__xludf.DUMMYFUNCTION("""COMPUTED_VALUE"""),0.0)</f>
        <v>0</v>
      </c>
      <c r="C1419" s="1">
        <f>IFERROR(__xludf.DUMMYFUNCTION("""COMPUTED_VALUE"""),5.0)</f>
        <v>5</v>
      </c>
      <c r="D1419" s="1">
        <f>IFERROR(__xludf.DUMMYFUNCTION("""COMPUTED_VALUE"""),0.0)</f>
        <v>0</v>
      </c>
      <c r="E1419" s="1">
        <f>IFERROR(__xludf.DUMMYFUNCTION("""COMPUTED_VALUE"""),5.0)</f>
        <v>5</v>
      </c>
    </row>
    <row r="1420">
      <c r="A1420" s="1" t="str">
        <f>IFERROR(__xludf.DUMMYFUNCTION("""COMPUTED_VALUE"""),"JC07940EE15M")</f>
        <v>JC07940EE15M</v>
      </c>
      <c r="B1420" s="1">
        <f>IFERROR(__xludf.DUMMYFUNCTION("""COMPUTED_VALUE"""),0.0)</f>
        <v>0</v>
      </c>
      <c r="C1420" s="1">
        <f>IFERROR(__xludf.DUMMYFUNCTION("""COMPUTED_VALUE"""),1.0)</f>
        <v>1</v>
      </c>
      <c r="D1420" s="1">
        <f>IFERROR(__xludf.DUMMYFUNCTION("""COMPUTED_VALUE"""),0.0)</f>
        <v>0</v>
      </c>
      <c r="E1420" s="1">
        <f>IFERROR(__xludf.DUMMYFUNCTION("""COMPUTED_VALUE"""),1.0)</f>
        <v>1</v>
      </c>
    </row>
    <row r="1421">
      <c r="A1421" s="1" t="str">
        <f>IFERROR(__xludf.DUMMYFUNCTION("""COMPUTED_VALUE"""),"JC09520IA15M")</f>
        <v>JC09520IA15M</v>
      </c>
      <c r="B1421" s="1">
        <f>IFERROR(__xludf.DUMMYFUNCTION("""COMPUTED_VALUE"""),0.0)</f>
        <v>0</v>
      </c>
      <c r="C1421" s="1">
        <f>IFERROR(__xludf.DUMMYFUNCTION("""COMPUTED_VALUE"""),1.0)</f>
        <v>1</v>
      </c>
      <c r="D1421" s="1">
        <f>IFERROR(__xludf.DUMMYFUNCTION("""COMPUTED_VALUE"""),0.0)</f>
        <v>0</v>
      </c>
      <c r="E1421" s="1">
        <f>IFERROR(__xludf.DUMMYFUNCTION("""COMPUTED_VALUE"""),1.0)</f>
        <v>1</v>
      </c>
    </row>
    <row r="1422">
      <c r="A1422" s="1" t="str">
        <f>IFERROR(__xludf.DUMMYFUNCTION("""COMPUTED_VALUE"""),"JC12700IA15M")</f>
        <v>JC12700IA15M</v>
      </c>
      <c r="B1422" s="1">
        <f>IFERROR(__xludf.DUMMYFUNCTION("""COMPUTED_VALUE"""),0.0)</f>
        <v>0</v>
      </c>
      <c r="C1422" s="1">
        <f>IFERROR(__xludf.DUMMYFUNCTION("""COMPUTED_VALUE"""),2.0)</f>
        <v>2</v>
      </c>
      <c r="D1422" s="1">
        <f>IFERROR(__xludf.DUMMYFUNCTION("""COMPUTED_VALUE"""),0.0)</f>
        <v>0</v>
      </c>
      <c r="E1422" s="1">
        <f>IFERROR(__xludf.DUMMYFUNCTION("""COMPUTED_VALUE"""),2.0)</f>
        <v>2</v>
      </c>
    </row>
    <row r="1423">
      <c r="A1423" s="1" t="str">
        <f>IFERROR(__xludf.DUMMYFUNCTION("""COMPUTED_VALUE"""),"MAUHL1588071")</f>
        <v>MAUHL1588071</v>
      </c>
      <c r="B1423" s="1">
        <f>IFERROR(__xludf.DUMMYFUNCTION("""COMPUTED_VALUE"""),0.0)</f>
        <v>0</v>
      </c>
      <c r="C1423" s="1">
        <f>IFERROR(__xludf.DUMMYFUNCTION("""COMPUTED_VALUE"""),2.0)</f>
        <v>2</v>
      </c>
      <c r="D1423" s="1">
        <f>IFERROR(__xludf.DUMMYFUNCTION("""COMPUTED_VALUE"""),0.0)</f>
        <v>0</v>
      </c>
      <c r="E1423" s="1">
        <f>IFERROR(__xludf.DUMMYFUNCTION("""COMPUTED_VALUE"""),2.0)</f>
        <v>2</v>
      </c>
    </row>
    <row r="1424">
      <c r="A1424" s="1" t="str">
        <f>IFERROR(__xludf.DUMMYFUNCTION("""COMPUTED_VALUE"""),"MAUHL1905122")</f>
        <v>MAUHL1905122</v>
      </c>
      <c r="B1424" s="1">
        <f>IFERROR(__xludf.DUMMYFUNCTION("""COMPUTED_VALUE"""),0.0)</f>
        <v>0</v>
      </c>
      <c r="C1424" s="1">
        <f>IFERROR(__xludf.DUMMYFUNCTION("""COMPUTED_VALUE"""),5.0)</f>
        <v>5</v>
      </c>
      <c r="D1424" s="1">
        <f>IFERROR(__xludf.DUMMYFUNCTION("""COMPUTED_VALUE"""),0.0)</f>
        <v>0</v>
      </c>
      <c r="E1424" s="1">
        <f>IFERROR(__xludf.DUMMYFUNCTION("""COMPUTED_VALUE"""),5.0)</f>
        <v>5</v>
      </c>
    </row>
    <row r="1425">
      <c r="A1425" s="1" t="str">
        <f>IFERROR(__xludf.DUMMYFUNCTION("""COMPUTED_VALUE"""),"MAUOGB200")</f>
        <v>MAUOGB200</v>
      </c>
      <c r="B1425" s="1">
        <f>IFERROR(__xludf.DUMMYFUNCTION("""COMPUTED_VALUE"""),0.0)</f>
        <v>0</v>
      </c>
      <c r="C1425" s="1">
        <f>IFERROR(__xludf.DUMMYFUNCTION("""COMPUTED_VALUE"""),2.0)</f>
        <v>2</v>
      </c>
      <c r="D1425" s="1">
        <f>IFERROR(__xludf.DUMMYFUNCTION("""COMPUTED_VALUE"""),0.0)</f>
        <v>0</v>
      </c>
      <c r="E1425" s="1">
        <f>IFERROR(__xludf.DUMMYFUNCTION("""COMPUTED_VALUE"""),2.0)</f>
        <v>2</v>
      </c>
    </row>
    <row r="1426">
      <c r="A1426" s="1" t="str">
        <f>IFERROR(__xludf.DUMMYFUNCTION("""COMPUTED_VALUE"""),"MAUOGB250")</f>
        <v>MAUOGB250</v>
      </c>
      <c r="B1426" s="1">
        <f>IFERROR(__xludf.DUMMYFUNCTION("""COMPUTED_VALUE"""),0.0)</f>
        <v>0</v>
      </c>
      <c r="C1426" s="1">
        <f>IFERROR(__xludf.DUMMYFUNCTION("""COMPUTED_VALUE"""),2.0)</f>
        <v>2</v>
      </c>
      <c r="D1426" s="1">
        <f>IFERROR(__xludf.DUMMYFUNCTION("""COMPUTED_VALUE"""),0.0)</f>
        <v>0</v>
      </c>
      <c r="E1426" s="1">
        <f>IFERROR(__xludf.DUMMYFUNCTION("""COMPUTED_VALUE"""),2.0)</f>
        <v>2</v>
      </c>
    </row>
    <row r="1427">
      <c r="A1427" s="1" t="str">
        <f>IFERROR(__xludf.DUMMYFUNCTION("""COMPUTED_VALUE"""),"MAUOGB300")</f>
        <v>MAUOGB300</v>
      </c>
      <c r="B1427" s="1">
        <f>IFERROR(__xludf.DUMMYFUNCTION("""COMPUTED_VALUE"""),0.0)</f>
        <v>0</v>
      </c>
      <c r="C1427" s="1">
        <f>IFERROR(__xludf.DUMMYFUNCTION("""COMPUTED_VALUE"""),2.0)</f>
        <v>2</v>
      </c>
      <c r="D1427" s="1">
        <f>IFERROR(__xludf.DUMMYFUNCTION("""COMPUTED_VALUE"""),0.0)</f>
        <v>0</v>
      </c>
      <c r="E1427" s="1">
        <f>IFERROR(__xludf.DUMMYFUNCTION("""COMPUTED_VALUE"""),2.0)</f>
        <v>2</v>
      </c>
    </row>
    <row r="1428">
      <c r="A1428" s="1" t="str">
        <f>IFERROR(__xludf.DUMMYFUNCTION("""COMPUTED_VALUE"""),"MAUOGB350")</f>
        <v>MAUOGB350</v>
      </c>
      <c r="B1428" s="1">
        <f>IFERROR(__xludf.DUMMYFUNCTION("""COMPUTED_VALUE"""),0.0)</f>
        <v>0</v>
      </c>
      <c r="C1428" s="1">
        <f>IFERROR(__xludf.DUMMYFUNCTION("""COMPUTED_VALUE"""),2.0)</f>
        <v>2</v>
      </c>
      <c r="D1428" s="1">
        <f>IFERROR(__xludf.DUMMYFUNCTION("""COMPUTED_VALUE"""),0.0)</f>
        <v>0</v>
      </c>
      <c r="E1428" s="1">
        <f>IFERROR(__xludf.DUMMYFUNCTION("""COMPUTED_VALUE"""),2.0)</f>
        <v>2</v>
      </c>
    </row>
    <row r="1429">
      <c r="A1429" s="1" t="str">
        <f>IFERROR(__xludf.DUMMYFUNCTION("""COMPUTED_VALUE"""),"MAUOGT200")</f>
        <v>MAUOGT200</v>
      </c>
      <c r="B1429" s="1">
        <f>IFERROR(__xludf.DUMMYFUNCTION("""COMPUTED_VALUE"""),0.0)</f>
        <v>0</v>
      </c>
      <c r="C1429" s="1">
        <f>IFERROR(__xludf.DUMMYFUNCTION("""COMPUTED_VALUE"""),2.0)</f>
        <v>2</v>
      </c>
      <c r="D1429" s="1">
        <f>IFERROR(__xludf.DUMMYFUNCTION("""COMPUTED_VALUE"""),0.0)</f>
        <v>0</v>
      </c>
      <c r="E1429" s="1">
        <f>IFERROR(__xludf.DUMMYFUNCTION("""COMPUTED_VALUE"""),2.0)</f>
        <v>2</v>
      </c>
    </row>
    <row r="1430">
      <c r="A1430" s="1" t="str">
        <f>IFERROR(__xludf.DUMMYFUNCTION("""COMPUTED_VALUE"""),"MAUOSUP114x25C0")</f>
        <v>MAUOSUP114x25C0</v>
      </c>
      <c r="B1430" s="1">
        <f>IFERROR(__xludf.DUMMYFUNCTION("""COMPUTED_VALUE"""),0.0)</f>
        <v>0</v>
      </c>
      <c r="C1430" s="1">
        <f>IFERROR(__xludf.DUMMYFUNCTION("""COMPUTED_VALUE"""),1.0)</f>
        <v>1</v>
      </c>
      <c r="D1430" s="1">
        <f>IFERROR(__xludf.DUMMYFUNCTION("""COMPUTED_VALUE"""),0.0)</f>
        <v>0</v>
      </c>
      <c r="E1430" s="1">
        <f>IFERROR(__xludf.DUMMYFUNCTION("""COMPUTED_VALUE"""),1.0)</f>
        <v>1</v>
      </c>
    </row>
    <row r="1431">
      <c r="A1431" s="1" t="str">
        <f>IFERROR(__xludf.DUMMYFUNCTION("""COMPUTED_VALUE"""),"MAUOSUP22x10")</f>
        <v>MAUOSUP22x10</v>
      </c>
      <c r="B1431" s="1">
        <f>IFERROR(__xludf.DUMMYFUNCTION("""COMPUTED_VALUE"""),0.0)</f>
        <v>0</v>
      </c>
      <c r="C1431" s="1">
        <f>IFERROR(__xludf.DUMMYFUNCTION("""COMPUTED_VALUE"""),4.0)</f>
        <v>4</v>
      </c>
      <c r="D1431" s="1">
        <f>IFERROR(__xludf.DUMMYFUNCTION("""COMPUTED_VALUE"""),0.0)</f>
        <v>0</v>
      </c>
      <c r="E1431" s="1">
        <f>IFERROR(__xludf.DUMMYFUNCTION("""COMPUTED_VALUE"""),4.0)</f>
        <v>4</v>
      </c>
    </row>
    <row r="1432">
      <c r="A1432" s="1" t="str">
        <f>IFERROR(__xludf.DUMMYFUNCTION("""COMPUTED_VALUE"""),"MAUOSUP22x13")</f>
        <v>MAUOSUP22x13</v>
      </c>
      <c r="B1432" s="1">
        <f>IFERROR(__xludf.DUMMYFUNCTION("""COMPUTED_VALUE"""),0.0)</f>
        <v>0</v>
      </c>
      <c r="C1432" s="1">
        <f>IFERROR(__xludf.DUMMYFUNCTION("""COMPUTED_VALUE"""),27.0)</f>
        <v>27</v>
      </c>
      <c r="D1432" s="1">
        <f>IFERROR(__xludf.DUMMYFUNCTION("""COMPUTED_VALUE"""),0.0)</f>
        <v>0</v>
      </c>
      <c r="E1432" s="1">
        <f>IFERROR(__xludf.DUMMYFUNCTION("""COMPUTED_VALUE"""),27.0)</f>
        <v>27</v>
      </c>
    </row>
    <row r="1433">
      <c r="A1433" s="1" t="str">
        <f>IFERROR(__xludf.DUMMYFUNCTION("""COMPUTED_VALUE"""),"MAUOSUP25x19")</f>
        <v>MAUOSUP25x19</v>
      </c>
      <c r="B1433" s="1">
        <f>IFERROR(__xludf.DUMMYFUNCTION("""COMPUTED_VALUE"""),0.0)</f>
        <v>0</v>
      </c>
      <c r="C1433" s="1">
        <f>IFERROR(__xludf.DUMMYFUNCTION("""COMPUTED_VALUE"""),7.0)</f>
        <v>7</v>
      </c>
      <c r="D1433" s="1">
        <f>IFERROR(__xludf.DUMMYFUNCTION("""COMPUTED_VALUE"""),0.0)</f>
        <v>0</v>
      </c>
      <c r="E1433" s="1">
        <f>IFERROR(__xludf.DUMMYFUNCTION("""COMPUTED_VALUE"""),7.0)</f>
        <v>7</v>
      </c>
    </row>
    <row r="1434">
      <c r="A1434" s="1" t="str">
        <f>IFERROR(__xludf.DUMMYFUNCTION("""COMPUTED_VALUE"""),"MAUOSUP25x25")</f>
        <v>MAUOSUP25x25</v>
      </c>
      <c r="B1434" s="1">
        <f>IFERROR(__xludf.DUMMYFUNCTION("""COMPUTED_VALUE"""),0.0)</f>
        <v>0</v>
      </c>
      <c r="C1434" s="1">
        <f>IFERROR(__xludf.DUMMYFUNCTION("""COMPUTED_VALUE"""),14.0)</f>
        <v>14</v>
      </c>
      <c r="D1434" s="1">
        <f>IFERROR(__xludf.DUMMYFUNCTION("""COMPUTED_VALUE"""),0.0)</f>
        <v>0</v>
      </c>
      <c r="E1434" s="1">
        <f>IFERROR(__xludf.DUMMYFUNCTION("""COMPUTED_VALUE"""),14.0)</f>
        <v>14</v>
      </c>
    </row>
    <row r="1435">
      <c r="A1435" s="1" t="str">
        <f>IFERROR(__xludf.DUMMYFUNCTION("""COMPUTED_VALUE"""),"MAUOSUP32x19")</f>
        <v>MAUOSUP32x19</v>
      </c>
      <c r="B1435" s="1">
        <f>IFERROR(__xludf.DUMMYFUNCTION("""COMPUTED_VALUE"""),0.0)</f>
        <v>0</v>
      </c>
      <c r="C1435" s="1">
        <f>IFERROR(__xludf.DUMMYFUNCTION("""COMPUTED_VALUE"""),9.0)</f>
        <v>9</v>
      </c>
      <c r="D1435" s="1">
        <f>IFERROR(__xludf.DUMMYFUNCTION("""COMPUTED_VALUE"""),0.0)</f>
        <v>0</v>
      </c>
      <c r="E1435" s="1">
        <f>IFERROR(__xludf.DUMMYFUNCTION("""COMPUTED_VALUE"""),9.0)</f>
        <v>9</v>
      </c>
    </row>
    <row r="1436">
      <c r="A1436" s="1" t="str">
        <f>IFERROR(__xludf.DUMMYFUNCTION("""COMPUTED_VALUE"""),"MAUOSUP32x25")</f>
        <v>MAUOSUP32x25</v>
      </c>
      <c r="B1436" s="1">
        <f>IFERROR(__xludf.DUMMYFUNCTION("""COMPUTED_VALUE"""),0.0)</f>
        <v>0</v>
      </c>
      <c r="C1436" s="1">
        <f>IFERROR(__xludf.DUMMYFUNCTION("""COMPUTED_VALUE"""),10.0)</f>
        <v>10</v>
      </c>
      <c r="D1436" s="1">
        <f>IFERROR(__xludf.DUMMYFUNCTION("""COMPUTED_VALUE"""),0.0)</f>
        <v>0</v>
      </c>
      <c r="E1436" s="1">
        <f>IFERROR(__xludf.DUMMYFUNCTION("""COMPUTED_VALUE"""),10.0)</f>
        <v>10</v>
      </c>
    </row>
    <row r="1437">
      <c r="A1437" s="1" t="str">
        <f>IFERROR(__xludf.DUMMYFUNCTION("""COMPUTED_VALUE"""),"MAUOSUP35x19")</f>
        <v>MAUOSUP35x19</v>
      </c>
      <c r="B1437" s="1">
        <f>IFERROR(__xludf.DUMMYFUNCTION("""COMPUTED_VALUE"""),0.0)</f>
        <v>0</v>
      </c>
      <c r="C1437" s="1">
        <f>IFERROR(__xludf.DUMMYFUNCTION("""COMPUTED_VALUE"""),26.0)</f>
        <v>26</v>
      </c>
      <c r="D1437" s="1">
        <f>IFERROR(__xludf.DUMMYFUNCTION("""COMPUTED_VALUE"""),0.0)</f>
        <v>0</v>
      </c>
      <c r="E1437" s="1">
        <f>IFERROR(__xludf.DUMMYFUNCTION("""COMPUTED_VALUE"""),26.0)</f>
        <v>26</v>
      </c>
    </row>
    <row r="1438">
      <c r="A1438" s="1" t="str">
        <f>IFERROR(__xludf.DUMMYFUNCTION("""COMPUTED_VALUE"""),"MAUOSUP48x25C0")</f>
        <v>MAUOSUP48x25C0</v>
      </c>
      <c r="B1438" s="1">
        <f>IFERROR(__xludf.DUMMYFUNCTION("""COMPUTED_VALUE"""),0.0)</f>
        <v>0</v>
      </c>
      <c r="C1438" s="1">
        <f>IFERROR(__xludf.DUMMYFUNCTION("""COMPUTED_VALUE"""),1.0)</f>
        <v>1</v>
      </c>
      <c r="D1438" s="1">
        <f>IFERROR(__xludf.DUMMYFUNCTION("""COMPUTED_VALUE"""),0.0)</f>
        <v>0</v>
      </c>
      <c r="E1438" s="1">
        <f>IFERROR(__xludf.DUMMYFUNCTION("""COMPUTED_VALUE"""),1.0)</f>
        <v>1</v>
      </c>
    </row>
    <row r="1439">
      <c r="A1439" s="1" t="str">
        <f>IFERROR(__xludf.DUMMYFUNCTION("""COMPUTED_VALUE"""),"MAUOSUP60x25C0")</f>
        <v>MAUOSUP60x25C0</v>
      </c>
      <c r="B1439" s="1">
        <f>IFERROR(__xludf.DUMMYFUNCTION("""COMPUTED_VALUE"""),0.0)</f>
        <v>0</v>
      </c>
      <c r="C1439" s="1">
        <f>IFERROR(__xludf.DUMMYFUNCTION("""COMPUTED_VALUE"""),1.0)</f>
        <v>1</v>
      </c>
      <c r="D1439" s="1">
        <f>IFERROR(__xludf.DUMMYFUNCTION("""COMPUTED_VALUE"""),0.0)</f>
        <v>0</v>
      </c>
      <c r="E1439" s="1">
        <f>IFERROR(__xludf.DUMMYFUNCTION("""COMPUTED_VALUE"""),1.0)</f>
        <v>1</v>
      </c>
    </row>
    <row r="1440">
      <c r="A1440" s="1" t="str">
        <f>IFERROR(__xludf.DUMMYFUNCTION("""COMPUTED_VALUE"""),"MAUOSUPVN06x13")</f>
        <v>MAUOSUPVN06x13</v>
      </c>
      <c r="B1440" s="1">
        <f>IFERROR(__xludf.DUMMYFUNCTION("""COMPUTED_VALUE"""),0.0)</f>
        <v>0</v>
      </c>
      <c r="C1440" s="1">
        <f>IFERROR(__xludf.DUMMYFUNCTION("""COMPUTED_VALUE"""),22.0)</f>
        <v>22</v>
      </c>
      <c r="D1440" s="1">
        <f>IFERROR(__xludf.DUMMYFUNCTION("""COMPUTED_VALUE"""),0.0)</f>
        <v>0</v>
      </c>
      <c r="E1440" s="1">
        <f>IFERROR(__xludf.DUMMYFUNCTION("""COMPUTED_VALUE"""),22.0)</f>
        <v>22</v>
      </c>
    </row>
    <row r="1441">
      <c r="A1441" s="1" t="str">
        <f>IFERROR(__xludf.DUMMYFUNCTION("""COMPUTED_VALUE"""),"MAUOSUPVN06x19")</f>
        <v>MAUOSUPVN06x19</v>
      </c>
      <c r="B1441" s="1">
        <f>IFERROR(__xludf.DUMMYFUNCTION("""COMPUTED_VALUE"""),0.0)</f>
        <v>0</v>
      </c>
      <c r="C1441" s="1">
        <f>IFERROR(__xludf.DUMMYFUNCTION("""COMPUTED_VALUE"""),10.0)</f>
        <v>10</v>
      </c>
      <c r="D1441" s="1">
        <f>IFERROR(__xludf.DUMMYFUNCTION("""COMPUTED_VALUE"""),0.0)</f>
        <v>0</v>
      </c>
      <c r="E1441" s="1">
        <f>IFERROR(__xludf.DUMMYFUNCTION("""COMPUTED_VALUE"""),10.0)</f>
        <v>10</v>
      </c>
    </row>
    <row r="1442">
      <c r="A1442" s="1" t="str">
        <f>IFERROR(__xludf.DUMMYFUNCTION("""COMPUTED_VALUE"""),"MAUOSUPVN10x19")</f>
        <v>MAUOSUPVN10x19</v>
      </c>
      <c r="B1442" s="1">
        <f>IFERROR(__xludf.DUMMYFUNCTION("""COMPUTED_VALUE"""),0.0)</f>
        <v>0</v>
      </c>
      <c r="C1442" s="1">
        <f>IFERROR(__xludf.DUMMYFUNCTION("""COMPUTED_VALUE"""),12.0)</f>
        <v>12</v>
      </c>
      <c r="D1442" s="1">
        <f>IFERROR(__xludf.DUMMYFUNCTION("""COMPUTED_VALUE"""),0.0)</f>
        <v>0</v>
      </c>
      <c r="E1442" s="1">
        <f>IFERROR(__xludf.DUMMYFUNCTION("""COMPUTED_VALUE"""),12.0)</f>
        <v>12</v>
      </c>
    </row>
    <row r="1443">
      <c r="A1443" s="1" t="str">
        <f>IFERROR(__xludf.DUMMYFUNCTION("""COMPUTED_VALUE"""),"MAUOSUPVN13x19")</f>
        <v>MAUOSUPVN13x19</v>
      </c>
      <c r="B1443" s="1">
        <f>IFERROR(__xludf.DUMMYFUNCTION("""COMPUTED_VALUE"""),0.0)</f>
        <v>0</v>
      </c>
      <c r="C1443" s="1">
        <f>IFERROR(__xludf.DUMMYFUNCTION("""COMPUTED_VALUE"""),6.0)</f>
        <v>6</v>
      </c>
      <c r="D1443" s="1">
        <f>IFERROR(__xludf.DUMMYFUNCTION("""COMPUTED_VALUE"""),0.0)</f>
        <v>0</v>
      </c>
      <c r="E1443" s="1">
        <f>IFERROR(__xludf.DUMMYFUNCTION("""COMPUTED_VALUE"""),6.0)</f>
        <v>6</v>
      </c>
    </row>
    <row r="1444">
      <c r="A1444" s="1" t="str">
        <f>IFERROR(__xludf.DUMMYFUNCTION("""COMPUTED_VALUE"""),"MAUOSUPVN19x13")</f>
        <v>MAUOSUPVN19x13</v>
      </c>
      <c r="B1444" s="1">
        <f>IFERROR(__xludf.DUMMYFUNCTION("""COMPUTED_VALUE"""),0.0)</f>
        <v>0</v>
      </c>
      <c r="C1444" s="1">
        <f>IFERROR(__xludf.DUMMYFUNCTION("""COMPUTED_VALUE"""),16.0)</f>
        <v>16</v>
      </c>
      <c r="D1444" s="1">
        <f>IFERROR(__xludf.DUMMYFUNCTION("""COMPUTED_VALUE"""),0.0)</f>
        <v>0</v>
      </c>
      <c r="E1444" s="1">
        <f>IFERROR(__xludf.DUMMYFUNCTION("""COMPUTED_VALUE"""),16.0)</f>
        <v>16</v>
      </c>
    </row>
    <row r="1445">
      <c r="A1445" s="1" t="str">
        <f>IFERROR(__xludf.DUMMYFUNCTION("""COMPUTED_VALUE"""),"MAUOSUPVN22x19")</f>
        <v>MAUOSUPVN22x19</v>
      </c>
      <c r="B1445" s="1">
        <f>IFERROR(__xludf.DUMMYFUNCTION("""COMPUTED_VALUE"""),0.0)</f>
        <v>0</v>
      </c>
      <c r="C1445" s="1">
        <f>IFERROR(__xludf.DUMMYFUNCTION("""COMPUTED_VALUE"""),7.0)</f>
        <v>7</v>
      </c>
      <c r="D1445" s="1">
        <f>IFERROR(__xludf.DUMMYFUNCTION("""COMPUTED_VALUE"""),0.0)</f>
        <v>0</v>
      </c>
      <c r="E1445" s="1">
        <f>IFERROR(__xludf.DUMMYFUNCTION("""COMPUTED_VALUE"""),7.0)</f>
        <v>7</v>
      </c>
    </row>
    <row r="1446">
      <c r="A1446" s="1" t="str">
        <f>IFERROR(__xludf.DUMMYFUNCTION("""COMPUTED_VALUE"""),"MAUOSUPVN28x10")</f>
        <v>MAUOSUPVN28x10</v>
      </c>
      <c r="B1446" s="1">
        <f>IFERROR(__xludf.DUMMYFUNCTION("""COMPUTED_VALUE"""),0.0)</f>
        <v>0</v>
      </c>
      <c r="C1446" s="1">
        <f>IFERROR(__xludf.DUMMYFUNCTION("""COMPUTED_VALUE"""),16.0)</f>
        <v>16</v>
      </c>
      <c r="D1446" s="1">
        <f>IFERROR(__xludf.DUMMYFUNCTION("""COMPUTED_VALUE"""),0.0)</f>
        <v>0</v>
      </c>
      <c r="E1446" s="1">
        <f>IFERROR(__xludf.DUMMYFUNCTION("""COMPUTED_VALUE"""),16.0)</f>
        <v>16</v>
      </c>
    </row>
    <row r="1447">
      <c r="A1447" s="1" t="str">
        <f>IFERROR(__xludf.DUMMYFUNCTION("""COMPUTED_VALUE"""),"MAUOSUPVN28x19")</f>
        <v>MAUOSUPVN28x19</v>
      </c>
      <c r="B1447" s="1">
        <f>IFERROR(__xludf.DUMMYFUNCTION("""COMPUTED_VALUE"""),0.0)</f>
        <v>0</v>
      </c>
      <c r="C1447" s="1">
        <f>IFERROR(__xludf.DUMMYFUNCTION("""COMPUTED_VALUE"""),9.0)</f>
        <v>9</v>
      </c>
      <c r="D1447" s="1">
        <f>IFERROR(__xludf.DUMMYFUNCTION("""COMPUTED_VALUE"""),0.0)</f>
        <v>0</v>
      </c>
      <c r="E1447" s="1">
        <f>IFERROR(__xludf.DUMMYFUNCTION("""COMPUTED_VALUE"""),9.0)</f>
        <v>9</v>
      </c>
    </row>
    <row r="1448">
      <c r="A1448" s="1" t="str">
        <f>IFERROR(__xludf.DUMMYFUNCTION("""COMPUTED_VALUE"""),"MAUOSUPVN35x10")</f>
        <v>MAUOSUPVN35x10</v>
      </c>
      <c r="B1448" s="1">
        <f>IFERROR(__xludf.DUMMYFUNCTION("""COMPUTED_VALUE"""),0.0)</f>
        <v>0</v>
      </c>
      <c r="C1448" s="1">
        <f>IFERROR(__xludf.DUMMYFUNCTION("""COMPUTED_VALUE"""),20.0)</f>
        <v>20</v>
      </c>
      <c r="D1448" s="1">
        <f>IFERROR(__xludf.DUMMYFUNCTION("""COMPUTED_VALUE"""),0.0)</f>
        <v>0</v>
      </c>
      <c r="E1448" s="1">
        <f>IFERROR(__xludf.DUMMYFUNCTION("""COMPUTED_VALUE"""),20.0)</f>
        <v>20</v>
      </c>
    </row>
    <row r="1449">
      <c r="A1449" s="1" t="str">
        <f>IFERROR(__xludf.DUMMYFUNCTION("""COMPUTED_VALUE"""),"MAUOSUPVN35x13")</f>
        <v>MAUOSUPVN35x13</v>
      </c>
      <c r="B1449" s="1">
        <f>IFERROR(__xludf.DUMMYFUNCTION("""COMPUTED_VALUE"""),0.0)</f>
        <v>0</v>
      </c>
      <c r="C1449" s="1">
        <f>IFERROR(__xludf.DUMMYFUNCTION("""COMPUTED_VALUE"""),12.0)</f>
        <v>12</v>
      </c>
      <c r="D1449" s="1">
        <f>IFERROR(__xludf.DUMMYFUNCTION("""COMPUTED_VALUE"""),0.0)</f>
        <v>0</v>
      </c>
      <c r="E1449" s="1">
        <f>IFERROR(__xludf.DUMMYFUNCTION("""COMPUTED_VALUE"""),12.0)</f>
        <v>12</v>
      </c>
    </row>
    <row r="1450">
      <c r="A1450" s="1" t="str">
        <f>IFERROR(__xludf.DUMMYFUNCTION("""COMPUTED_VALUE"""),"MAUOSUPVN35x19")</f>
        <v>MAUOSUPVN35x19</v>
      </c>
      <c r="B1450" s="1">
        <f>IFERROR(__xludf.DUMMYFUNCTION("""COMPUTED_VALUE"""),0.0)</f>
        <v>0</v>
      </c>
      <c r="C1450" s="1">
        <f>IFERROR(__xludf.DUMMYFUNCTION("""COMPUTED_VALUE"""),4.0)</f>
        <v>4</v>
      </c>
      <c r="D1450" s="1">
        <f>IFERROR(__xludf.DUMMYFUNCTION("""COMPUTED_VALUE"""),0.0)</f>
        <v>0</v>
      </c>
      <c r="E1450" s="1">
        <f>IFERROR(__xludf.DUMMYFUNCTION("""COMPUTED_VALUE"""),4.0)</f>
        <v>4</v>
      </c>
    </row>
    <row r="1451">
      <c r="A1451" s="1" t="str">
        <f>IFERROR(__xludf.DUMMYFUNCTION("""COMPUTED_VALUE"""),"MAUOSUPVN42x10")</f>
        <v>MAUOSUPVN42x10</v>
      </c>
      <c r="B1451" s="1">
        <f>IFERROR(__xludf.DUMMYFUNCTION("""COMPUTED_VALUE"""),0.0)</f>
        <v>0</v>
      </c>
      <c r="C1451" s="1">
        <f>IFERROR(__xludf.DUMMYFUNCTION("""COMPUTED_VALUE"""),16.0)</f>
        <v>16</v>
      </c>
      <c r="D1451" s="1">
        <f>IFERROR(__xludf.DUMMYFUNCTION("""COMPUTED_VALUE"""),0.0)</f>
        <v>0</v>
      </c>
      <c r="E1451" s="1">
        <f>IFERROR(__xludf.DUMMYFUNCTION("""COMPUTED_VALUE"""),16.0)</f>
        <v>16</v>
      </c>
    </row>
    <row r="1452">
      <c r="A1452" s="1" t="str">
        <f>IFERROR(__xludf.DUMMYFUNCTION("""COMPUTED_VALUE"""),"MAUOSUPVN42x13")</f>
        <v>MAUOSUPVN42x13</v>
      </c>
      <c r="B1452" s="1">
        <f>IFERROR(__xludf.DUMMYFUNCTION("""COMPUTED_VALUE"""),0.0)</f>
        <v>0</v>
      </c>
      <c r="C1452" s="1">
        <f>IFERROR(__xludf.DUMMYFUNCTION("""COMPUTED_VALUE"""),16.0)</f>
        <v>16</v>
      </c>
      <c r="D1452" s="1">
        <f>IFERROR(__xludf.DUMMYFUNCTION("""COMPUTED_VALUE"""),0.0)</f>
        <v>0</v>
      </c>
      <c r="E1452" s="1">
        <f>IFERROR(__xludf.DUMMYFUNCTION("""COMPUTED_VALUE"""),16.0)</f>
        <v>16</v>
      </c>
    </row>
    <row r="1453">
      <c r="A1453" s="1" t="str">
        <f>IFERROR(__xludf.DUMMYFUNCTION("""COMPUTED_VALUE"""),"MAUOSUPVN42x19")</f>
        <v>MAUOSUPVN42x19</v>
      </c>
      <c r="B1453" s="1">
        <f>IFERROR(__xludf.DUMMYFUNCTION("""COMPUTED_VALUE"""),0.0)</f>
        <v>0</v>
      </c>
      <c r="C1453" s="1">
        <f>IFERROR(__xludf.DUMMYFUNCTION("""COMPUTED_VALUE"""),6.0)</f>
        <v>6</v>
      </c>
      <c r="D1453" s="1">
        <f>IFERROR(__xludf.DUMMYFUNCTION("""COMPUTED_VALUE"""),0.0)</f>
        <v>0</v>
      </c>
      <c r="E1453" s="1">
        <f>IFERROR(__xludf.DUMMYFUNCTION("""COMPUTED_VALUE"""),6.0)</f>
        <v>6</v>
      </c>
    </row>
    <row r="1454">
      <c r="A1454" s="1" t="str">
        <f>IFERROR(__xludf.DUMMYFUNCTION("""COMPUTED_VALUE"""),"MAUOSUPVN48x10")</f>
        <v>MAUOSUPVN48x10</v>
      </c>
      <c r="B1454" s="1">
        <f>IFERROR(__xludf.DUMMYFUNCTION("""COMPUTED_VALUE"""),0.0)</f>
        <v>0</v>
      </c>
      <c r="C1454" s="1">
        <f>IFERROR(__xludf.DUMMYFUNCTION("""COMPUTED_VALUE"""),20.0)</f>
        <v>20</v>
      </c>
      <c r="D1454" s="1">
        <f>IFERROR(__xludf.DUMMYFUNCTION("""COMPUTED_VALUE"""),0.0)</f>
        <v>0</v>
      </c>
      <c r="E1454" s="1">
        <f>IFERROR(__xludf.DUMMYFUNCTION("""COMPUTED_VALUE"""),20.0)</f>
        <v>20</v>
      </c>
    </row>
    <row r="1455">
      <c r="A1455" s="1" t="str">
        <f>IFERROR(__xludf.DUMMYFUNCTION("""COMPUTED_VALUE"""),"MAUOSUPVN48x19")</f>
        <v>MAUOSUPVN48x19</v>
      </c>
      <c r="B1455" s="1">
        <f>IFERROR(__xludf.DUMMYFUNCTION("""COMPUTED_VALUE"""),0.0)</f>
        <v>0</v>
      </c>
      <c r="C1455" s="1">
        <f>IFERROR(__xludf.DUMMYFUNCTION("""COMPUTED_VALUE"""),10.0)</f>
        <v>10</v>
      </c>
      <c r="D1455" s="1">
        <f>IFERROR(__xludf.DUMMYFUNCTION("""COMPUTED_VALUE"""),0.0)</f>
        <v>0</v>
      </c>
      <c r="E1455" s="1">
        <f>IFERROR(__xludf.DUMMYFUNCTION("""COMPUTED_VALUE"""),10.0)</f>
        <v>10</v>
      </c>
    </row>
    <row r="1456">
      <c r="A1456" s="1" t="str">
        <f>IFERROR(__xludf.DUMMYFUNCTION("""COMPUTED_VALUE"""),"MAUOSUPVN48x25")</f>
        <v>MAUOSUPVN48x25</v>
      </c>
      <c r="B1456" s="1">
        <f>IFERROR(__xludf.DUMMYFUNCTION("""COMPUTED_VALUE"""),0.0)</f>
        <v>0</v>
      </c>
      <c r="C1456" s="1">
        <f>IFERROR(__xludf.DUMMYFUNCTION("""COMPUTED_VALUE"""),10.0)</f>
        <v>10</v>
      </c>
      <c r="D1456" s="1">
        <f>IFERROR(__xludf.DUMMYFUNCTION("""COMPUTED_VALUE"""),0.0)</f>
        <v>0</v>
      </c>
      <c r="E1456" s="1">
        <f>IFERROR(__xludf.DUMMYFUNCTION("""COMPUTED_VALUE"""),10.0)</f>
        <v>10</v>
      </c>
    </row>
    <row r="1457">
      <c r="A1457" s="1" t="str">
        <f>IFERROR(__xludf.DUMMYFUNCTION("""COMPUTED_VALUE"""),"MAUOSUPVN54x25")</f>
        <v>MAUOSUPVN54x25</v>
      </c>
      <c r="B1457" s="1">
        <f>IFERROR(__xludf.DUMMYFUNCTION("""COMPUTED_VALUE"""),0.0)</f>
        <v>0</v>
      </c>
      <c r="C1457" s="1">
        <f>IFERROR(__xludf.DUMMYFUNCTION("""COMPUTED_VALUE"""),8.0)</f>
        <v>8</v>
      </c>
      <c r="D1457" s="1">
        <f>IFERROR(__xludf.DUMMYFUNCTION("""COMPUTED_VALUE"""),0.0)</f>
        <v>0</v>
      </c>
      <c r="E1457" s="1">
        <f>IFERROR(__xludf.DUMMYFUNCTION("""COMPUTED_VALUE"""),8.0)</f>
        <v>8</v>
      </c>
    </row>
    <row r="1458">
      <c r="A1458" s="1" t="str">
        <f>IFERROR(__xludf.DUMMYFUNCTION("""COMPUTED_VALUE"""),"MAUOSUPVN60x10")</f>
        <v>MAUOSUPVN60x10</v>
      </c>
      <c r="B1458" s="1">
        <f>IFERROR(__xludf.DUMMYFUNCTION("""COMPUTED_VALUE"""),0.0)</f>
        <v>0</v>
      </c>
      <c r="C1458" s="1">
        <f>IFERROR(__xludf.DUMMYFUNCTION("""COMPUTED_VALUE"""),7.0)</f>
        <v>7</v>
      </c>
      <c r="D1458" s="1">
        <f>IFERROR(__xludf.DUMMYFUNCTION("""COMPUTED_VALUE"""),0.0)</f>
        <v>0</v>
      </c>
      <c r="E1458" s="1">
        <f>IFERROR(__xludf.DUMMYFUNCTION("""COMPUTED_VALUE"""),7.0)</f>
        <v>7</v>
      </c>
    </row>
    <row r="1459">
      <c r="A1459" s="1" t="str">
        <f>IFERROR(__xludf.DUMMYFUNCTION("""COMPUTED_VALUE"""),"MAUOSUPVN60x13")</f>
        <v>MAUOSUPVN60x13</v>
      </c>
      <c r="B1459" s="1">
        <f>IFERROR(__xludf.DUMMYFUNCTION("""COMPUTED_VALUE"""),0.0)</f>
        <v>0</v>
      </c>
      <c r="C1459" s="1">
        <f>IFERROR(__xludf.DUMMYFUNCTION("""COMPUTED_VALUE"""),5.0)</f>
        <v>5</v>
      </c>
      <c r="D1459" s="1">
        <f>IFERROR(__xludf.DUMMYFUNCTION("""COMPUTED_VALUE"""),0.0)</f>
        <v>0</v>
      </c>
      <c r="E1459" s="1">
        <f>IFERROR(__xludf.DUMMYFUNCTION("""COMPUTED_VALUE"""),5.0)</f>
        <v>5</v>
      </c>
    </row>
    <row r="1460">
      <c r="A1460" s="1" t="str">
        <f>IFERROR(__xludf.DUMMYFUNCTION("""COMPUTED_VALUE"""),"MAUTASUD25122914C0B")</f>
        <v>MAUTASUD25122914C0B</v>
      </c>
      <c r="B1460" s="1">
        <f>IFERROR(__xludf.DUMMYFUNCTION("""COMPUTED_VALUE"""),0.0)</f>
        <v>0</v>
      </c>
      <c r="C1460" s="1">
        <f>IFERROR(__xludf.DUMMYFUNCTION("""COMPUTED_VALUE"""),1.0)</f>
        <v>1</v>
      </c>
      <c r="D1460" s="1">
        <f>IFERROR(__xludf.DUMMYFUNCTION("""COMPUTED_VALUE"""),0.0)</f>
        <v>0</v>
      </c>
      <c r="E1460" s="1">
        <f>IFERROR(__xludf.DUMMYFUNCTION("""COMPUTED_VALUE"""),1.0)</f>
        <v>1</v>
      </c>
    </row>
    <row r="1461">
      <c r="A1461" s="1" t="str">
        <f>IFERROR(__xludf.DUMMYFUNCTION("""COMPUTED_VALUE"""),"MAUTASUD50122914C0")</f>
        <v>MAUTASUD50122914C0</v>
      </c>
      <c r="B1461" s="1">
        <f>IFERROR(__xludf.DUMMYFUNCTION("""COMPUTED_VALUE"""),0.0)</f>
        <v>0</v>
      </c>
      <c r="C1461" s="1">
        <f>IFERROR(__xludf.DUMMYFUNCTION("""COMPUTED_VALUE"""),1.0)</f>
        <v>1</v>
      </c>
      <c r="D1461" s="1">
        <f>IFERROR(__xludf.DUMMYFUNCTION("""COMPUTED_VALUE"""),0.0)</f>
        <v>0</v>
      </c>
      <c r="E1461" s="1">
        <f>IFERROR(__xludf.DUMMYFUNCTION("""COMPUTED_VALUE"""),1.0)</f>
        <v>1</v>
      </c>
    </row>
    <row r="1462">
      <c r="A1462" s="1" t="str">
        <f>IFERROR(__xludf.DUMMYFUNCTION("""COMPUTED_VALUE"""),"MAUTP1905120")</f>
        <v>MAUTP1905120</v>
      </c>
      <c r="B1462" s="1">
        <f>IFERROR(__xludf.DUMMYFUNCTION("""COMPUTED_VALUE"""),0.0)</f>
        <v>0</v>
      </c>
      <c r="C1462" s="1">
        <f>IFERROR(__xludf.DUMMYFUNCTION("""COMPUTED_VALUE"""),5.0)</f>
        <v>5</v>
      </c>
      <c r="D1462" s="1">
        <f>IFERROR(__xludf.DUMMYFUNCTION("""COMPUTED_VALUE"""),0.0)</f>
        <v>0</v>
      </c>
      <c r="E1462" s="1">
        <f>IFERROR(__xludf.DUMMYFUNCTION("""COMPUTED_VALUE"""),5.0)</f>
        <v>5</v>
      </c>
    </row>
    <row r="1463">
      <c r="A1463" s="1" t="str">
        <f>IFERROR(__xludf.DUMMYFUNCTION("""COMPUTED_VALUE"""),"MAUTP3175120")</f>
        <v>MAUTP3175120</v>
      </c>
      <c r="B1463" s="1">
        <f>IFERROR(__xludf.DUMMYFUNCTION("""COMPUTED_VALUE"""),0.0)</f>
        <v>0</v>
      </c>
      <c r="C1463" s="1">
        <f>IFERROR(__xludf.DUMMYFUNCTION("""COMPUTED_VALUE"""),14.0)</f>
        <v>14</v>
      </c>
      <c r="D1463" s="1">
        <f>IFERROR(__xludf.DUMMYFUNCTION("""COMPUTED_VALUE"""),0.0)</f>
        <v>0</v>
      </c>
      <c r="E1463" s="1">
        <f>IFERROR(__xludf.DUMMYFUNCTION("""COMPUTED_VALUE"""),14.0)</f>
        <v>14</v>
      </c>
    </row>
    <row r="1464">
      <c r="A1464" s="1" t="str">
        <f>IFERROR(__xludf.DUMMYFUNCTION("""COMPUTED_VALUE"""),"MAUTS3493140")</f>
        <v>MAUTS3493140</v>
      </c>
      <c r="B1464" s="1">
        <f>IFERROR(__xludf.DUMMYFUNCTION("""COMPUTED_VALUE"""),0.0)</f>
        <v>0</v>
      </c>
      <c r="C1464" s="1">
        <f>IFERROR(__xludf.DUMMYFUNCTION("""COMPUTED_VALUE"""),2.0)</f>
        <v>2</v>
      </c>
      <c r="D1464" s="1">
        <f>IFERROR(__xludf.DUMMYFUNCTION("""COMPUTED_VALUE"""),0.0)</f>
        <v>0</v>
      </c>
      <c r="E1464" s="1">
        <f>IFERROR(__xludf.DUMMYFUNCTION("""COMPUTED_VALUE"""),2.0)</f>
        <v>2</v>
      </c>
    </row>
    <row r="1465">
      <c r="A1465" s="1" t="str">
        <f>IFERROR(__xludf.DUMMYFUNCTION("""COMPUTED_VALUE"""),"MNKDMT36-4VM")</f>
        <v>MNKDMT36-4VM</v>
      </c>
      <c r="B1465" s="1">
        <f>IFERROR(__xludf.DUMMYFUNCTION("""COMPUTED_VALUE"""),0.0)</f>
        <v>0</v>
      </c>
      <c r="C1465" s="1">
        <f>IFERROR(__xludf.DUMMYFUNCTION("""COMPUTED_VALUE"""),1.0)</f>
        <v>1</v>
      </c>
      <c r="D1465" s="1">
        <f>IFERROR(__xludf.DUMMYFUNCTION("""COMPUTED_VALUE"""),0.0)</f>
        <v>0</v>
      </c>
      <c r="E1465" s="1">
        <f>IFERROR(__xludf.DUMMYFUNCTION("""COMPUTED_VALUE"""),1.0)</f>
        <v>1</v>
      </c>
    </row>
    <row r="1466">
      <c r="A1466" s="1" t="str">
        <f>IFERROR(__xludf.DUMMYFUNCTION("""COMPUTED_VALUE"""),"XBOA006X13C0")</f>
        <v>XBOA006X13C0</v>
      </c>
      <c r="B1466" s="1">
        <f>IFERROR(__xludf.DUMMYFUNCTION("""COMPUTED_VALUE"""),0.0)</f>
        <v>0</v>
      </c>
      <c r="C1466" s="1">
        <f>IFERROR(__xludf.DUMMYFUNCTION("""COMPUTED_VALUE"""),96.0)</f>
        <v>96</v>
      </c>
      <c r="D1466" s="1">
        <f>IFERROR(__xludf.DUMMYFUNCTION("""COMPUTED_VALUE"""),0.0)</f>
        <v>0</v>
      </c>
      <c r="E1466" s="1">
        <f>IFERROR(__xludf.DUMMYFUNCTION("""COMPUTED_VALUE"""),96.0)</f>
        <v>96</v>
      </c>
    </row>
    <row r="1467">
      <c r="A1467" s="1" t="str">
        <f>IFERROR(__xludf.DUMMYFUNCTION("""COMPUTED_VALUE"""),"XBOA010X13C0")</f>
        <v>XBOA010X13C0</v>
      </c>
      <c r="B1467" s="1">
        <f>IFERROR(__xludf.DUMMYFUNCTION("""COMPUTED_VALUE"""),0.0)</f>
        <v>0</v>
      </c>
      <c r="C1467" s="1">
        <f>IFERROR(__xludf.DUMMYFUNCTION("""COMPUTED_VALUE"""),671.0)</f>
        <v>671</v>
      </c>
      <c r="D1467" s="1">
        <f>IFERROR(__xludf.DUMMYFUNCTION("""COMPUTED_VALUE"""),0.0)</f>
        <v>0</v>
      </c>
      <c r="E1467" s="1">
        <f>IFERROR(__xludf.DUMMYFUNCTION("""COMPUTED_VALUE"""),671.0)</f>
        <v>671</v>
      </c>
    </row>
    <row r="1468">
      <c r="A1468" s="1" t="str">
        <f>IFERROR(__xludf.DUMMYFUNCTION("""COMPUTED_VALUE"""),"XBOA020X19")</f>
        <v>XBOA020X19</v>
      </c>
      <c r="B1468" s="1">
        <f>IFERROR(__xludf.DUMMYFUNCTION("""COMPUTED_VALUE"""),0.0)</f>
        <v>0</v>
      </c>
      <c r="C1468" s="1">
        <f>IFERROR(__xludf.DUMMYFUNCTION("""COMPUTED_VALUE"""),23.0)</f>
        <v>23</v>
      </c>
      <c r="D1468" s="1">
        <f>IFERROR(__xludf.DUMMYFUNCTION("""COMPUTED_VALUE"""),0.0)</f>
        <v>0</v>
      </c>
      <c r="E1468" s="1">
        <f>IFERROR(__xludf.DUMMYFUNCTION("""COMPUTED_VALUE"""),23.0)</f>
        <v>23</v>
      </c>
    </row>
    <row r="1469">
      <c r="A1469" s="1" t="str">
        <f>IFERROR(__xludf.DUMMYFUNCTION("""COMPUTED_VALUE"""),"XBOA022X09")</f>
        <v>XBOA022X09</v>
      </c>
      <c r="B1469" s="1">
        <f>IFERROR(__xludf.DUMMYFUNCTION("""COMPUTED_VALUE"""),0.0)</f>
        <v>0</v>
      </c>
      <c r="C1469" s="1">
        <f>IFERROR(__xludf.DUMMYFUNCTION("""COMPUTED_VALUE"""),605.0)</f>
        <v>605</v>
      </c>
      <c r="D1469" s="1">
        <f>IFERROR(__xludf.DUMMYFUNCTION("""COMPUTED_VALUE"""),0.0)</f>
        <v>0</v>
      </c>
      <c r="E1469" s="1">
        <f>IFERROR(__xludf.DUMMYFUNCTION("""COMPUTED_VALUE"""),605.0)</f>
        <v>605</v>
      </c>
    </row>
    <row r="1470">
      <c r="A1470" s="1" t="str">
        <f>IFERROR(__xludf.DUMMYFUNCTION("""COMPUTED_VALUE"""),"XBOA035X09C0")</f>
        <v>XBOA035X09C0</v>
      </c>
      <c r="B1470" s="1">
        <f>IFERROR(__xludf.DUMMYFUNCTION("""COMPUTED_VALUE"""),0.0)</f>
        <v>0</v>
      </c>
      <c r="C1470" s="1">
        <f>IFERROR(__xludf.DUMMYFUNCTION("""COMPUTED_VALUE"""),555.0)</f>
        <v>555</v>
      </c>
      <c r="D1470" s="1">
        <f>IFERROR(__xludf.DUMMYFUNCTION("""COMPUTED_VALUE"""),0.0)</f>
        <v>0</v>
      </c>
      <c r="E1470" s="1">
        <f>IFERROR(__xludf.DUMMYFUNCTION("""COMPUTED_VALUE"""),555.0)</f>
        <v>555</v>
      </c>
    </row>
    <row r="1471">
      <c r="A1471" s="1" t="str">
        <f>IFERROR(__xludf.DUMMYFUNCTION("""COMPUTED_VALUE"""),"XBOA035X19C0")</f>
        <v>XBOA035X19C0</v>
      </c>
      <c r="B1471" s="1">
        <f>IFERROR(__xludf.DUMMYFUNCTION("""COMPUTED_VALUE"""),0.0)</f>
        <v>0</v>
      </c>
      <c r="C1471" s="1">
        <f>IFERROR(__xludf.DUMMYFUNCTION("""COMPUTED_VALUE"""),40.0)</f>
        <v>40</v>
      </c>
      <c r="D1471" s="1">
        <f>IFERROR(__xludf.DUMMYFUNCTION("""COMPUTED_VALUE"""),0.0)</f>
        <v>0</v>
      </c>
      <c r="E1471" s="1">
        <f>IFERROR(__xludf.DUMMYFUNCTION("""COMPUTED_VALUE"""),40.0)</f>
        <v>40</v>
      </c>
    </row>
    <row r="1472">
      <c r="A1472" s="1" t="str">
        <f>IFERROR(__xludf.DUMMYFUNCTION("""COMPUTED_VALUE"""),"XBOA042X09C0")</f>
        <v>XBOA042X09C0</v>
      </c>
      <c r="B1472" s="1">
        <f>IFERROR(__xludf.DUMMYFUNCTION("""COMPUTED_VALUE"""),0.0)</f>
        <v>0</v>
      </c>
      <c r="C1472" s="1">
        <f>IFERROR(__xludf.DUMMYFUNCTION("""COMPUTED_VALUE"""),21.0)</f>
        <v>21</v>
      </c>
      <c r="D1472" s="1">
        <f>IFERROR(__xludf.DUMMYFUNCTION("""COMPUTED_VALUE"""),0.0)</f>
        <v>0</v>
      </c>
      <c r="E1472" s="1">
        <f>IFERROR(__xludf.DUMMYFUNCTION("""COMPUTED_VALUE"""),21.0)</f>
        <v>21</v>
      </c>
    </row>
    <row r="1473">
      <c r="A1473" s="1" t="str">
        <f>IFERROR(__xludf.DUMMYFUNCTION("""COMPUTED_VALUE"""),"XBOA048X25C0")</f>
        <v>XBOA048X25C0</v>
      </c>
      <c r="B1473" s="1">
        <f>IFERROR(__xludf.DUMMYFUNCTION("""COMPUTED_VALUE"""),0.0)</f>
        <v>0</v>
      </c>
      <c r="C1473" s="1">
        <f>IFERROR(__xludf.DUMMYFUNCTION("""COMPUTED_VALUE"""),40.0)</f>
        <v>40</v>
      </c>
      <c r="D1473" s="1">
        <f>IFERROR(__xludf.DUMMYFUNCTION("""COMPUTED_VALUE"""),0.0)</f>
        <v>0</v>
      </c>
      <c r="E1473" s="1">
        <f>IFERROR(__xludf.DUMMYFUNCTION("""COMPUTED_VALUE"""),40.0)</f>
        <v>40</v>
      </c>
    </row>
    <row r="1474">
      <c r="A1474" s="1" t="str">
        <f>IFERROR(__xludf.DUMMYFUNCTION("""COMPUTED_VALUE"""),"XBOA076X25C0")</f>
        <v>XBOA076X25C0</v>
      </c>
      <c r="B1474" s="1">
        <f>IFERROR(__xludf.DUMMYFUNCTION("""COMPUTED_VALUE"""),0.0)</f>
        <v>0</v>
      </c>
      <c r="C1474" s="1">
        <f>IFERROR(__xludf.DUMMYFUNCTION("""COMPUTED_VALUE"""),42.0)</f>
        <v>42</v>
      </c>
      <c r="D1474" s="1">
        <f>IFERROR(__xludf.DUMMYFUNCTION("""COMPUTED_VALUE"""),0.0)</f>
        <v>0</v>
      </c>
      <c r="E1474" s="1">
        <f>IFERROR(__xludf.DUMMYFUNCTION("""COMPUTED_VALUE"""),42.0)</f>
        <v>42</v>
      </c>
    </row>
    <row r="1475">
      <c r="A1475" s="1" t="str">
        <f>IFERROR(__xludf.DUMMYFUNCTION("""COMPUTED_VALUE"""),"XBOA089X13C0")</f>
        <v>XBOA089X13C0</v>
      </c>
      <c r="B1475" s="1">
        <f>IFERROR(__xludf.DUMMYFUNCTION("""COMPUTED_VALUE"""),0.0)</f>
        <v>0</v>
      </c>
      <c r="C1475" s="1">
        <f>IFERROR(__xludf.DUMMYFUNCTION("""COMPUTED_VALUE"""),119.0)</f>
        <v>119</v>
      </c>
      <c r="D1475" s="1">
        <f>IFERROR(__xludf.DUMMYFUNCTION("""COMPUTED_VALUE"""),0.0)</f>
        <v>0</v>
      </c>
      <c r="E1475" s="1">
        <f>IFERROR(__xludf.DUMMYFUNCTION("""COMPUTED_VALUE"""),119.0)</f>
        <v>119</v>
      </c>
    </row>
    <row r="1476">
      <c r="A1476" s="1" t="str">
        <f>IFERROR(__xludf.DUMMYFUNCTION("""COMPUTED_VALUE"""),"XBOA089X25C0")</f>
        <v>XBOA089X25C0</v>
      </c>
      <c r="B1476" s="1">
        <f>IFERROR(__xludf.DUMMYFUNCTION("""COMPUTED_VALUE"""),0.0)</f>
        <v>0</v>
      </c>
      <c r="C1476" s="1">
        <f>IFERROR(__xludf.DUMMYFUNCTION("""COMPUTED_VALUE"""),78.0)</f>
        <v>78</v>
      </c>
      <c r="D1476" s="1">
        <f>IFERROR(__xludf.DUMMYFUNCTION("""COMPUTED_VALUE"""),0.0)</f>
        <v>0</v>
      </c>
      <c r="E1476" s="1">
        <f>IFERROR(__xludf.DUMMYFUNCTION("""COMPUTED_VALUE"""),78.0)</f>
        <v>78</v>
      </c>
    </row>
    <row r="1477">
      <c r="A1477" s="1" t="str">
        <f>IFERROR(__xludf.DUMMYFUNCTION("""COMPUTED_VALUE"""),"XBOA114X40C0")</f>
        <v>XBOA114X40C0</v>
      </c>
      <c r="B1477" s="1">
        <f>IFERROR(__xludf.DUMMYFUNCTION("""COMPUTED_VALUE"""),0.0)</f>
        <v>0</v>
      </c>
      <c r="C1477" s="1">
        <f>IFERROR(__xludf.DUMMYFUNCTION("""COMPUTED_VALUE"""),20.0)</f>
        <v>20</v>
      </c>
      <c r="D1477" s="1">
        <f>IFERROR(__xludf.DUMMYFUNCTION("""COMPUTED_VALUE"""),0.0)</f>
        <v>0</v>
      </c>
      <c r="E1477" s="1">
        <f>IFERROR(__xludf.DUMMYFUNCTION("""COMPUTED_VALUE"""),20.0)</f>
        <v>20</v>
      </c>
    </row>
    <row r="1478">
      <c r="A1478" s="1" t="str">
        <f>IFERROR(__xludf.DUMMYFUNCTION("""COMPUTED_VALUE"""),"XBOAE02209")</f>
        <v>XBOAE02209</v>
      </c>
      <c r="B1478" s="1">
        <f>IFERROR(__xludf.DUMMYFUNCTION("""COMPUTED_VALUE"""),0.0)</f>
        <v>0</v>
      </c>
      <c r="C1478" s="1">
        <f>IFERROR(__xludf.DUMMYFUNCTION("""COMPUTED_VALUE"""),270.0)</f>
        <v>270</v>
      </c>
      <c r="D1478" s="1">
        <f>IFERROR(__xludf.DUMMYFUNCTION("""COMPUTED_VALUE"""),0.0)</f>
        <v>0</v>
      </c>
      <c r="E1478" s="1">
        <f>IFERROR(__xludf.DUMMYFUNCTION("""COMPUTED_VALUE"""),270.0)</f>
        <v>270</v>
      </c>
    </row>
    <row r="1479">
      <c r="A1479" s="1" t="str">
        <f>IFERROR(__xludf.DUMMYFUNCTION("""COMPUTED_VALUE"""),"XBOAE02219C0")</f>
        <v>XBOAE02219C0</v>
      </c>
      <c r="B1479" s="1">
        <f>IFERROR(__xludf.DUMMYFUNCTION("""COMPUTED_VALUE"""),0.0)</f>
        <v>0</v>
      </c>
      <c r="C1479" s="1">
        <f>IFERROR(__xludf.DUMMYFUNCTION("""COMPUTED_VALUE"""),300.0)</f>
        <v>300</v>
      </c>
      <c r="D1479" s="1">
        <f>IFERROR(__xludf.DUMMYFUNCTION("""COMPUTED_VALUE"""),0.0)</f>
        <v>0</v>
      </c>
      <c r="E1479" s="1">
        <f>IFERROR(__xludf.DUMMYFUNCTION("""COMPUTED_VALUE"""),300.0)</f>
        <v>300</v>
      </c>
    </row>
    <row r="1480">
      <c r="A1480" s="1" t="str">
        <f>IFERROR(__xludf.DUMMYFUNCTION("""COMPUTED_VALUE"""),"XBOAE02809C0")</f>
        <v>XBOAE02809C0</v>
      </c>
      <c r="B1480" s="1">
        <f>IFERROR(__xludf.DUMMYFUNCTION("""COMPUTED_VALUE"""),0.0)</f>
        <v>0</v>
      </c>
      <c r="C1480" s="1">
        <f>IFERROR(__xludf.DUMMYFUNCTION("""COMPUTED_VALUE"""),252.0)</f>
        <v>252</v>
      </c>
      <c r="D1480" s="1">
        <f>IFERROR(__xludf.DUMMYFUNCTION("""COMPUTED_VALUE"""),0.0)</f>
        <v>0</v>
      </c>
      <c r="E1480" s="1">
        <f>IFERROR(__xludf.DUMMYFUNCTION("""COMPUTED_VALUE"""),252.0)</f>
        <v>252</v>
      </c>
    </row>
    <row r="1481">
      <c r="A1481" s="1" t="str">
        <f>IFERROR(__xludf.DUMMYFUNCTION("""COMPUTED_VALUE"""),"XBOAE04219C0")</f>
        <v>XBOAE04219C0</v>
      </c>
      <c r="B1481" s="1">
        <f>IFERROR(__xludf.DUMMYFUNCTION("""COMPUTED_VALUE"""),0.0)</f>
        <v>0</v>
      </c>
      <c r="C1481" s="1">
        <f>IFERROR(__xludf.DUMMYFUNCTION("""COMPUTED_VALUE"""),60.0)</f>
        <v>60</v>
      </c>
      <c r="D1481" s="1">
        <f>IFERROR(__xludf.DUMMYFUNCTION("""COMPUTED_VALUE"""),0.0)</f>
        <v>0</v>
      </c>
      <c r="E1481" s="1">
        <f>IFERROR(__xludf.DUMMYFUNCTION("""COMPUTED_VALUE"""),60.0)</f>
        <v>60</v>
      </c>
    </row>
    <row r="1482">
      <c r="A1482" s="1" t="str">
        <f>IFERROR(__xludf.DUMMYFUNCTION("""COMPUTED_VALUE"""),"XBOAE05419C0")</f>
        <v>XBOAE05419C0</v>
      </c>
      <c r="B1482" s="1">
        <f>IFERROR(__xludf.DUMMYFUNCTION("""COMPUTED_VALUE"""),0.0)</f>
        <v>0</v>
      </c>
      <c r="C1482" s="1">
        <f>IFERROR(__xludf.DUMMYFUNCTION("""COMPUTED_VALUE"""),72.0)</f>
        <v>72</v>
      </c>
      <c r="D1482" s="1">
        <f>IFERROR(__xludf.DUMMYFUNCTION("""COMPUTED_VALUE"""),0.0)</f>
        <v>0</v>
      </c>
      <c r="E1482" s="1">
        <f>IFERROR(__xludf.DUMMYFUNCTION("""COMPUTED_VALUE"""),72.0)</f>
        <v>72</v>
      </c>
    </row>
    <row r="1483">
      <c r="A1483" s="1" t="str">
        <f>IFERROR(__xludf.DUMMYFUNCTION("""COMPUTED_VALUE"""),"XBOAF006X13")</f>
        <v>XBOAF006X13</v>
      </c>
      <c r="B1483" s="1">
        <f>IFERROR(__xludf.DUMMYFUNCTION("""COMPUTED_VALUE"""),0.0)</f>
        <v>0</v>
      </c>
      <c r="C1483" s="1">
        <f>IFERROR(__xludf.DUMMYFUNCTION("""COMPUTED_VALUE"""),2395.0)</f>
        <v>2395</v>
      </c>
      <c r="D1483" s="1">
        <f>IFERROR(__xludf.DUMMYFUNCTION("""COMPUTED_VALUE"""),0.0)</f>
        <v>0</v>
      </c>
      <c r="E1483" s="1">
        <f>IFERROR(__xludf.DUMMYFUNCTION("""COMPUTED_VALUE"""),2395.0)</f>
        <v>2395</v>
      </c>
    </row>
    <row r="1484">
      <c r="A1484" s="1" t="str">
        <f>IFERROR(__xludf.DUMMYFUNCTION("""COMPUTED_VALUE"""),"XBOAF010X13")</f>
        <v>XBOAF010X13</v>
      </c>
      <c r="B1484" s="1">
        <f>IFERROR(__xludf.DUMMYFUNCTION("""COMPUTED_VALUE"""),0.0)</f>
        <v>0</v>
      </c>
      <c r="C1484" s="1">
        <f>IFERROR(__xludf.DUMMYFUNCTION("""COMPUTED_VALUE"""),2569.0)</f>
        <v>2569</v>
      </c>
      <c r="D1484" s="1">
        <f>IFERROR(__xludf.DUMMYFUNCTION("""COMPUTED_VALUE"""),0.0)</f>
        <v>0</v>
      </c>
      <c r="E1484" s="1">
        <f>IFERROR(__xludf.DUMMYFUNCTION("""COMPUTED_VALUE"""),2569.0)</f>
        <v>2569</v>
      </c>
    </row>
    <row r="1485">
      <c r="A1485" s="1" t="str">
        <f>IFERROR(__xludf.DUMMYFUNCTION("""COMPUTED_VALUE"""),"XBOAF022X09")</f>
        <v>XBOAF022X09</v>
      </c>
      <c r="B1485" s="1">
        <f>IFERROR(__xludf.DUMMYFUNCTION("""COMPUTED_VALUE"""),0.0)</f>
        <v>0</v>
      </c>
      <c r="C1485" s="1">
        <f>IFERROR(__xludf.DUMMYFUNCTION("""COMPUTED_VALUE"""),1204.0)</f>
        <v>1204</v>
      </c>
      <c r="D1485" s="1">
        <f>IFERROR(__xludf.DUMMYFUNCTION("""COMPUTED_VALUE"""),0.0)</f>
        <v>0</v>
      </c>
      <c r="E1485" s="1">
        <f>IFERROR(__xludf.DUMMYFUNCTION("""COMPUTED_VALUE"""),1204.0)</f>
        <v>1204</v>
      </c>
    </row>
    <row r="1486">
      <c r="A1486" s="1" t="str">
        <f>IFERROR(__xludf.DUMMYFUNCTION("""COMPUTED_VALUE"""),"XBOAF028X09")</f>
        <v>XBOAF028X09</v>
      </c>
      <c r="B1486" s="1">
        <f>IFERROR(__xludf.DUMMYFUNCTION("""COMPUTED_VALUE"""),0.0)</f>
        <v>0</v>
      </c>
      <c r="C1486" s="1">
        <f>IFERROR(__xludf.DUMMYFUNCTION("""COMPUTED_VALUE"""),153.0)</f>
        <v>153</v>
      </c>
      <c r="D1486" s="1">
        <f>IFERROR(__xludf.DUMMYFUNCTION("""COMPUTED_VALUE"""),0.0)</f>
        <v>0</v>
      </c>
      <c r="E1486" s="1">
        <f>IFERROR(__xludf.DUMMYFUNCTION("""COMPUTED_VALUE"""),153.0)</f>
        <v>153</v>
      </c>
    </row>
    <row r="1487">
      <c r="A1487" s="1" t="str">
        <f>IFERROR(__xludf.DUMMYFUNCTION("""COMPUTED_VALUE"""),"XBOAF042X09")</f>
        <v>XBOAF042X09</v>
      </c>
      <c r="B1487" s="1">
        <f>IFERROR(__xludf.DUMMYFUNCTION("""COMPUTED_VALUE"""),0.0)</f>
        <v>0</v>
      </c>
      <c r="C1487" s="1">
        <f>IFERROR(__xludf.DUMMYFUNCTION("""COMPUTED_VALUE"""),356.0)</f>
        <v>356</v>
      </c>
      <c r="D1487" s="1">
        <f>IFERROR(__xludf.DUMMYFUNCTION("""COMPUTED_VALUE"""),0.0)</f>
        <v>0</v>
      </c>
      <c r="E1487" s="1">
        <f>IFERROR(__xludf.DUMMYFUNCTION("""COMPUTED_VALUE"""),356.0)</f>
        <v>356</v>
      </c>
    </row>
    <row r="1488">
      <c r="A1488" s="1" t="str">
        <f>IFERROR(__xludf.DUMMYFUNCTION("""COMPUTED_VALUE"""),"XBOS019X10")</f>
        <v>XBOS019X10</v>
      </c>
      <c r="B1488" s="1">
        <f>IFERROR(__xludf.DUMMYFUNCTION("""COMPUTED_VALUE"""),0.0)</f>
        <v>0</v>
      </c>
      <c r="C1488" s="1">
        <f>IFERROR(__xludf.DUMMYFUNCTION("""COMPUTED_VALUE"""),2000.0)</f>
        <v>2000</v>
      </c>
      <c r="D1488" s="1">
        <f>IFERROR(__xludf.DUMMYFUNCTION("""COMPUTED_VALUE"""),0.0)</f>
        <v>0</v>
      </c>
      <c r="E1488" s="1">
        <f>IFERROR(__xludf.DUMMYFUNCTION("""COMPUTED_VALUE"""),2000.0)</f>
        <v>2000</v>
      </c>
    </row>
    <row r="1489">
      <c r="A1489" s="1" t="str">
        <f>IFERROR(__xludf.DUMMYFUNCTION("""COMPUTED_VALUE"""),"XBOS022X10")</f>
        <v>XBOS022X10</v>
      </c>
      <c r="B1489" s="1">
        <f>IFERROR(__xludf.DUMMYFUNCTION("""COMPUTED_VALUE"""),0.0)</f>
        <v>0</v>
      </c>
      <c r="C1489" s="1">
        <f>IFERROR(__xludf.DUMMYFUNCTION("""COMPUTED_VALUE"""),268.0)</f>
        <v>268</v>
      </c>
      <c r="D1489" s="1">
        <f>IFERROR(__xludf.DUMMYFUNCTION("""COMPUTED_VALUE"""),0.0)</f>
        <v>0</v>
      </c>
      <c r="E1489" s="1">
        <f>IFERROR(__xludf.DUMMYFUNCTION("""COMPUTED_VALUE"""),268.0)</f>
        <v>268</v>
      </c>
    </row>
    <row r="1490">
      <c r="A1490" s="1" t="str">
        <f>IFERROR(__xludf.DUMMYFUNCTION("""COMPUTED_VALUE"""),"XBOS042X10")</f>
        <v>XBOS042X10</v>
      </c>
      <c r="B1490" s="1">
        <f>IFERROR(__xludf.DUMMYFUNCTION("""COMPUTED_VALUE"""),0.0)</f>
        <v>0</v>
      </c>
      <c r="C1490" s="1">
        <f>IFERROR(__xludf.DUMMYFUNCTION("""COMPUTED_VALUE"""),118.0)</f>
        <v>118</v>
      </c>
      <c r="D1490" s="1">
        <f>IFERROR(__xludf.DUMMYFUNCTION("""COMPUTED_VALUE"""),0.0)</f>
        <v>0</v>
      </c>
      <c r="E1490" s="1">
        <f>IFERROR(__xludf.DUMMYFUNCTION("""COMPUTED_VALUE"""),118.0)</f>
        <v>118</v>
      </c>
    </row>
    <row r="1491">
      <c r="A1491" s="1" t="str">
        <f>IFERROR(__xludf.DUMMYFUNCTION("""COMPUTED_VALUE"""),"XBOS042X38")</f>
        <v>XBOS042X38</v>
      </c>
      <c r="B1491" s="1">
        <f>IFERROR(__xludf.DUMMYFUNCTION("""COMPUTED_VALUE"""),0.0)</f>
        <v>0</v>
      </c>
      <c r="C1491" s="1">
        <f>IFERROR(__xludf.DUMMYFUNCTION("""COMPUTED_VALUE"""),2.0)</f>
        <v>2</v>
      </c>
      <c r="D1491" s="1">
        <f>IFERROR(__xludf.DUMMYFUNCTION("""COMPUTED_VALUE"""),0.0)</f>
        <v>0</v>
      </c>
      <c r="E1491" s="1">
        <f>IFERROR(__xludf.DUMMYFUNCTION("""COMPUTED_VALUE"""),2.0)</f>
        <v>2</v>
      </c>
    </row>
    <row r="1492">
      <c r="A1492" s="1" t="str">
        <f>IFERROR(__xludf.DUMMYFUNCTION("""COMPUTED_VALUE"""),"XBOS076X10")</f>
        <v>XBOS076X10</v>
      </c>
      <c r="B1492" s="1">
        <f>IFERROR(__xludf.DUMMYFUNCTION("""COMPUTED_VALUE"""),0.0)</f>
        <v>0</v>
      </c>
      <c r="C1492" s="1">
        <f>IFERROR(__xludf.DUMMYFUNCTION("""COMPUTED_VALUE"""),19.0)</f>
        <v>19</v>
      </c>
      <c r="D1492" s="1">
        <f>IFERROR(__xludf.DUMMYFUNCTION("""COMPUTED_VALUE"""),0.0)</f>
        <v>0</v>
      </c>
      <c r="E1492" s="1">
        <f>IFERROR(__xludf.DUMMYFUNCTION("""COMPUTED_VALUE"""),19.0)</f>
        <v>19</v>
      </c>
    </row>
    <row r="1493">
      <c r="A1493" s="1" t="str">
        <f>IFERROR(__xludf.DUMMYFUNCTION("""COMPUTED_VALUE"""),"XBOS076X13")</f>
        <v>XBOS076X13</v>
      </c>
      <c r="B1493" s="1">
        <f>IFERROR(__xludf.DUMMYFUNCTION("""COMPUTED_VALUE"""),0.0)</f>
        <v>0</v>
      </c>
      <c r="C1493" s="1">
        <f>IFERROR(__xludf.DUMMYFUNCTION("""COMPUTED_VALUE"""),5.0)</f>
        <v>5</v>
      </c>
      <c r="D1493" s="1">
        <f>IFERROR(__xludf.DUMMYFUNCTION("""COMPUTED_VALUE"""),0.0)</f>
        <v>0</v>
      </c>
      <c r="E1493" s="1">
        <f>IFERROR(__xludf.DUMMYFUNCTION("""COMPUTED_VALUE"""),5.0)</f>
        <v>5</v>
      </c>
    </row>
    <row r="1494">
      <c r="A1494" s="1" t="str">
        <f>IFERROR(__xludf.DUMMYFUNCTION("""COMPUTED_VALUE"""),"XBOS076X25")</f>
        <v>XBOS076X25</v>
      </c>
      <c r="B1494" s="1">
        <f>IFERROR(__xludf.DUMMYFUNCTION("""COMPUTED_VALUE"""),0.0)</f>
        <v>0</v>
      </c>
      <c r="C1494" s="1">
        <f>IFERROR(__xludf.DUMMYFUNCTION("""COMPUTED_VALUE"""),4.0)</f>
        <v>4</v>
      </c>
      <c r="D1494" s="1">
        <f>IFERROR(__xludf.DUMMYFUNCTION("""COMPUTED_VALUE"""),0.0)</f>
        <v>0</v>
      </c>
      <c r="E1494" s="1">
        <f>IFERROR(__xludf.DUMMYFUNCTION("""COMPUTED_VALUE"""),4.0)</f>
        <v>4</v>
      </c>
    </row>
    <row r="1495">
      <c r="A1495" s="1" t="str">
        <f>IFERROR(__xludf.DUMMYFUNCTION("""COMPUTED_VALUE"""),"XBOS089X32")</f>
        <v>XBOS089X32</v>
      </c>
      <c r="B1495" s="1">
        <f>IFERROR(__xludf.DUMMYFUNCTION("""COMPUTED_VALUE"""),0.0)</f>
        <v>0</v>
      </c>
      <c r="C1495" s="1">
        <f>IFERROR(__xludf.DUMMYFUNCTION("""COMPUTED_VALUE"""),2.0)</f>
        <v>2</v>
      </c>
      <c r="D1495" s="1">
        <f>IFERROR(__xludf.DUMMYFUNCTION("""COMPUTED_VALUE"""),0.0)</f>
        <v>0</v>
      </c>
      <c r="E1495" s="1">
        <f>IFERROR(__xludf.DUMMYFUNCTION("""COMPUTED_VALUE"""),2.0)</f>
        <v>2</v>
      </c>
    </row>
    <row r="1496">
      <c r="A1496" s="1" t="str">
        <f>IFERROR(__xludf.DUMMYFUNCTION("""COMPUTED_VALUE"""),"XBOS114X32")</f>
        <v>XBOS114X32</v>
      </c>
      <c r="B1496" s="1">
        <f>IFERROR(__xludf.DUMMYFUNCTION("""COMPUTED_VALUE"""),0.0)</f>
        <v>0</v>
      </c>
      <c r="C1496" s="1">
        <f>IFERROR(__xludf.DUMMYFUNCTION("""COMPUTED_VALUE"""),1.0)</f>
        <v>1</v>
      </c>
      <c r="D1496" s="1">
        <f>IFERROR(__xludf.DUMMYFUNCTION("""COMPUTED_VALUE"""),0.0)</f>
        <v>0</v>
      </c>
      <c r="E1496" s="1">
        <f>IFERROR(__xludf.DUMMYFUNCTION("""COMPUTED_VALUE"""),1.0)</f>
        <v>1</v>
      </c>
    </row>
    <row r="1497">
      <c r="A1497" s="1" t="str">
        <f>IFERROR(__xludf.DUMMYFUNCTION("""COMPUTED_VALUE"""),"XBOS140X32")</f>
        <v>XBOS140X32</v>
      </c>
      <c r="B1497" s="1">
        <f>IFERROR(__xludf.DUMMYFUNCTION("""COMPUTED_VALUE"""),0.0)</f>
        <v>0</v>
      </c>
      <c r="C1497" s="1">
        <f>IFERROR(__xludf.DUMMYFUNCTION("""COMPUTED_VALUE"""),1.0)</f>
        <v>1</v>
      </c>
      <c r="D1497" s="1">
        <f>IFERROR(__xludf.DUMMYFUNCTION("""COMPUTED_VALUE"""),0.0)</f>
        <v>0</v>
      </c>
      <c r="E1497" s="1">
        <f>IFERROR(__xludf.DUMMYFUNCTION("""COMPUTED_VALUE"""),1.0)</f>
        <v>1</v>
      </c>
    </row>
    <row r="1498">
      <c r="A1498" s="1" t="str">
        <f>IFERROR(__xludf.DUMMYFUNCTION("""COMPUTED_VALUE"""),"XBOSVN016X10")</f>
        <v>XBOSVN016X10</v>
      </c>
      <c r="B1498" s="1">
        <f>IFERROR(__xludf.DUMMYFUNCTION("""COMPUTED_VALUE"""),0.0)</f>
        <v>0</v>
      </c>
      <c r="C1498" s="1">
        <f>IFERROR(__xludf.DUMMYFUNCTION("""COMPUTED_VALUE"""),509.0)</f>
        <v>509</v>
      </c>
      <c r="D1498" s="1">
        <f>IFERROR(__xludf.DUMMYFUNCTION("""COMPUTED_VALUE"""),0.0)</f>
        <v>0</v>
      </c>
      <c r="E1498" s="1">
        <f>IFERROR(__xludf.DUMMYFUNCTION("""COMPUTED_VALUE"""),509.0)</f>
        <v>509</v>
      </c>
    </row>
    <row r="1499">
      <c r="A1499" s="1" t="str">
        <f>IFERROR(__xludf.DUMMYFUNCTION("""COMPUTED_VALUE"""),"XBOSVN016X13.070")</f>
        <v>XBOSVN016X13.070</v>
      </c>
      <c r="B1499" s="1">
        <f>IFERROR(__xludf.DUMMYFUNCTION("""COMPUTED_VALUE"""),0.0)</f>
        <v>0</v>
      </c>
      <c r="C1499" s="1">
        <f>IFERROR(__xludf.DUMMYFUNCTION("""COMPUTED_VALUE"""),263.0)</f>
        <v>263</v>
      </c>
      <c r="D1499" s="1">
        <f>IFERROR(__xludf.DUMMYFUNCTION("""COMPUTED_VALUE"""),0.0)</f>
        <v>0</v>
      </c>
      <c r="E1499" s="1">
        <f>IFERROR(__xludf.DUMMYFUNCTION("""COMPUTED_VALUE"""),263.0)</f>
        <v>263</v>
      </c>
    </row>
    <row r="1500">
      <c r="A1500" s="1" t="str">
        <f>IFERROR(__xludf.DUMMYFUNCTION("""COMPUTED_VALUE"""),"XBOSVN019X13")</f>
        <v>XBOSVN019X13</v>
      </c>
      <c r="B1500" s="1">
        <f>IFERROR(__xludf.DUMMYFUNCTION("""COMPUTED_VALUE"""),0.0)</f>
        <v>0</v>
      </c>
      <c r="C1500" s="1">
        <f>IFERROR(__xludf.DUMMYFUNCTION("""COMPUTED_VALUE"""),115.0)</f>
        <v>115</v>
      </c>
      <c r="D1500" s="1">
        <f>IFERROR(__xludf.DUMMYFUNCTION("""COMPUTED_VALUE"""),0.0)</f>
        <v>0</v>
      </c>
      <c r="E1500" s="1">
        <f>IFERROR(__xludf.DUMMYFUNCTION("""COMPUTED_VALUE"""),115.0)</f>
        <v>115</v>
      </c>
    </row>
    <row r="1501">
      <c r="A1501" s="1" t="str">
        <f>IFERROR(__xludf.DUMMYFUNCTION("""COMPUTED_VALUE"""),"XBOSVN025X13")</f>
        <v>XBOSVN025X13</v>
      </c>
      <c r="B1501" s="1">
        <f>IFERROR(__xludf.DUMMYFUNCTION("""COMPUTED_VALUE"""),0.0)</f>
        <v>0</v>
      </c>
      <c r="C1501" s="1">
        <f>IFERROR(__xludf.DUMMYFUNCTION("""COMPUTED_VALUE"""),1203.0)</f>
        <v>1203</v>
      </c>
      <c r="D1501" s="1">
        <f>IFERROR(__xludf.DUMMYFUNCTION("""COMPUTED_VALUE"""),0.0)</f>
        <v>0</v>
      </c>
      <c r="E1501" s="1">
        <f>IFERROR(__xludf.DUMMYFUNCTION("""COMPUTED_VALUE"""),1203.0)</f>
        <v>1203</v>
      </c>
    </row>
    <row r="1502">
      <c r="A1502" s="1" t="str">
        <f>IFERROR(__xludf.DUMMYFUNCTION("""COMPUTED_VALUE"""),"XBOSVN025X25")</f>
        <v>XBOSVN025X25</v>
      </c>
      <c r="B1502" s="1">
        <f>IFERROR(__xludf.DUMMYFUNCTION("""COMPUTED_VALUE"""),0.0)</f>
        <v>0</v>
      </c>
      <c r="C1502" s="1">
        <f>IFERROR(__xludf.DUMMYFUNCTION("""COMPUTED_VALUE"""),2.0)</f>
        <v>2</v>
      </c>
      <c r="D1502" s="1">
        <f>IFERROR(__xludf.DUMMYFUNCTION("""COMPUTED_VALUE"""),0.0)</f>
        <v>0</v>
      </c>
      <c r="E1502" s="1">
        <f>IFERROR(__xludf.DUMMYFUNCTION("""COMPUTED_VALUE"""),2.0)</f>
        <v>2</v>
      </c>
    </row>
    <row r="1503">
      <c r="A1503" s="1" t="str">
        <f>IFERROR(__xludf.DUMMYFUNCTION("""COMPUTED_VALUE"""),"XBOSVN028X38")</f>
        <v>XBOSVN028X38</v>
      </c>
      <c r="B1503" s="1">
        <f>IFERROR(__xludf.DUMMYFUNCTION("""COMPUTED_VALUE"""),0.0)</f>
        <v>0</v>
      </c>
      <c r="C1503" s="1">
        <f>IFERROR(__xludf.DUMMYFUNCTION("""COMPUTED_VALUE"""),5.0)</f>
        <v>5</v>
      </c>
      <c r="D1503" s="1">
        <f>IFERROR(__xludf.DUMMYFUNCTION("""COMPUTED_VALUE"""),0.0)</f>
        <v>0</v>
      </c>
      <c r="E1503" s="1">
        <f>IFERROR(__xludf.DUMMYFUNCTION("""COMPUTED_VALUE"""),5.0)</f>
        <v>5</v>
      </c>
    </row>
    <row r="1504">
      <c r="A1504" s="1" t="str">
        <f>IFERROR(__xludf.DUMMYFUNCTION("""COMPUTED_VALUE"""),"XBOSVN032X13")</f>
        <v>XBOSVN032X13</v>
      </c>
      <c r="B1504" s="1">
        <f>IFERROR(__xludf.DUMMYFUNCTION("""COMPUTED_VALUE"""),0.0)</f>
        <v>0</v>
      </c>
      <c r="C1504" s="1">
        <f>IFERROR(__xludf.DUMMYFUNCTION("""COMPUTED_VALUE"""),944.0)</f>
        <v>944</v>
      </c>
      <c r="D1504" s="1">
        <f>IFERROR(__xludf.DUMMYFUNCTION("""COMPUTED_VALUE"""),0.0)</f>
        <v>0</v>
      </c>
      <c r="E1504" s="1">
        <f>IFERROR(__xludf.DUMMYFUNCTION("""COMPUTED_VALUE"""),944.0)</f>
        <v>944</v>
      </c>
    </row>
    <row r="1505">
      <c r="A1505" s="1" t="str">
        <f>IFERROR(__xludf.DUMMYFUNCTION("""COMPUTED_VALUE"""),"XBOSVN051X10")</f>
        <v>XBOSVN051X10</v>
      </c>
      <c r="B1505" s="1">
        <f>IFERROR(__xludf.DUMMYFUNCTION("""COMPUTED_VALUE"""),0.0)</f>
        <v>0</v>
      </c>
      <c r="C1505" s="1">
        <f>IFERROR(__xludf.DUMMYFUNCTION("""COMPUTED_VALUE"""),18.0)</f>
        <v>18</v>
      </c>
      <c r="D1505" s="1">
        <f>IFERROR(__xludf.DUMMYFUNCTION("""COMPUTED_VALUE"""),0.0)</f>
        <v>0</v>
      </c>
      <c r="E1505" s="1">
        <f>IFERROR(__xludf.DUMMYFUNCTION("""COMPUTED_VALUE"""),18.0)</f>
        <v>18</v>
      </c>
    </row>
    <row r="1506">
      <c r="A1506" s="1" t="str">
        <f>IFERROR(__xludf.DUMMYFUNCTION("""COMPUTED_VALUE"""),"XBOSVN051X19")</f>
        <v>XBOSVN051X19</v>
      </c>
      <c r="B1506" s="1">
        <f>IFERROR(__xludf.DUMMYFUNCTION("""COMPUTED_VALUE"""),0.0)</f>
        <v>0</v>
      </c>
      <c r="C1506" s="1">
        <f>IFERROR(__xludf.DUMMYFUNCTION("""COMPUTED_VALUE"""),4.0)</f>
        <v>4</v>
      </c>
      <c r="D1506" s="1">
        <f>IFERROR(__xludf.DUMMYFUNCTION("""COMPUTED_VALUE"""),0.0)</f>
        <v>0</v>
      </c>
      <c r="E1506" s="1">
        <f>IFERROR(__xludf.DUMMYFUNCTION("""COMPUTED_VALUE"""),4.0)</f>
        <v>4</v>
      </c>
    </row>
    <row r="1507">
      <c r="A1507" s="1" t="str">
        <f>IFERROR(__xludf.DUMMYFUNCTION("""COMPUTED_VALUE"""),"XBOSVN051X38")</f>
        <v>XBOSVN051X38</v>
      </c>
      <c r="B1507" s="1">
        <f>IFERROR(__xludf.DUMMYFUNCTION("""COMPUTED_VALUE"""),0.0)</f>
        <v>0</v>
      </c>
      <c r="C1507" s="1">
        <f>IFERROR(__xludf.DUMMYFUNCTION("""COMPUTED_VALUE"""),1.0)</f>
        <v>1</v>
      </c>
      <c r="D1507" s="1">
        <f>IFERROR(__xludf.DUMMYFUNCTION("""COMPUTED_VALUE"""),0.0)</f>
        <v>0</v>
      </c>
      <c r="E1507" s="1">
        <f>IFERROR(__xludf.DUMMYFUNCTION("""COMPUTED_VALUE"""),1.0)</f>
        <v>1</v>
      </c>
    </row>
    <row r="1508">
      <c r="A1508" s="1" t="str">
        <f>IFERROR(__xludf.DUMMYFUNCTION("""COMPUTED_VALUE"""),"XBOSVN060X32")</f>
        <v>XBOSVN060X32</v>
      </c>
      <c r="B1508" s="1">
        <f>IFERROR(__xludf.DUMMYFUNCTION("""COMPUTED_VALUE"""),0.0)</f>
        <v>0</v>
      </c>
      <c r="C1508" s="1">
        <f>IFERROR(__xludf.DUMMYFUNCTION("""COMPUTED_VALUE"""),3.0)</f>
        <v>3</v>
      </c>
      <c r="D1508" s="1">
        <f>IFERROR(__xludf.DUMMYFUNCTION("""COMPUTED_VALUE"""),0.0)</f>
        <v>0</v>
      </c>
      <c r="E1508" s="1">
        <f>IFERROR(__xludf.DUMMYFUNCTION("""COMPUTED_VALUE"""),3.0)</f>
        <v>3</v>
      </c>
    </row>
    <row r="1509">
      <c r="A1509" s="1" t="str">
        <f>IFERROR(__xludf.DUMMYFUNCTION("""COMPUTED_VALUE"""),"XBOSVN067X25")</f>
        <v>XBOSVN067X25</v>
      </c>
      <c r="B1509" s="1">
        <f>IFERROR(__xludf.DUMMYFUNCTION("""COMPUTED_VALUE"""),0.0)</f>
        <v>0</v>
      </c>
      <c r="C1509" s="1">
        <f>IFERROR(__xludf.DUMMYFUNCTION("""COMPUTED_VALUE"""),2.0)</f>
        <v>2</v>
      </c>
      <c r="D1509" s="1">
        <f>IFERROR(__xludf.DUMMYFUNCTION("""COMPUTED_VALUE"""),0.0)</f>
        <v>0</v>
      </c>
      <c r="E1509" s="1">
        <f>IFERROR(__xludf.DUMMYFUNCTION("""COMPUTED_VALUE"""),2.0)</f>
        <v>2</v>
      </c>
    </row>
    <row r="1510">
      <c r="A1510" s="1" t="str">
        <f>IFERROR(__xludf.DUMMYFUNCTION("""COMPUTED_VALUE"""),"XBOSVN089X10")</f>
        <v>XBOSVN089X10</v>
      </c>
      <c r="B1510" s="1">
        <f>IFERROR(__xludf.DUMMYFUNCTION("""COMPUTED_VALUE"""),0.0)</f>
        <v>0</v>
      </c>
      <c r="C1510" s="1">
        <f>IFERROR(__xludf.DUMMYFUNCTION("""COMPUTED_VALUE"""),8.0)</f>
        <v>8</v>
      </c>
      <c r="D1510" s="1">
        <f>IFERROR(__xludf.DUMMYFUNCTION("""COMPUTED_VALUE"""),0.0)</f>
        <v>0</v>
      </c>
      <c r="E1510" s="1">
        <f>IFERROR(__xludf.DUMMYFUNCTION("""COMPUTED_VALUE"""),8.0)</f>
        <v>8</v>
      </c>
    </row>
    <row r="1511">
      <c r="A1511" s="1" t="str">
        <f>IFERROR(__xludf.DUMMYFUNCTION("""COMPUTED_VALUE"""),"XBOSVN089X38")</f>
        <v>XBOSVN089X38</v>
      </c>
      <c r="B1511" s="1">
        <f>IFERROR(__xludf.DUMMYFUNCTION("""COMPUTED_VALUE"""),0.0)</f>
        <v>0</v>
      </c>
      <c r="C1511" s="1">
        <f>IFERROR(__xludf.DUMMYFUNCTION("""COMPUTED_VALUE"""),3.0)</f>
        <v>3</v>
      </c>
      <c r="D1511" s="1">
        <f>IFERROR(__xludf.DUMMYFUNCTION("""COMPUTED_VALUE"""),0.0)</f>
        <v>0</v>
      </c>
      <c r="E1511" s="1">
        <f>IFERROR(__xludf.DUMMYFUNCTION("""COMPUTED_VALUE"""),3.0)</f>
        <v>3</v>
      </c>
    </row>
    <row r="1512">
      <c r="A1512" s="1" t="str">
        <f>IFERROR(__xludf.DUMMYFUNCTION("""COMPUTED_VALUE"""),"XBOSVN114X19")</f>
        <v>XBOSVN114X19</v>
      </c>
      <c r="B1512" s="1">
        <f>IFERROR(__xludf.DUMMYFUNCTION("""COMPUTED_VALUE"""),0.0)</f>
        <v>0</v>
      </c>
      <c r="C1512" s="1">
        <f>IFERROR(__xludf.DUMMYFUNCTION("""COMPUTED_VALUE"""),2.0)</f>
        <v>2</v>
      </c>
      <c r="D1512" s="1">
        <f>IFERROR(__xludf.DUMMYFUNCTION("""COMPUTED_VALUE"""),0.0)</f>
        <v>0</v>
      </c>
      <c r="E1512" s="1">
        <f>IFERROR(__xludf.DUMMYFUNCTION("""COMPUTED_VALUE"""),2.0)</f>
        <v>2</v>
      </c>
    </row>
    <row r="1513">
      <c r="A1513" s="1" t="str">
        <f>IFERROR(__xludf.DUMMYFUNCTION("""COMPUTED_VALUE"""),"XBOSVN140X25")</f>
        <v>XBOSVN140X25</v>
      </c>
      <c r="B1513" s="1">
        <f>IFERROR(__xludf.DUMMYFUNCTION("""COMPUTED_VALUE"""),0.0)</f>
        <v>0</v>
      </c>
      <c r="C1513" s="1">
        <f>IFERROR(__xludf.DUMMYFUNCTION("""COMPUTED_VALUE"""),4.0)</f>
        <v>4</v>
      </c>
      <c r="D1513" s="1">
        <f>IFERROR(__xludf.DUMMYFUNCTION("""COMPUTED_VALUE"""),0.0)</f>
        <v>0</v>
      </c>
      <c r="E1513" s="1">
        <f>IFERROR(__xludf.DUMMYFUNCTION("""COMPUTED_VALUE"""),4.0)</f>
        <v>4</v>
      </c>
    </row>
    <row r="1514">
      <c r="A1514" s="1" t="str">
        <f>IFERROR(__xludf.DUMMYFUNCTION("""COMPUTED_VALUE"""),"XTA251204C0B")</f>
        <v>XTA251204C0B</v>
      </c>
      <c r="B1514" s="1">
        <f>IFERROR(__xludf.DUMMYFUNCTION("""COMPUTED_VALUE"""),0.0)</f>
        <v>0</v>
      </c>
      <c r="C1514" s="1">
        <f>IFERROR(__xludf.DUMMYFUNCTION("""COMPUTED_VALUE"""),79.0)</f>
        <v>79</v>
      </c>
      <c r="D1514" s="1">
        <f>IFERROR(__xludf.DUMMYFUNCTION("""COMPUTED_VALUE"""),0.0)</f>
        <v>0</v>
      </c>
      <c r="E1514" s="1">
        <f>IFERROR(__xludf.DUMMYFUNCTION("""COMPUTED_VALUE"""),79.0)</f>
        <v>79</v>
      </c>
    </row>
    <row r="1515">
      <c r="A1515" s="1" t="str">
        <f>IFERROR(__xludf.DUMMYFUNCTION("""COMPUTED_VALUE"""),"XTA5012203BD")</f>
        <v>XTA5012203BD</v>
      </c>
      <c r="B1515" s="1">
        <f>IFERROR(__xludf.DUMMYFUNCTION("""COMPUTED_VALUE"""),0.0)</f>
        <v>0</v>
      </c>
      <c r="C1515" s="1">
        <f>IFERROR(__xludf.DUMMYFUNCTION("""COMPUTED_VALUE"""),1.0)</f>
        <v>1</v>
      </c>
      <c r="D1515" s="1">
        <f>IFERROR(__xludf.DUMMYFUNCTION("""COMPUTED_VALUE"""),0.0)</f>
        <v>0</v>
      </c>
      <c r="E1515" s="1">
        <f>IFERROR(__xludf.DUMMYFUNCTION("""COMPUTED_VALUE"""),1.0)</f>
        <v>1</v>
      </c>
    </row>
    <row r="1516">
      <c r="A1516" s="1" t="str">
        <f>IFERROR(__xludf.DUMMYFUNCTION("""COMPUTED_VALUE"""),"XTAE161210C0BD")</f>
        <v>XTAE161210C0BD</v>
      </c>
      <c r="B1516" s="1">
        <f>IFERROR(__xludf.DUMMYFUNCTION("""COMPUTED_VALUE"""),0.0)</f>
        <v>0</v>
      </c>
      <c r="C1516" s="1">
        <f>IFERROR(__xludf.DUMMYFUNCTION("""COMPUTED_VALUE"""),95.0)</f>
        <v>95</v>
      </c>
      <c r="D1516" s="1">
        <f>IFERROR(__xludf.DUMMYFUNCTION("""COMPUTED_VALUE"""),0.0)</f>
        <v>0</v>
      </c>
      <c r="E1516" s="1">
        <f>IFERROR(__xludf.DUMMYFUNCTION("""COMPUTED_VALUE"""),95.0)</f>
        <v>95</v>
      </c>
    </row>
    <row r="1517">
      <c r="A1517" s="1" t="str">
        <f>IFERROR(__xludf.DUMMYFUNCTION("""COMPUTED_VALUE"""),"XTAE251205C0BD")</f>
        <v>XTAE251205C0BD</v>
      </c>
      <c r="B1517" s="1">
        <f>IFERROR(__xludf.DUMMYFUNCTION("""COMPUTED_VALUE"""),0.0)</f>
        <v>0</v>
      </c>
      <c r="C1517" s="1">
        <f>IFERROR(__xludf.DUMMYFUNCTION("""COMPUTED_VALUE"""),98.0)</f>
        <v>98</v>
      </c>
      <c r="D1517" s="1">
        <f>IFERROR(__xludf.DUMMYFUNCTION("""COMPUTED_VALUE"""),0.0)</f>
        <v>0</v>
      </c>
      <c r="E1517" s="1">
        <f>IFERROR(__xludf.DUMMYFUNCTION("""COMPUTED_VALUE"""),98.0)</f>
        <v>98</v>
      </c>
    </row>
    <row r="1518">
      <c r="A1518" s="1" t="str">
        <f>IFERROR(__xludf.DUMMYFUNCTION("""COMPUTED_VALUE"""),"XTS13122914")</f>
        <v>XTS13122914</v>
      </c>
      <c r="B1518" s="1">
        <f>IFERROR(__xludf.DUMMYFUNCTION("""COMPUTED_VALUE"""),0.0)</f>
        <v>0</v>
      </c>
      <c r="C1518" s="1">
        <f>IFERROR(__xludf.DUMMYFUNCTION("""COMPUTED_VALUE"""),1.0)</f>
        <v>1</v>
      </c>
      <c r="D1518" s="1">
        <f>IFERROR(__xludf.DUMMYFUNCTION("""COMPUTED_VALUE"""),0.0)</f>
        <v>0</v>
      </c>
      <c r="E1518" s="1">
        <f>IFERROR(__xludf.DUMMYFUNCTION("""COMPUTED_VALUE"""),1.0)</f>
        <v>1</v>
      </c>
    </row>
    <row r="1519">
      <c r="A1519" s="1" t="str">
        <f>IFERROR(__xludf.DUMMYFUNCTION("""COMPUTED_VALUE"""),"XTSVN1612214BD")</f>
        <v>XTSVN1612214BD</v>
      </c>
      <c r="B1519" s="1">
        <f>IFERROR(__xludf.DUMMYFUNCTION("""COMPUTED_VALUE"""),0.0)</f>
        <v>0</v>
      </c>
      <c r="C1519" s="1">
        <f>IFERROR(__xludf.DUMMYFUNCTION("""COMPUTED_VALUE"""),16.0)</f>
        <v>16</v>
      </c>
      <c r="D1519" s="1">
        <f>IFERROR(__xludf.DUMMYFUNCTION("""COMPUTED_VALUE"""),0.0)</f>
        <v>0</v>
      </c>
      <c r="E1519" s="1">
        <f>IFERROR(__xludf.DUMMYFUNCTION("""COMPUTED_VALUE"""),16.0)</f>
        <v>16</v>
      </c>
    </row>
    <row r="1520">
      <c r="A1520" s="1" t="str">
        <f>IFERROR(__xludf.DUMMYFUNCTION("""COMPUTED_VALUE"""),"AL6PET1565")</f>
        <v>AL6PET1565</v>
      </c>
      <c r="B1520" s="1">
        <f>IFERROR(__xludf.DUMMYFUNCTION("""COMPUTED_VALUE"""),0.0)</f>
        <v>0</v>
      </c>
      <c r="C1520" s="1">
        <f>IFERROR(__xludf.DUMMYFUNCTION("""COMPUTED_VALUE"""),135.9)</f>
        <v>135.9</v>
      </c>
      <c r="D1520" s="1">
        <f>IFERROR(__xludf.DUMMYFUNCTION("""COMPUTED_VALUE"""),135.9)</f>
        <v>135.9</v>
      </c>
      <c r="E1520" s="1">
        <f>IFERROR(__xludf.DUMMYFUNCTION("""COMPUTED_VALUE"""),0.0)</f>
        <v>0</v>
      </c>
    </row>
    <row r="1521">
      <c r="A1521" s="1" t="str">
        <f>IFERROR(__xludf.DUMMYFUNCTION("""COMPUTED_VALUE"""),"BTTOG25x12")</f>
        <v>BTTOG25x12</v>
      </c>
      <c r="B1521" s="1">
        <f>IFERROR(__xludf.DUMMYFUNCTION("""COMPUTED_VALUE"""),0.0)</f>
        <v>0</v>
      </c>
      <c r="C1521" s="1">
        <f>IFERROR(__xludf.DUMMYFUNCTION("""COMPUTED_VALUE"""),2.51)</f>
        <v>2.51</v>
      </c>
      <c r="D1521" s="1">
        <f>IFERROR(__xludf.DUMMYFUNCTION("""COMPUTED_VALUE"""),2.51)</f>
        <v>2.51</v>
      </c>
      <c r="E1521" s="1">
        <f>IFERROR(__xludf.DUMMYFUNCTION("""COMPUTED_VALUE"""),0.0)</f>
        <v>0</v>
      </c>
    </row>
    <row r="1522">
      <c r="A1522" s="1" t="str">
        <f>IFERROR(__xludf.DUMMYFUNCTION("""COMPUTED_VALUE"""),"DTHIT")</f>
        <v>DTHIT</v>
      </c>
      <c r="B1522" s="1">
        <f>IFERROR(__xludf.DUMMYFUNCTION("""COMPUTED_VALUE"""),0.0)</f>
        <v>0</v>
      </c>
      <c r="C1522" s="1">
        <f>IFERROR(__xludf.DUMMYFUNCTION("""COMPUTED_VALUE"""),8734.0)</f>
        <v>8734</v>
      </c>
      <c r="D1522" s="1">
        <f>IFERROR(__xludf.DUMMYFUNCTION("""COMPUTED_VALUE"""),8734.0)</f>
        <v>8734</v>
      </c>
      <c r="E1522" s="1">
        <f>IFERROR(__xludf.DUMMYFUNCTION("""COMPUTED_VALUE"""),0.0)</f>
        <v>0</v>
      </c>
    </row>
    <row r="1523">
      <c r="A1523" s="1" t="str">
        <f>IFERROR(__xludf.DUMMYFUNCTION("""COMPUTED_VALUE"""),"HKTODL1/2x50")</f>
        <v>HKTODL1/2x50</v>
      </c>
      <c r="B1523" s="1">
        <f>IFERROR(__xludf.DUMMYFUNCTION("""COMPUTED_VALUE"""),0.0)</f>
        <v>0</v>
      </c>
      <c r="C1523" s="1">
        <f>IFERROR(__xludf.DUMMYFUNCTION("""COMPUTED_VALUE"""),6.0)</f>
        <v>6</v>
      </c>
      <c r="D1523" s="1">
        <f>IFERROR(__xludf.DUMMYFUNCTION("""COMPUTED_VALUE"""),6.0)</f>
        <v>6</v>
      </c>
      <c r="E1523" s="1">
        <f>IFERROR(__xludf.DUMMYFUNCTION("""COMPUTED_VALUE"""),0.0)</f>
        <v>0</v>
      </c>
    </row>
    <row r="1524">
      <c r="A1524" s="1" t="str">
        <f>IFERROR(__xludf.DUMMYFUNCTION("""COMPUTED_VALUE"""),"HKTODL1/4x50")</f>
        <v>HKTODL1/4x50</v>
      </c>
      <c r="B1524" s="1">
        <f>IFERROR(__xludf.DUMMYFUNCTION("""COMPUTED_VALUE"""),0.0)</f>
        <v>0</v>
      </c>
      <c r="C1524" s="1">
        <f>IFERROR(__xludf.DUMMYFUNCTION("""COMPUTED_VALUE"""),17.0)</f>
        <v>17</v>
      </c>
      <c r="D1524" s="1">
        <f>IFERROR(__xludf.DUMMYFUNCTION("""COMPUTED_VALUE"""),17.0)</f>
        <v>17</v>
      </c>
      <c r="E1524" s="1">
        <f>IFERROR(__xludf.DUMMYFUNCTION("""COMPUTED_VALUE"""),0.0)</f>
        <v>0</v>
      </c>
    </row>
    <row r="1525">
      <c r="A1525" s="1" t="str">
        <f>IFERROR(__xludf.DUMMYFUNCTION("""COMPUTED_VALUE"""),"HKTODL3/8x50")</f>
        <v>HKTODL3/8x50</v>
      </c>
      <c r="B1525" s="1">
        <f>IFERROR(__xludf.DUMMYFUNCTION("""COMPUTED_VALUE"""),0.0)</f>
        <v>0</v>
      </c>
      <c r="C1525" s="1">
        <f>IFERROR(__xludf.DUMMYFUNCTION("""COMPUTED_VALUE"""),17.0)</f>
        <v>17</v>
      </c>
      <c r="D1525" s="1">
        <f>IFERROR(__xludf.DUMMYFUNCTION("""COMPUTED_VALUE"""),17.0)</f>
        <v>17</v>
      </c>
      <c r="E1525" s="1">
        <f>IFERROR(__xludf.DUMMYFUNCTION("""COMPUTED_VALUE"""),0.0)</f>
        <v>0</v>
      </c>
    </row>
    <row r="1526">
      <c r="A1526" s="1" t="str">
        <f>IFERROR(__xludf.DUMMYFUNCTION("""COMPUTED_VALUE"""),"OGBSX150PL")</f>
        <v>OGBSX150PL</v>
      </c>
      <c r="B1526" s="1">
        <f>IFERROR(__xludf.DUMMYFUNCTION("""COMPUTED_VALUE"""),0.0)</f>
        <v>0</v>
      </c>
      <c r="C1526" s="1">
        <f>IFERROR(__xludf.DUMMYFUNCTION("""COMPUTED_VALUE"""),411.0)</f>
        <v>411</v>
      </c>
      <c r="D1526" s="1">
        <f>IFERROR(__xludf.DUMMYFUNCTION("""COMPUTED_VALUE"""),411.0)</f>
        <v>411</v>
      </c>
      <c r="E1526" s="1">
        <f>IFERROR(__xludf.DUMMYFUNCTION("""COMPUTED_VALUE"""),0.0)</f>
        <v>0</v>
      </c>
    </row>
    <row r="1527">
      <c r="A1527" s="1" t="str">
        <f>IFERROR(__xludf.DUMMYFUNCTION("""COMPUTED_VALUE"""),"OGBSX200")</f>
        <v>OGBSX200</v>
      </c>
      <c r="B1527" s="1">
        <f>IFERROR(__xludf.DUMMYFUNCTION("""COMPUTED_VALUE"""),0.0)</f>
        <v>0</v>
      </c>
      <c r="C1527" s="1">
        <f>IFERROR(__xludf.DUMMYFUNCTION("""COMPUTED_VALUE"""),189.0)</f>
        <v>189</v>
      </c>
      <c r="D1527" s="1">
        <f>IFERROR(__xludf.DUMMYFUNCTION("""COMPUTED_VALUE"""),189.0)</f>
        <v>189</v>
      </c>
      <c r="E1527" s="1">
        <f>IFERROR(__xludf.DUMMYFUNCTION("""COMPUTED_VALUE"""),0.0)</f>
        <v>0</v>
      </c>
    </row>
    <row r="1528">
      <c r="A1528" s="1" t="str">
        <f>IFERROR(__xludf.DUMMYFUNCTION("""COMPUTED_VALUE"""),"OGBSX350")</f>
        <v>OGBSX350</v>
      </c>
      <c r="B1528" s="1">
        <f>IFERROR(__xludf.DUMMYFUNCTION("""COMPUTED_VALUE"""),0.0)</f>
        <v>0</v>
      </c>
      <c r="C1528" s="1">
        <f>IFERROR(__xludf.DUMMYFUNCTION("""COMPUTED_VALUE"""),105.0)</f>
        <v>105</v>
      </c>
      <c r="D1528" s="1">
        <f>IFERROR(__xludf.DUMMYFUNCTION("""COMPUTED_VALUE"""),105.0)</f>
        <v>105</v>
      </c>
      <c r="E1528" s="1">
        <f>IFERROR(__xludf.DUMMYFUNCTION("""COMPUTED_VALUE"""),0.0)</f>
        <v>0</v>
      </c>
    </row>
    <row r="1529">
      <c r="A1529" s="1" t="str">
        <f>IFERROR(__xludf.DUMMYFUNCTION("""COMPUTED_VALUE"""),"OGTSX150")</f>
        <v>OGTSX150</v>
      </c>
      <c r="B1529" s="1">
        <f>IFERROR(__xludf.DUMMYFUNCTION("""COMPUTED_VALUE"""),0.0)</f>
        <v>0</v>
      </c>
      <c r="C1529" s="1">
        <f>IFERROR(__xludf.DUMMYFUNCTION("""COMPUTED_VALUE"""),106.0)</f>
        <v>106</v>
      </c>
      <c r="D1529" s="1">
        <f>IFERROR(__xludf.DUMMYFUNCTION("""COMPUTED_VALUE"""),106.0)</f>
        <v>106</v>
      </c>
      <c r="E1529" s="1">
        <f>IFERROR(__xludf.DUMMYFUNCTION("""COMPUTED_VALUE"""),0.0)</f>
        <v>0</v>
      </c>
    </row>
    <row r="1530">
      <c r="A1530" s="1" t="str">
        <f>IFERROR(__xludf.DUMMYFUNCTION("""COMPUTED_VALUE"""),"OGTSX200")</f>
        <v>OGTSX200</v>
      </c>
      <c r="B1530" s="1">
        <f>IFERROR(__xludf.DUMMYFUNCTION("""COMPUTED_VALUE"""),0.0)</f>
        <v>0</v>
      </c>
      <c r="C1530" s="1">
        <f>IFERROR(__xludf.DUMMYFUNCTION("""COMPUTED_VALUE"""),1773.0)</f>
        <v>1773</v>
      </c>
      <c r="D1530" s="1">
        <f>IFERROR(__xludf.DUMMYFUNCTION("""COMPUTED_VALUE"""),1773.0)</f>
        <v>1773</v>
      </c>
      <c r="E1530" s="1">
        <f>IFERROR(__xludf.DUMMYFUNCTION("""COMPUTED_VALUE"""),0.0)</f>
        <v>0</v>
      </c>
    </row>
    <row r="1531">
      <c r="A1531" s="1" t="str">
        <f>IFERROR(__xludf.DUMMYFUNCTION("""COMPUTED_VALUE"""),"OGTSX250")</f>
        <v>OGTSX250</v>
      </c>
      <c r="B1531" s="1">
        <f>IFERROR(__xludf.DUMMYFUNCTION("""COMPUTED_VALUE"""),0.0)</f>
        <v>0</v>
      </c>
      <c r="C1531" s="1">
        <f>IFERROR(__xludf.DUMMYFUNCTION("""COMPUTED_VALUE"""),1243.0)</f>
        <v>1243</v>
      </c>
      <c r="D1531" s="1">
        <f>IFERROR(__xludf.DUMMYFUNCTION("""COMPUTED_VALUE"""),1243.0)</f>
        <v>1243</v>
      </c>
      <c r="E1531" s="1">
        <f>IFERROR(__xludf.DUMMYFUNCTION("""COMPUTED_VALUE"""),0.0)</f>
        <v>0</v>
      </c>
    </row>
    <row r="1532">
      <c r="A1532" s="1" t="str">
        <f>IFERROR(__xludf.DUMMYFUNCTION("""COMPUTED_VALUE"""),"OGTSX300")</f>
        <v>OGTSX300</v>
      </c>
      <c r="B1532" s="1">
        <f>IFERROR(__xludf.DUMMYFUNCTION("""COMPUTED_VALUE"""),0.0)</f>
        <v>0</v>
      </c>
      <c r="C1532" s="1">
        <f>IFERROR(__xludf.DUMMYFUNCTION("""COMPUTED_VALUE"""),795.0)</f>
        <v>795</v>
      </c>
      <c r="D1532" s="1">
        <f>IFERROR(__xludf.DUMMYFUNCTION("""COMPUTED_VALUE"""),795.0)</f>
        <v>795</v>
      </c>
      <c r="E1532" s="1">
        <f>IFERROR(__xludf.DUMMYFUNCTION("""COMPUTED_VALUE"""),0.0)</f>
        <v>0</v>
      </c>
    </row>
    <row r="1533">
      <c r="A1533" s="1" t="str">
        <f>IFERROR(__xludf.DUMMYFUNCTION("""COMPUTED_VALUE"""),"AMTAISEI")</f>
        <v>AMTAISEI</v>
      </c>
      <c r="B1533" s="1">
        <f>IFERROR(__xludf.DUMMYFUNCTION("""COMPUTED_VALUE"""),0.0)</f>
        <v>0</v>
      </c>
      <c r="C1533" s="1">
        <f>IFERROR(__xludf.DUMMYFUNCTION("""COMPUTED_VALUE"""),5.0)</f>
        <v>5</v>
      </c>
      <c r="D1533" s="1">
        <f>IFERROR(__xludf.DUMMYFUNCTION("""COMPUTED_VALUE"""),5.0)</f>
        <v>5</v>
      </c>
      <c r="E1533" s="1">
        <f>IFERROR(__xludf.DUMMYFUNCTION("""COMPUTED_VALUE"""),0.0)</f>
        <v>0</v>
      </c>
    </row>
    <row r="1534">
      <c r="A1534" s="1" t="str">
        <f>IFERROR(__xludf.DUMMYFUNCTION("""COMPUTED_VALUE"""),"AODPDO")</f>
        <v>AODPDO</v>
      </c>
      <c r="B1534" s="1">
        <f>IFERROR(__xludf.DUMMYFUNCTION("""COMPUTED_VALUE"""),0.0)</f>
        <v>0</v>
      </c>
      <c r="C1534" s="1">
        <f>IFERROR(__xludf.DUMMYFUNCTION("""COMPUTED_VALUE"""),14.0)</f>
        <v>14</v>
      </c>
      <c r="D1534" s="1">
        <f>IFERROR(__xludf.DUMMYFUNCTION("""COMPUTED_VALUE"""),14.0)</f>
        <v>14</v>
      </c>
      <c r="E1534" s="1">
        <f>IFERROR(__xludf.DUMMYFUNCTION("""COMPUTED_VALUE"""),0.0)</f>
        <v>0</v>
      </c>
    </row>
    <row r="1535">
      <c r="A1535" s="1" t="str">
        <f>IFERROR(__xludf.DUMMYFUNCTION("""COMPUTED_VALUE"""),"AODPXANH")</f>
        <v>AODPXANH</v>
      </c>
      <c r="B1535" s="1">
        <f>IFERROR(__xludf.DUMMYFUNCTION("""COMPUTED_VALUE"""),0.0)</f>
        <v>0</v>
      </c>
      <c r="C1535" s="1">
        <f>IFERROR(__xludf.DUMMYFUNCTION("""COMPUTED_VALUE"""),14.0)</f>
        <v>14</v>
      </c>
      <c r="D1535" s="1">
        <f>IFERROR(__xludf.DUMMYFUNCTION("""COMPUTED_VALUE"""),14.0)</f>
        <v>14</v>
      </c>
      <c r="E1535" s="1">
        <f>IFERROR(__xludf.DUMMYFUNCTION("""COMPUTED_VALUE"""),0.0)</f>
        <v>0</v>
      </c>
    </row>
    <row r="1536">
      <c r="A1536" s="1" t="str">
        <f>IFERROR(__xludf.DUMMYFUNCTION("""COMPUTED_VALUE"""),"C01BP59")</f>
        <v>C01BP59</v>
      </c>
      <c r="B1536" s="1">
        <f>IFERROR(__xludf.DUMMYFUNCTION("""COMPUTED_VALUE"""),0.0)</f>
        <v>0</v>
      </c>
      <c r="C1536" s="1">
        <f>IFERROR(__xludf.DUMMYFUNCTION("""COMPUTED_VALUE"""),1.0)</f>
        <v>1</v>
      </c>
      <c r="D1536" s="1">
        <f>IFERROR(__xludf.DUMMYFUNCTION("""COMPUTED_VALUE"""),1.0)</f>
        <v>1</v>
      </c>
      <c r="E1536" s="1">
        <f>IFERROR(__xludf.DUMMYFUNCTION("""COMPUTED_VALUE"""),0.0)</f>
        <v>0</v>
      </c>
    </row>
    <row r="1537">
      <c r="A1537" s="1" t="str">
        <f>IFERROR(__xludf.DUMMYFUNCTION("""COMPUTED_VALUE"""),"C01BP62")</f>
        <v>C01BP62</v>
      </c>
      <c r="B1537" s="1">
        <f>IFERROR(__xludf.DUMMYFUNCTION("""COMPUTED_VALUE"""),0.0)</f>
        <v>0</v>
      </c>
      <c r="C1537" s="1">
        <f>IFERROR(__xludf.DUMMYFUNCTION("""COMPUTED_VALUE"""),1.0)</f>
        <v>1</v>
      </c>
      <c r="D1537" s="1">
        <f>IFERROR(__xludf.DUMMYFUNCTION("""COMPUTED_VALUE"""),1.0)</f>
        <v>1</v>
      </c>
      <c r="E1537" s="1">
        <f>IFERROR(__xludf.DUMMYFUNCTION("""COMPUTED_VALUE"""),0.0)</f>
        <v>0</v>
      </c>
    </row>
    <row r="1538">
      <c r="A1538" s="1" t="str">
        <f>IFERROR(__xludf.DUMMYFUNCTION("""COMPUTED_VALUE"""),"C01BP63")</f>
        <v>C01BP63</v>
      </c>
      <c r="B1538" s="1">
        <f>IFERROR(__xludf.DUMMYFUNCTION("""COMPUTED_VALUE"""),0.0)</f>
        <v>0</v>
      </c>
      <c r="C1538" s="1">
        <f>IFERROR(__xludf.DUMMYFUNCTION("""COMPUTED_VALUE"""),1.0)</f>
        <v>1</v>
      </c>
      <c r="D1538" s="1">
        <f>IFERROR(__xludf.DUMMYFUNCTION("""COMPUTED_VALUE"""),1.0)</f>
        <v>1</v>
      </c>
      <c r="E1538" s="1">
        <f>IFERROR(__xludf.DUMMYFUNCTION("""COMPUTED_VALUE"""),0.0)</f>
        <v>0</v>
      </c>
    </row>
    <row r="1539">
      <c r="A1539" s="1" t="str">
        <f>IFERROR(__xludf.DUMMYFUNCTION("""COMPUTED_VALUE"""),"C01BP64")</f>
        <v>C01BP64</v>
      </c>
      <c r="B1539" s="1">
        <f>IFERROR(__xludf.DUMMYFUNCTION("""COMPUTED_VALUE"""),0.0)</f>
        <v>0</v>
      </c>
      <c r="C1539" s="1">
        <f>IFERROR(__xludf.DUMMYFUNCTION("""COMPUTED_VALUE"""),1.0)</f>
        <v>1</v>
      </c>
      <c r="D1539" s="1">
        <f>IFERROR(__xludf.DUMMYFUNCTION("""COMPUTED_VALUE"""),1.0)</f>
        <v>1</v>
      </c>
      <c r="E1539" s="1">
        <f>IFERROR(__xludf.DUMMYFUNCTION("""COMPUTED_VALUE"""),0.0)</f>
        <v>0</v>
      </c>
    </row>
    <row r="1540">
      <c r="A1540" s="1" t="str">
        <f>IFERROR(__xludf.DUMMYFUNCTION("""COMPUTED_VALUE"""),"C01BP65")</f>
        <v>C01BP65</v>
      </c>
      <c r="B1540" s="1">
        <f>IFERROR(__xludf.DUMMYFUNCTION("""COMPUTED_VALUE"""),0.0)</f>
        <v>0</v>
      </c>
      <c r="C1540" s="1">
        <f>IFERROR(__xludf.DUMMYFUNCTION("""COMPUTED_VALUE"""),1.0)</f>
        <v>1</v>
      </c>
      <c r="D1540" s="1">
        <f>IFERROR(__xludf.DUMMYFUNCTION("""COMPUTED_VALUE"""),1.0)</f>
        <v>1</v>
      </c>
      <c r="E1540" s="1">
        <f>IFERROR(__xludf.DUMMYFUNCTION("""COMPUTED_VALUE"""),0.0)</f>
        <v>0</v>
      </c>
    </row>
    <row r="1541">
      <c r="A1541" s="1" t="str">
        <f>IFERROR(__xludf.DUMMYFUNCTION("""COMPUTED_VALUE"""),"C01BP66")</f>
        <v>C01BP66</v>
      </c>
      <c r="B1541" s="1">
        <f>IFERROR(__xludf.DUMMYFUNCTION("""COMPUTED_VALUE"""),0.0)</f>
        <v>0</v>
      </c>
      <c r="C1541" s="1">
        <f>IFERROR(__xludf.DUMMYFUNCTION("""COMPUTED_VALUE"""),1.0)</f>
        <v>1</v>
      </c>
      <c r="D1541" s="1">
        <f>IFERROR(__xludf.DUMMYFUNCTION("""COMPUTED_VALUE"""),1.0)</f>
        <v>1</v>
      </c>
      <c r="E1541" s="1">
        <f>IFERROR(__xludf.DUMMYFUNCTION("""COMPUTED_VALUE"""),0.0)</f>
        <v>0</v>
      </c>
    </row>
    <row r="1542">
      <c r="A1542" s="1" t="str">
        <f>IFERROR(__xludf.DUMMYFUNCTION("""COMPUTED_VALUE"""),"C01BP67")</f>
        <v>C01BP67</v>
      </c>
      <c r="B1542" s="1">
        <f>IFERROR(__xludf.DUMMYFUNCTION("""COMPUTED_VALUE"""),0.0)</f>
        <v>0</v>
      </c>
      <c r="C1542" s="1">
        <f>IFERROR(__xludf.DUMMYFUNCTION("""COMPUTED_VALUE"""),1.0)</f>
        <v>1</v>
      </c>
      <c r="D1542" s="1">
        <f>IFERROR(__xludf.DUMMYFUNCTION("""COMPUTED_VALUE"""),1.0)</f>
        <v>1</v>
      </c>
      <c r="E1542" s="1">
        <f>IFERROR(__xludf.DUMMYFUNCTION("""COMPUTED_VALUE"""),0.0)</f>
        <v>0</v>
      </c>
    </row>
    <row r="1543">
      <c r="A1543" s="1" t="str">
        <f>IFERROR(__xludf.DUMMYFUNCTION("""COMPUTED_VALUE"""),"C01BP68")</f>
        <v>C01BP68</v>
      </c>
      <c r="B1543" s="1">
        <f>IFERROR(__xludf.DUMMYFUNCTION("""COMPUTED_VALUE"""),0.0)</f>
        <v>0</v>
      </c>
      <c r="C1543" s="1">
        <f>IFERROR(__xludf.DUMMYFUNCTION("""COMPUTED_VALUE"""),1.0)</f>
        <v>1</v>
      </c>
      <c r="D1543" s="1">
        <f>IFERROR(__xludf.DUMMYFUNCTION("""COMPUTED_VALUE"""),1.0)</f>
        <v>1</v>
      </c>
      <c r="E1543" s="1">
        <f>IFERROR(__xludf.DUMMYFUNCTION("""COMPUTED_VALUE"""),0.0)</f>
        <v>0</v>
      </c>
    </row>
    <row r="1544">
      <c r="A1544" s="1" t="str">
        <f>IFERROR(__xludf.DUMMYFUNCTION("""COMPUTED_VALUE"""),"C01BP69")</f>
        <v>C01BP69</v>
      </c>
      <c r="B1544" s="1">
        <f>IFERROR(__xludf.DUMMYFUNCTION("""COMPUTED_VALUE"""),0.0)</f>
        <v>0</v>
      </c>
      <c r="C1544" s="1">
        <f>IFERROR(__xludf.DUMMYFUNCTION("""COMPUTED_VALUE"""),1.0)</f>
        <v>1</v>
      </c>
      <c r="D1544" s="1">
        <f>IFERROR(__xludf.DUMMYFUNCTION("""COMPUTED_VALUE"""),1.0)</f>
        <v>1</v>
      </c>
      <c r="E1544" s="1">
        <f>IFERROR(__xludf.DUMMYFUNCTION("""COMPUTED_VALUE"""),0.0)</f>
        <v>0</v>
      </c>
    </row>
    <row r="1545">
      <c r="A1545" s="1" t="str">
        <f>IFERROR(__xludf.DUMMYFUNCTION("""COMPUTED_VALUE"""),"C01CH63")</f>
        <v>C01CH63</v>
      </c>
      <c r="B1545" s="1">
        <f>IFERROR(__xludf.DUMMYFUNCTION("""COMPUTED_VALUE"""),0.0)</f>
        <v>0</v>
      </c>
      <c r="C1545" s="1">
        <f>IFERROR(__xludf.DUMMYFUNCTION("""COMPUTED_VALUE"""),1.0)</f>
        <v>1</v>
      </c>
      <c r="D1545" s="1">
        <f>IFERROR(__xludf.DUMMYFUNCTION("""COMPUTED_VALUE"""),1.0)</f>
        <v>1</v>
      </c>
      <c r="E1545" s="1">
        <f>IFERROR(__xludf.DUMMYFUNCTION("""COMPUTED_VALUE"""),0.0)</f>
        <v>0</v>
      </c>
    </row>
    <row r="1546">
      <c r="A1546" s="1" t="str">
        <f>IFERROR(__xludf.DUMMYFUNCTION("""COMPUTED_VALUE"""),"C01CH64")</f>
        <v>C01CH64</v>
      </c>
      <c r="B1546" s="1">
        <f>IFERROR(__xludf.DUMMYFUNCTION("""COMPUTED_VALUE"""),0.0)</f>
        <v>0</v>
      </c>
      <c r="C1546" s="1">
        <f>IFERROR(__xludf.DUMMYFUNCTION("""COMPUTED_VALUE"""),1.0)</f>
        <v>1</v>
      </c>
      <c r="D1546" s="1">
        <f>IFERROR(__xludf.DUMMYFUNCTION("""COMPUTED_VALUE"""),1.0)</f>
        <v>1</v>
      </c>
      <c r="E1546" s="1">
        <f>IFERROR(__xludf.DUMMYFUNCTION("""COMPUTED_VALUE"""),0.0)</f>
        <v>0</v>
      </c>
    </row>
    <row r="1547">
      <c r="A1547" s="1" t="str">
        <f>IFERROR(__xludf.DUMMYFUNCTION("""COMPUTED_VALUE"""),"C01CH65")</f>
        <v>C01CH65</v>
      </c>
      <c r="B1547" s="1">
        <f>IFERROR(__xludf.DUMMYFUNCTION("""COMPUTED_VALUE"""),0.0)</f>
        <v>0</v>
      </c>
      <c r="C1547" s="1">
        <f>IFERROR(__xludf.DUMMYFUNCTION("""COMPUTED_VALUE"""),1.0)</f>
        <v>1</v>
      </c>
      <c r="D1547" s="1">
        <f>IFERROR(__xludf.DUMMYFUNCTION("""COMPUTED_VALUE"""),1.0)</f>
        <v>1</v>
      </c>
      <c r="E1547" s="1">
        <f>IFERROR(__xludf.DUMMYFUNCTION("""COMPUTED_VALUE"""),0.0)</f>
        <v>0</v>
      </c>
    </row>
    <row r="1548">
      <c r="A1548" s="1" t="str">
        <f>IFERROR(__xludf.DUMMYFUNCTION("""COMPUTED_VALUE"""),"C01CH67")</f>
        <v>C01CH67</v>
      </c>
      <c r="B1548" s="1">
        <f>IFERROR(__xludf.DUMMYFUNCTION("""COMPUTED_VALUE"""),0.0)</f>
        <v>0</v>
      </c>
      <c r="C1548" s="1">
        <f>IFERROR(__xludf.DUMMYFUNCTION("""COMPUTED_VALUE"""),1.0)</f>
        <v>1</v>
      </c>
      <c r="D1548" s="1">
        <f>IFERROR(__xludf.DUMMYFUNCTION("""COMPUTED_VALUE"""),1.0)</f>
        <v>1</v>
      </c>
      <c r="E1548" s="1">
        <f>IFERROR(__xludf.DUMMYFUNCTION("""COMPUTED_VALUE"""),0.0)</f>
        <v>0</v>
      </c>
    </row>
    <row r="1549">
      <c r="A1549" s="1" t="str">
        <f>IFERROR(__xludf.DUMMYFUNCTION("""COMPUTED_VALUE"""),"C01CH68")</f>
        <v>C01CH68</v>
      </c>
      <c r="B1549" s="1">
        <f>IFERROR(__xludf.DUMMYFUNCTION("""COMPUTED_VALUE"""),0.0)</f>
        <v>0</v>
      </c>
      <c r="C1549" s="1">
        <f>IFERROR(__xludf.DUMMYFUNCTION("""COMPUTED_VALUE"""),1.0)</f>
        <v>1</v>
      </c>
      <c r="D1549" s="1">
        <f>IFERROR(__xludf.DUMMYFUNCTION("""COMPUTED_VALUE"""),1.0)</f>
        <v>1</v>
      </c>
      <c r="E1549" s="1">
        <f>IFERROR(__xludf.DUMMYFUNCTION("""COMPUTED_VALUE"""),0.0)</f>
        <v>0</v>
      </c>
    </row>
    <row r="1550">
      <c r="A1550" s="1" t="str">
        <f>IFERROR(__xludf.DUMMYFUNCTION("""COMPUTED_VALUE"""),"C01CH69")</f>
        <v>C01CH69</v>
      </c>
      <c r="B1550" s="1">
        <f>IFERROR(__xludf.DUMMYFUNCTION("""COMPUTED_VALUE"""),0.0)</f>
        <v>0</v>
      </c>
      <c r="C1550" s="1">
        <f>IFERROR(__xludf.DUMMYFUNCTION("""COMPUTED_VALUE"""),1.0)</f>
        <v>1</v>
      </c>
      <c r="D1550" s="1">
        <f>IFERROR(__xludf.DUMMYFUNCTION("""COMPUTED_VALUE"""),1.0)</f>
        <v>1</v>
      </c>
      <c r="E1550" s="1">
        <f>IFERROR(__xludf.DUMMYFUNCTION("""COMPUTED_VALUE"""),0.0)</f>
        <v>0</v>
      </c>
    </row>
    <row r="1551">
      <c r="A1551" s="1" t="str">
        <f>IFERROR(__xludf.DUMMYFUNCTION("""COMPUTED_VALUE"""),"C01CH70")</f>
        <v>C01CH70</v>
      </c>
      <c r="B1551" s="1">
        <f>IFERROR(__xludf.DUMMYFUNCTION("""COMPUTED_VALUE"""),0.0)</f>
        <v>0</v>
      </c>
      <c r="C1551" s="1">
        <f>IFERROR(__xludf.DUMMYFUNCTION("""COMPUTED_VALUE"""),1.0)</f>
        <v>1</v>
      </c>
      <c r="D1551" s="1">
        <f>IFERROR(__xludf.DUMMYFUNCTION("""COMPUTED_VALUE"""),1.0)</f>
        <v>1</v>
      </c>
      <c r="E1551" s="1">
        <f>IFERROR(__xludf.DUMMYFUNCTION("""COMPUTED_VALUE"""),0.0)</f>
        <v>0</v>
      </c>
    </row>
    <row r="1552">
      <c r="A1552" s="1" t="str">
        <f>IFERROR(__xludf.DUMMYFUNCTION("""COMPUTED_VALUE"""),"C01CH71")</f>
        <v>C01CH71</v>
      </c>
      <c r="B1552" s="1">
        <f>IFERROR(__xludf.DUMMYFUNCTION("""COMPUTED_VALUE"""),0.0)</f>
        <v>0</v>
      </c>
      <c r="C1552" s="1">
        <f>IFERROR(__xludf.DUMMYFUNCTION("""COMPUTED_VALUE"""),1.0)</f>
        <v>1</v>
      </c>
      <c r="D1552" s="1">
        <f>IFERROR(__xludf.DUMMYFUNCTION("""COMPUTED_VALUE"""),1.0)</f>
        <v>1</v>
      </c>
      <c r="E1552" s="1">
        <f>IFERROR(__xludf.DUMMYFUNCTION("""COMPUTED_VALUE"""),0.0)</f>
        <v>0</v>
      </c>
    </row>
    <row r="1553">
      <c r="A1553" s="1" t="str">
        <f>IFERROR(__xludf.DUMMYFUNCTION("""COMPUTED_VALUE"""),"CATALOGS")</f>
        <v>CATALOGS</v>
      </c>
      <c r="B1553" s="1">
        <f>IFERROR(__xludf.DUMMYFUNCTION("""COMPUTED_VALUE"""),0.0)</f>
        <v>0</v>
      </c>
      <c r="C1553" s="1">
        <f>IFERROR(__xludf.DUMMYFUNCTION("""COMPUTED_VALUE"""),830.0)</f>
        <v>830</v>
      </c>
      <c r="D1553" s="1">
        <f>IFERROR(__xludf.DUMMYFUNCTION("""COMPUTED_VALUE"""),830.0)</f>
        <v>830</v>
      </c>
      <c r="E1553" s="1">
        <f>IFERROR(__xludf.DUMMYFUNCTION("""COMPUTED_VALUE"""),0.0)</f>
        <v>0</v>
      </c>
    </row>
    <row r="1554">
      <c r="A1554" s="1" t="str">
        <f>IFERROR(__xludf.DUMMYFUNCTION("""COMPUTED_VALUE"""),"CATALOGTAISEIVNFULL")</f>
        <v>CATALOGTAISEIVNFULL</v>
      </c>
      <c r="B1554" s="1">
        <f>IFERROR(__xludf.DUMMYFUNCTION("""COMPUTED_VALUE"""),0.0)</f>
        <v>0</v>
      </c>
      <c r="C1554" s="1">
        <f>IFERROR(__xludf.DUMMYFUNCTION("""COMPUTED_VALUE"""),700.0)</f>
        <v>700</v>
      </c>
      <c r="D1554" s="1">
        <f>IFERROR(__xludf.DUMMYFUNCTION("""COMPUTED_VALUE"""),700.0)</f>
        <v>700</v>
      </c>
      <c r="E1554" s="1">
        <f>IFERROR(__xludf.DUMMYFUNCTION("""COMPUTED_VALUE"""),0.0)</f>
        <v>0</v>
      </c>
    </row>
    <row r="1555">
      <c r="A1555" s="1" t="str">
        <f>IFERROR(__xludf.DUMMYFUNCTION("""COMPUTED_VALUE"""),"EZVIZ-VTPW24")</f>
        <v>EZVIZ-VTPW24</v>
      </c>
      <c r="B1555" s="1">
        <f>IFERROR(__xludf.DUMMYFUNCTION("""COMPUTED_VALUE"""),0.0)</f>
        <v>0</v>
      </c>
      <c r="C1555" s="1">
        <f>IFERROR(__xludf.DUMMYFUNCTION("""COMPUTED_VALUE"""),1.0)</f>
        <v>1</v>
      </c>
      <c r="D1555" s="1">
        <f>IFERROR(__xludf.DUMMYFUNCTION("""COMPUTED_VALUE"""),1.0)</f>
        <v>1</v>
      </c>
      <c r="E1555" s="1">
        <f>IFERROR(__xludf.DUMMYFUNCTION("""COMPUTED_VALUE"""),0.0)</f>
        <v>0</v>
      </c>
    </row>
    <row r="1556">
      <c r="A1556" s="1" t="str">
        <f>IFERROR(__xludf.DUMMYFUNCTION("""COMPUTED_VALUE"""),"HKKITTESTCOVID")</f>
        <v>HKKITTESTCOVID</v>
      </c>
      <c r="B1556" s="1">
        <f>IFERROR(__xludf.DUMMYFUNCTION("""COMPUTED_VALUE"""),0.0)</f>
        <v>0</v>
      </c>
      <c r="C1556" s="1">
        <f>IFERROR(__xludf.DUMMYFUNCTION("""COMPUTED_VALUE"""),23.0)</f>
        <v>23</v>
      </c>
      <c r="D1556" s="1">
        <f>IFERROR(__xludf.DUMMYFUNCTION("""COMPUTED_VALUE"""),23.0)</f>
        <v>23</v>
      </c>
      <c r="E1556" s="1">
        <f>IFERROR(__xludf.DUMMYFUNCTION("""COMPUTED_VALUE"""),0.0)</f>
        <v>0</v>
      </c>
    </row>
    <row r="1557">
      <c r="A1557" s="1" t="str">
        <f>IFERROR(__xludf.DUMMYFUNCTION("""COMPUTED_VALUE"""),"HKQLD")</f>
        <v>HKQLD</v>
      </c>
      <c r="B1557" s="1">
        <f>IFERROR(__xludf.DUMMYFUNCTION("""COMPUTED_VALUE"""),0.0)</f>
        <v>0</v>
      </c>
      <c r="C1557" s="1">
        <f>IFERROR(__xludf.DUMMYFUNCTION("""COMPUTED_VALUE"""),19.0)</f>
        <v>19</v>
      </c>
      <c r="D1557" s="1">
        <f>IFERROR(__xludf.DUMMYFUNCTION("""COMPUTED_VALUE"""),19.0)</f>
        <v>19</v>
      </c>
      <c r="E1557" s="1">
        <f>IFERROR(__xludf.DUMMYFUNCTION("""COMPUTED_VALUE"""),0.0)</f>
        <v>0</v>
      </c>
    </row>
    <row r="1558">
      <c r="A1558" s="1" t="str">
        <f>IFERROR(__xludf.DUMMYFUNCTION("""COMPUTED_VALUE"""),"PHIM")</f>
        <v>PHIM</v>
      </c>
      <c r="B1558" s="1">
        <f>IFERROR(__xludf.DUMMYFUNCTION("""COMPUTED_VALUE"""),0.0)</f>
        <v>0</v>
      </c>
      <c r="C1558" s="1">
        <f>IFERROR(__xludf.DUMMYFUNCTION("""COMPUTED_VALUE"""),2.0)</f>
        <v>2</v>
      </c>
      <c r="D1558" s="1">
        <f>IFERROR(__xludf.DUMMYFUNCTION("""COMPUTED_VALUE"""),2.0)</f>
        <v>2</v>
      </c>
      <c r="E1558" s="1">
        <f>IFERROR(__xludf.DUMMYFUNCTION("""COMPUTED_VALUE"""),0.0)</f>
        <v>0</v>
      </c>
    </row>
    <row r="1559">
      <c r="A1559" s="1"/>
      <c r="B1559" s="1" t="str">
        <f>IFERROR(__xludf.DUMMYFUNCTION("""COMPUTED_VALUE"""),"")</f>
        <v/>
      </c>
      <c r="C1559" s="1" t="str">
        <f>IFERROR(__xludf.DUMMYFUNCTION("""COMPUTED_VALUE"""),"")</f>
        <v/>
      </c>
      <c r="D1559" s="1" t="str">
        <f>IFERROR(__xludf.DUMMYFUNCTION("""COMPUTED_VALUE"""),"")</f>
        <v/>
      </c>
      <c r="E1559" s="1" t="str">
        <f>IFERROR(__xludf.DUMMYFUNCTION("""COMPUTED_VALUE"""),"")</f>
        <v/>
      </c>
    </row>
    <row r="1560">
      <c r="A1560" s="1"/>
      <c r="B1560" s="1" t="str">
        <f>IFERROR(__xludf.DUMMYFUNCTION("""COMPUTED_VALUE"""),"")</f>
        <v/>
      </c>
      <c r="C1560" s="1" t="str">
        <f>IFERROR(__xludf.DUMMYFUNCTION("""COMPUTED_VALUE"""),"")</f>
        <v/>
      </c>
      <c r="D1560" s="1" t="str">
        <f>IFERROR(__xludf.DUMMYFUNCTION("""COMPUTED_VALUE"""),"")</f>
        <v/>
      </c>
      <c r="E1560" s="1" t="str">
        <f>IFERROR(__xludf.DUMMYFUNCTION("""COMPUTED_VALUE"""),"")</f>
        <v/>
      </c>
    </row>
    <row r="1561">
      <c r="A1561" s="1"/>
      <c r="B1561" s="1" t="str">
        <f>IFERROR(__xludf.DUMMYFUNCTION("""COMPUTED_VALUE"""),"")</f>
        <v/>
      </c>
      <c r="C1561" s="1" t="str">
        <f>IFERROR(__xludf.DUMMYFUNCTION("""COMPUTED_VALUE"""),"")</f>
        <v/>
      </c>
      <c r="D1561" s="1" t="str">
        <f>IFERROR(__xludf.DUMMYFUNCTION("""COMPUTED_VALUE"""),"")</f>
        <v/>
      </c>
      <c r="E1561" s="1" t="str">
        <f>IFERROR(__xludf.DUMMYFUNCTION("""COMPUTED_VALUE"""),"")</f>
        <v/>
      </c>
    </row>
    <row r="1562">
      <c r="A1562" s="1"/>
      <c r="B1562" s="1" t="str">
        <f>IFERROR(__xludf.DUMMYFUNCTION("""COMPUTED_VALUE"""),"")</f>
        <v/>
      </c>
      <c r="C1562" s="1" t="str">
        <f>IFERROR(__xludf.DUMMYFUNCTION("""COMPUTED_VALUE"""),"")</f>
        <v/>
      </c>
      <c r="D1562" s="1" t="str">
        <f>IFERROR(__xludf.DUMMYFUNCTION("""COMPUTED_VALUE"""),"")</f>
        <v/>
      </c>
      <c r="E1562" s="1" t="str">
        <f>IFERROR(__xludf.DUMMYFUNCTION("""COMPUTED_VALUE"""),"")</f>
        <v/>
      </c>
    </row>
    <row r="1563">
      <c r="A1563" s="1"/>
      <c r="B1563" s="1" t="str">
        <f>IFERROR(__xludf.DUMMYFUNCTION("""COMPUTED_VALUE"""),"")</f>
        <v/>
      </c>
      <c r="C1563" s="1" t="str">
        <f>IFERROR(__xludf.DUMMYFUNCTION("""COMPUTED_VALUE"""),"")</f>
        <v/>
      </c>
      <c r="D1563" s="1" t="str">
        <f>IFERROR(__xludf.DUMMYFUNCTION("""COMPUTED_VALUE"""),"")</f>
        <v/>
      </c>
      <c r="E1563" s="1" t="str">
        <f>IFERROR(__xludf.DUMMYFUNCTION("""COMPUTED_VALUE"""),"")</f>
        <v/>
      </c>
    </row>
    <row r="1564">
      <c r="A1564" s="1"/>
      <c r="B1564" s="1" t="str">
        <f>IFERROR(__xludf.DUMMYFUNCTION("""COMPUTED_VALUE"""),"")</f>
        <v/>
      </c>
      <c r="C1564" s="1" t="str">
        <f>IFERROR(__xludf.DUMMYFUNCTION("""COMPUTED_VALUE"""),"")</f>
        <v/>
      </c>
      <c r="D1564" s="1" t="str">
        <f>IFERROR(__xludf.DUMMYFUNCTION("""COMPUTED_VALUE"""),"")</f>
        <v/>
      </c>
      <c r="E1564" s="1" t="str">
        <f>IFERROR(__xludf.DUMMYFUNCTION("""COMPUTED_VALUE"""),"")</f>
        <v/>
      </c>
    </row>
    <row r="1565">
      <c r="A1565" s="1"/>
      <c r="B1565" s="1" t="str">
        <f>IFERROR(__xludf.DUMMYFUNCTION("""COMPUTED_VALUE"""),"")</f>
        <v/>
      </c>
      <c r="C1565" s="1" t="str">
        <f>IFERROR(__xludf.DUMMYFUNCTION("""COMPUTED_VALUE"""),"")</f>
        <v/>
      </c>
      <c r="D1565" s="1" t="str">
        <f>IFERROR(__xludf.DUMMYFUNCTION("""COMPUTED_VALUE"""),"")</f>
        <v/>
      </c>
      <c r="E1565" s="1" t="str">
        <f>IFERROR(__xludf.DUMMYFUNCTION("""COMPUTED_VALUE"""),"")</f>
        <v/>
      </c>
    </row>
    <row r="1566">
      <c r="A1566" s="1"/>
      <c r="B1566" s="1" t="str">
        <f>IFERROR(__xludf.DUMMYFUNCTION("""COMPUTED_VALUE"""),"")</f>
        <v/>
      </c>
      <c r="C1566" s="1" t="str">
        <f>IFERROR(__xludf.DUMMYFUNCTION("""COMPUTED_VALUE"""),"")</f>
        <v/>
      </c>
      <c r="D1566" s="1" t="str">
        <f>IFERROR(__xludf.DUMMYFUNCTION("""COMPUTED_VALUE"""),"")</f>
        <v/>
      </c>
      <c r="E1566" s="1" t="str">
        <f>IFERROR(__xludf.DUMMYFUNCTION("""COMPUTED_VALUE"""),"")</f>
        <v/>
      </c>
    </row>
    <row r="1567">
      <c r="A1567" s="1"/>
      <c r="B1567" s="1" t="str">
        <f>IFERROR(__xludf.DUMMYFUNCTION("""COMPUTED_VALUE"""),"")</f>
        <v/>
      </c>
      <c r="C1567" s="1" t="str">
        <f>IFERROR(__xludf.DUMMYFUNCTION("""COMPUTED_VALUE"""),"")</f>
        <v/>
      </c>
      <c r="D1567" s="1" t="str">
        <f>IFERROR(__xludf.DUMMYFUNCTION("""COMPUTED_VALUE"""),"")</f>
        <v/>
      </c>
      <c r="E1567" s="1" t="str">
        <f>IFERROR(__xludf.DUMMYFUNCTION("""COMPUTED_VALUE"""),"")</f>
        <v/>
      </c>
    </row>
    <row r="1568">
      <c r="A1568" s="1"/>
      <c r="B1568" s="1" t="str">
        <f>IFERROR(__xludf.DUMMYFUNCTION("""COMPUTED_VALUE"""),"")</f>
        <v/>
      </c>
      <c r="C1568" s="1" t="str">
        <f>IFERROR(__xludf.DUMMYFUNCTION("""COMPUTED_VALUE"""),"")</f>
        <v/>
      </c>
      <c r="D1568" s="1" t="str">
        <f>IFERROR(__xludf.DUMMYFUNCTION("""COMPUTED_VALUE"""),"")</f>
        <v/>
      </c>
      <c r="E1568" s="1" t="str">
        <f>IFERROR(__xludf.DUMMYFUNCTION("""COMPUTED_VALUE"""),"")</f>
        <v/>
      </c>
    </row>
    <row r="1569">
      <c r="A1569" s="1"/>
      <c r="B1569" s="1" t="str">
        <f>IFERROR(__xludf.DUMMYFUNCTION("""COMPUTED_VALUE"""),"")</f>
        <v/>
      </c>
      <c r="C1569" s="1" t="str">
        <f>IFERROR(__xludf.DUMMYFUNCTION("""COMPUTED_VALUE"""),"")</f>
        <v/>
      </c>
      <c r="D1569" s="1" t="str">
        <f>IFERROR(__xludf.DUMMYFUNCTION("""COMPUTED_VALUE"""),"")</f>
        <v/>
      </c>
      <c r="E1569" s="1" t="str">
        <f>IFERROR(__xludf.DUMMYFUNCTION("""COMPUTED_VALUE"""),"")</f>
        <v/>
      </c>
    </row>
    <row r="1570">
      <c r="A1570" s="1"/>
      <c r="B1570" s="1" t="str">
        <f>IFERROR(__xludf.DUMMYFUNCTION("""COMPUTED_VALUE"""),"")</f>
        <v/>
      </c>
      <c r="C1570" s="1" t="str">
        <f>IFERROR(__xludf.DUMMYFUNCTION("""COMPUTED_VALUE"""),"")</f>
        <v/>
      </c>
      <c r="D1570" s="1" t="str">
        <f>IFERROR(__xludf.DUMMYFUNCTION("""COMPUTED_VALUE"""),"")</f>
        <v/>
      </c>
      <c r="E1570" s="1" t="str">
        <f>IFERROR(__xludf.DUMMYFUNCTION("""COMPUTED_VALUE"""),"")</f>
        <v/>
      </c>
    </row>
    <row r="1571">
      <c r="A1571" s="1"/>
      <c r="B1571" s="1" t="str">
        <f>IFERROR(__xludf.DUMMYFUNCTION("""COMPUTED_VALUE"""),"")</f>
        <v/>
      </c>
      <c r="C1571" s="1" t="str">
        <f>IFERROR(__xludf.DUMMYFUNCTION("""COMPUTED_VALUE"""),"")</f>
        <v/>
      </c>
      <c r="D1571" s="1" t="str">
        <f>IFERROR(__xludf.DUMMYFUNCTION("""COMPUTED_VALUE"""),"")</f>
        <v/>
      </c>
      <c r="E1571" s="1" t="str">
        <f>IFERROR(__xludf.DUMMYFUNCTION("""COMPUTED_VALUE"""),"")</f>
        <v/>
      </c>
    </row>
    <row r="1572">
      <c r="A1572" s="1"/>
      <c r="B1572" s="1" t="str">
        <f>IFERROR(__xludf.DUMMYFUNCTION("""COMPUTED_VALUE"""),"")</f>
        <v/>
      </c>
      <c r="C1572" s="1" t="str">
        <f>IFERROR(__xludf.DUMMYFUNCTION("""COMPUTED_VALUE"""),"")</f>
        <v/>
      </c>
      <c r="D1572" s="1" t="str">
        <f>IFERROR(__xludf.DUMMYFUNCTION("""COMPUTED_VALUE"""),"")</f>
        <v/>
      </c>
      <c r="E1572" s="1" t="str">
        <f>IFERROR(__xludf.DUMMYFUNCTION("""COMPUTED_VALUE"""),"")</f>
        <v/>
      </c>
    </row>
    <row r="1573">
      <c r="A1573" s="1"/>
      <c r="B1573" s="1" t="str">
        <f>IFERROR(__xludf.DUMMYFUNCTION("""COMPUTED_VALUE"""),"")</f>
        <v/>
      </c>
      <c r="C1573" s="1" t="str">
        <f>IFERROR(__xludf.DUMMYFUNCTION("""COMPUTED_VALUE"""),"")</f>
        <v/>
      </c>
      <c r="D1573" s="1" t="str">
        <f>IFERROR(__xludf.DUMMYFUNCTION("""COMPUTED_VALUE"""),"")</f>
        <v/>
      </c>
      <c r="E1573" s="1" t="str">
        <f>IFERROR(__xludf.DUMMYFUNCTION("""COMPUTED_VALUE"""),"")</f>
        <v/>
      </c>
    </row>
    <row r="1574">
      <c r="A1574" s="1"/>
      <c r="B1574" s="1" t="str">
        <f>IFERROR(__xludf.DUMMYFUNCTION("""COMPUTED_VALUE"""),"")</f>
        <v/>
      </c>
      <c r="C1574" s="1" t="str">
        <f>IFERROR(__xludf.DUMMYFUNCTION("""COMPUTED_VALUE"""),"")</f>
        <v/>
      </c>
      <c r="D1574" s="1" t="str">
        <f>IFERROR(__xludf.DUMMYFUNCTION("""COMPUTED_VALUE"""),"")</f>
        <v/>
      </c>
      <c r="E1574" s="1" t="str">
        <f>IFERROR(__xludf.DUMMYFUNCTION("""COMPUTED_VALUE"""),"")</f>
        <v/>
      </c>
    </row>
    <row r="1575">
      <c r="A1575" s="1"/>
      <c r="B1575" s="1" t="str">
        <f>IFERROR(__xludf.DUMMYFUNCTION("""COMPUTED_VALUE"""),"")</f>
        <v/>
      </c>
      <c r="C1575" s="1" t="str">
        <f>IFERROR(__xludf.DUMMYFUNCTION("""COMPUTED_VALUE"""),"")</f>
        <v/>
      </c>
      <c r="D1575" s="1" t="str">
        <f>IFERROR(__xludf.DUMMYFUNCTION("""COMPUTED_VALUE"""),"")</f>
        <v/>
      </c>
      <c r="E1575" s="1" t="str">
        <f>IFERROR(__xludf.DUMMYFUNCTION("""COMPUTED_VALUE"""),"")</f>
        <v/>
      </c>
    </row>
    <row r="1576">
      <c r="A1576" s="1"/>
      <c r="B1576" s="1" t="str">
        <f>IFERROR(__xludf.DUMMYFUNCTION("""COMPUTED_VALUE"""),"")</f>
        <v/>
      </c>
      <c r="C1576" s="1" t="str">
        <f>IFERROR(__xludf.DUMMYFUNCTION("""COMPUTED_VALUE"""),"")</f>
        <v/>
      </c>
      <c r="D1576" s="1" t="str">
        <f>IFERROR(__xludf.DUMMYFUNCTION("""COMPUTED_VALUE"""),"")</f>
        <v/>
      </c>
      <c r="E1576" s="1" t="str">
        <f>IFERROR(__xludf.DUMMYFUNCTION("""COMPUTED_VALUE"""),"")</f>
        <v/>
      </c>
    </row>
    <row r="1577">
      <c r="A1577" s="1"/>
      <c r="B1577" s="1" t="str">
        <f>IFERROR(__xludf.DUMMYFUNCTION("""COMPUTED_VALUE"""),"")</f>
        <v/>
      </c>
      <c r="C1577" s="1" t="str">
        <f>IFERROR(__xludf.DUMMYFUNCTION("""COMPUTED_VALUE"""),"")</f>
        <v/>
      </c>
      <c r="D1577" s="1" t="str">
        <f>IFERROR(__xludf.DUMMYFUNCTION("""COMPUTED_VALUE"""),"")</f>
        <v/>
      </c>
      <c r="E1577" s="1" t="str">
        <f>IFERROR(__xludf.DUMMYFUNCTION("""COMPUTED_VALUE"""),"")</f>
        <v/>
      </c>
    </row>
    <row r="1578">
      <c r="A1578" s="1"/>
      <c r="B1578" s="1" t="str">
        <f>IFERROR(__xludf.DUMMYFUNCTION("""COMPUTED_VALUE"""),"")</f>
        <v/>
      </c>
      <c r="C1578" s="1" t="str">
        <f>IFERROR(__xludf.DUMMYFUNCTION("""COMPUTED_VALUE"""),"")</f>
        <v/>
      </c>
      <c r="D1578" s="1" t="str">
        <f>IFERROR(__xludf.DUMMYFUNCTION("""COMPUTED_VALUE"""),"")</f>
        <v/>
      </c>
      <c r="E1578" s="1" t="str">
        <f>IFERROR(__xludf.DUMMYFUNCTION("""COMPUTED_VALUE"""),"")</f>
        <v/>
      </c>
    </row>
    <row r="1579">
      <c r="A1579" s="1"/>
      <c r="B1579" s="1" t="str">
        <f>IFERROR(__xludf.DUMMYFUNCTION("""COMPUTED_VALUE"""),"")</f>
        <v/>
      </c>
      <c r="C1579" s="1" t="str">
        <f>IFERROR(__xludf.DUMMYFUNCTION("""COMPUTED_VALUE"""),"")</f>
        <v/>
      </c>
      <c r="D1579" s="1" t="str">
        <f>IFERROR(__xludf.DUMMYFUNCTION("""COMPUTED_VALUE"""),"")</f>
        <v/>
      </c>
      <c r="E1579" s="1" t="str">
        <f>IFERROR(__xludf.DUMMYFUNCTION("""COMPUTED_VALUE"""),"")</f>
        <v/>
      </c>
    </row>
    <row r="1580">
      <c r="A1580" s="1"/>
      <c r="B1580" s="1" t="str">
        <f>IFERROR(__xludf.DUMMYFUNCTION("""COMPUTED_VALUE"""),"")</f>
        <v/>
      </c>
      <c r="C1580" s="1" t="str">
        <f>IFERROR(__xludf.DUMMYFUNCTION("""COMPUTED_VALUE"""),"")</f>
        <v/>
      </c>
      <c r="D1580" s="1" t="str">
        <f>IFERROR(__xludf.DUMMYFUNCTION("""COMPUTED_VALUE"""),"")</f>
        <v/>
      </c>
      <c r="E1580" s="1" t="str">
        <f>IFERROR(__xludf.DUMMYFUNCTION("""COMPUTED_VALUE"""),"")</f>
        <v/>
      </c>
    </row>
    <row r="1581">
      <c r="A1581" s="1"/>
      <c r="B1581" s="1" t="str">
        <f>IFERROR(__xludf.DUMMYFUNCTION("""COMPUTED_VALUE"""),"")</f>
        <v/>
      </c>
      <c r="C1581" s="1" t="str">
        <f>IFERROR(__xludf.DUMMYFUNCTION("""COMPUTED_VALUE"""),"")</f>
        <v/>
      </c>
      <c r="D1581" s="1" t="str">
        <f>IFERROR(__xludf.DUMMYFUNCTION("""COMPUTED_VALUE"""),"")</f>
        <v/>
      </c>
      <c r="E1581" s="1" t="str">
        <f>IFERROR(__xludf.DUMMYFUNCTION("""COMPUTED_VALUE"""),"")</f>
        <v/>
      </c>
    </row>
    <row r="1582">
      <c r="A1582" s="1"/>
      <c r="B1582" s="1" t="str">
        <f>IFERROR(__xludf.DUMMYFUNCTION("""COMPUTED_VALUE"""),"")</f>
        <v/>
      </c>
      <c r="C1582" s="1" t="str">
        <f>IFERROR(__xludf.DUMMYFUNCTION("""COMPUTED_VALUE"""),"")</f>
        <v/>
      </c>
      <c r="D1582" s="1" t="str">
        <f>IFERROR(__xludf.DUMMYFUNCTION("""COMPUTED_VALUE"""),"")</f>
        <v/>
      </c>
      <c r="E1582" s="1" t="str">
        <f>IFERROR(__xludf.DUMMYFUNCTION("""COMPUTED_VALUE"""),"")</f>
        <v/>
      </c>
    </row>
    <row r="1583">
      <c r="A1583" s="1"/>
      <c r="B1583" s="1" t="str">
        <f>IFERROR(__xludf.DUMMYFUNCTION("""COMPUTED_VALUE"""),"")</f>
        <v/>
      </c>
      <c r="C1583" s="1" t="str">
        <f>IFERROR(__xludf.DUMMYFUNCTION("""COMPUTED_VALUE"""),"")</f>
        <v/>
      </c>
      <c r="D1583" s="1" t="str">
        <f>IFERROR(__xludf.DUMMYFUNCTION("""COMPUTED_VALUE"""),"")</f>
        <v/>
      </c>
      <c r="E1583" s="1" t="str">
        <f>IFERROR(__xludf.DUMMYFUNCTION("""COMPUTED_VALUE"""),"")</f>
        <v/>
      </c>
    </row>
    <row r="1584">
      <c r="A1584" s="1"/>
      <c r="B1584" s="1" t="str">
        <f>IFERROR(__xludf.DUMMYFUNCTION("""COMPUTED_VALUE"""),"")</f>
        <v/>
      </c>
      <c r="C1584" s="1" t="str">
        <f>IFERROR(__xludf.DUMMYFUNCTION("""COMPUTED_VALUE"""),"")</f>
        <v/>
      </c>
      <c r="D1584" s="1" t="str">
        <f>IFERROR(__xludf.DUMMYFUNCTION("""COMPUTED_VALUE"""),"")</f>
        <v/>
      </c>
      <c r="E1584" s="1" t="str">
        <f>IFERROR(__xludf.DUMMYFUNCTION("""COMPUTED_VALUE"""),"")</f>
        <v/>
      </c>
    </row>
    <row r="1585">
      <c r="A1585" s="1"/>
      <c r="B1585" s="1" t="str">
        <f>IFERROR(__xludf.DUMMYFUNCTION("""COMPUTED_VALUE"""),"")</f>
        <v/>
      </c>
      <c r="C1585" s="1" t="str">
        <f>IFERROR(__xludf.DUMMYFUNCTION("""COMPUTED_VALUE"""),"")</f>
        <v/>
      </c>
      <c r="D1585" s="1" t="str">
        <f>IFERROR(__xludf.DUMMYFUNCTION("""COMPUTED_VALUE"""),"")</f>
        <v/>
      </c>
      <c r="E1585" s="1" t="str">
        <f>IFERROR(__xludf.DUMMYFUNCTION("""COMPUTED_VALUE"""),"")</f>
        <v/>
      </c>
    </row>
    <row r="1586">
      <c r="A1586" s="1"/>
      <c r="B1586" s="1" t="str">
        <f>IFERROR(__xludf.DUMMYFUNCTION("""COMPUTED_VALUE"""),"")</f>
        <v/>
      </c>
      <c r="C1586" s="1" t="str">
        <f>IFERROR(__xludf.DUMMYFUNCTION("""COMPUTED_VALUE"""),"")</f>
        <v/>
      </c>
      <c r="D1586" s="1" t="str">
        <f>IFERROR(__xludf.DUMMYFUNCTION("""COMPUTED_VALUE"""),"")</f>
        <v/>
      </c>
      <c r="E1586" s="1" t="str">
        <f>IFERROR(__xludf.DUMMYFUNCTION("""COMPUTED_VALUE"""),"")</f>
        <v/>
      </c>
    </row>
    <row r="1587">
      <c r="A1587" s="1"/>
      <c r="B1587" s="1" t="str">
        <f>IFERROR(__xludf.DUMMYFUNCTION("""COMPUTED_VALUE"""),"")</f>
        <v/>
      </c>
      <c r="C1587" s="1" t="str">
        <f>IFERROR(__xludf.DUMMYFUNCTION("""COMPUTED_VALUE"""),"")</f>
        <v/>
      </c>
      <c r="D1587" s="1" t="str">
        <f>IFERROR(__xludf.DUMMYFUNCTION("""COMPUTED_VALUE"""),"")</f>
        <v/>
      </c>
      <c r="E1587" s="1" t="str">
        <f>IFERROR(__xludf.DUMMYFUNCTION("""COMPUTED_VALUE"""),"")</f>
        <v/>
      </c>
    </row>
    <row r="1588">
      <c r="A1588" s="1"/>
      <c r="B1588" s="1" t="str">
        <f>IFERROR(__xludf.DUMMYFUNCTION("""COMPUTED_VALUE"""),"")</f>
        <v/>
      </c>
      <c r="C1588" s="1" t="str">
        <f>IFERROR(__xludf.DUMMYFUNCTION("""COMPUTED_VALUE"""),"")</f>
        <v/>
      </c>
      <c r="D1588" s="1" t="str">
        <f>IFERROR(__xludf.DUMMYFUNCTION("""COMPUTED_VALUE"""),"")</f>
        <v/>
      </c>
      <c r="E1588" s="1" t="str">
        <f>IFERROR(__xludf.DUMMYFUNCTION("""COMPUTED_VALUE"""),"")</f>
        <v/>
      </c>
    </row>
    <row r="1589">
      <c r="A1589" s="1"/>
      <c r="B1589" s="1" t="str">
        <f>IFERROR(__xludf.DUMMYFUNCTION("""COMPUTED_VALUE"""),"")</f>
        <v/>
      </c>
      <c r="C1589" s="1" t="str">
        <f>IFERROR(__xludf.DUMMYFUNCTION("""COMPUTED_VALUE"""),"")</f>
        <v/>
      </c>
      <c r="D1589" s="1" t="str">
        <f>IFERROR(__xludf.DUMMYFUNCTION("""COMPUTED_VALUE"""),"")</f>
        <v/>
      </c>
      <c r="E1589" s="1" t="str">
        <f>IFERROR(__xludf.DUMMYFUNCTION("""COMPUTED_VALUE"""),"")</f>
        <v/>
      </c>
    </row>
    <row r="1590">
      <c r="A1590" s="1"/>
      <c r="B1590" s="1" t="str">
        <f>IFERROR(__xludf.DUMMYFUNCTION("""COMPUTED_VALUE"""),"")</f>
        <v/>
      </c>
      <c r="C1590" s="1" t="str">
        <f>IFERROR(__xludf.DUMMYFUNCTION("""COMPUTED_VALUE"""),"")</f>
        <v/>
      </c>
      <c r="D1590" s="1" t="str">
        <f>IFERROR(__xludf.DUMMYFUNCTION("""COMPUTED_VALUE"""),"")</f>
        <v/>
      </c>
      <c r="E1590" s="1" t="str">
        <f>IFERROR(__xludf.DUMMYFUNCTION("""COMPUTED_VALUE"""),"")</f>
        <v/>
      </c>
    </row>
    <row r="1591">
      <c r="A1591" s="1"/>
      <c r="B1591" s="1" t="str">
        <f>IFERROR(__xludf.DUMMYFUNCTION("""COMPUTED_VALUE"""),"")</f>
        <v/>
      </c>
      <c r="C1591" s="1" t="str">
        <f>IFERROR(__xludf.DUMMYFUNCTION("""COMPUTED_VALUE"""),"")</f>
        <v/>
      </c>
      <c r="D1591" s="1" t="str">
        <f>IFERROR(__xludf.DUMMYFUNCTION("""COMPUTED_VALUE"""),"")</f>
        <v/>
      </c>
      <c r="E1591" s="1" t="str">
        <f>IFERROR(__xludf.DUMMYFUNCTION("""COMPUTED_VALUE"""),"")</f>
        <v/>
      </c>
    </row>
    <row r="1592">
      <c r="A1592" s="1"/>
      <c r="B1592" s="1" t="str">
        <f>IFERROR(__xludf.DUMMYFUNCTION("""COMPUTED_VALUE"""),"")</f>
        <v/>
      </c>
      <c r="C1592" s="1" t="str">
        <f>IFERROR(__xludf.DUMMYFUNCTION("""COMPUTED_VALUE"""),"")</f>
        <v/>
      </c>
      <c r="D1592" s="1" t="str">
        <f>IFERROR(__xludf.DUMMYFUNCTION("""COMPUTED_VALUE"""),"")</f>
        <v/>
      </c>
      <c r="E1592" s="1" t="str">
        <f>IFERROR(__xludf.DUMMYFUNCTION("""COMPUTED_VALUE"""),"")</f>
        <v/>
      </c>
    </row>
    <row r="1593">
      <c r="A1593" s="1"/>
      <c r="B1593" s="1" t="str">
        <f>IFERROR(__xludf.DUMMYFUNCTION("""COMPUTED_VALUE"""),"")</f>
        <v/>
      </c>
      <c r="C1593" s="1" t="str">
        <f>IFERROR(__xludf.DUMMYFUNCTION("""COMPUTED_VALUE"""),"")</f>
        <v/>
      </c>
      <c r="D1593" s="1" t="str">
        <f>IFERROR(__xludf.DUMMYFUNCTION("""COMPUTED_VALUE"""),"")</f>
        <v/>
      </c>
      <c r="E1593" s="1" t="str">
        <f>IFERROR(__xludf.DUMMYFUNCTION("""COMPUTED_VALUE"""),"")</f>
        <v/>
      </c>
    </row>
    <row r="1594">
      <c r="A1594" s="1"/>
      <c r="B1594" s="1" t="str">
        <f>IFERROR(__xludf.DUMMYFUNCTION("""COMPUTED_VALUE"""),"")</f>
        <v/>
      </c>
      <c r="C1594" s="1" t="str">
        <f>IFERROR(__xludf.DUMMYFUNCTION("""COMPUTED_VALUE"""),"")</f>
        <v/>
      </c>
      <c r="D1594" s="1" t="str">
        <f>IFERROR(__xludf.DUMMYFUNCTION("""COMPUTED_VALUE"""),"")</f>
        <v/>
      </c>
      <c r="E1594" s="1" t="str">
        <f>IFERROR(__xludf.DUMMYFUNCTION("""COMPUTED_VALUE"""),"")</f>
        <v/>
      </c>
    </row>
    <row r="1595">
      <c r="A1595" s="1"/>
      <c r="B1595" s="1" t="str">
        <f>IFERROR(__xludf.DUMMYFUNCTION("""COMPUTED_VALUE"""),"")</f>
        <v/>
      </c>
      <c r="C1595" s="1" t="str">
        <f>IFERROR(__xludf.DUMMYFUNCTION("""COMPUTED_VALUE"""),"")</f>
        <v/>
      </c>
      <c r="D1595" s="1" t="str">
        <f>IFERROR(__xludf.DUMMYFUNCTION("""COMPUTED_VALUE"""),"")</f>
        <v/>
      </c>
      <c r="E1595" s="1" t="str">
        <f>IFERROR(__xludf.DUMMYFUNCTION("""COMPUTED_VALUE"""),"")</f>
        <v/>
      </c>
    </row>
    <row r="1596">
      <c r="A1596" s="1"/>
      <c r="B1596" s="1" t="str">
        <f>IFERROR(__xludf.DUMMYFUNCTION("""COMPUTED_VALUE"""),"")</f>
        <v/>
      </c>
      <c r="C1596" s="1" t="str">
        <f>IFERROR(__xludf.DUMMYFUNCTION("""COMPUTED_VALUE"""),"")</f>
        <v/>
      </c>
      <c r="D1596" s="1" t="str">
        <f>IFERROR(__xludf.DUMMYFUNCTION("""COMPUTED_VALUE"""),"")</f>
        <v/>
      </c>
      <c r="E1596" s="1" t="str">
        <f>IFERROR(__xludf.DUMMYFUNCTION("""COMPUTED_VALUE"""),"")</f>
        <v/>
      </c>
    </row>
    <row r="1597">
      <c r="A1597" s="1"/>
      <c r="B1597" s="1" t="str">
        <f>IFERROR(__xludf.DUMMYFUNCTION("""COMPUTED_VALUE"""),"")</f>
        <v/>
      </c>
      <c r="C1597" s="1" t="str">
        <f>IFERROR(__xludf.DUMMYFUNCTION("""COMPUTED_VALUE"""),"")</f>
        <v/>
      </c>
      <c r="D1597" s="1" t="str">
        <f>IFERROR(__xludf.DUMMYFUNCTION("""COMPUTED_VALUE"""),"")</f>
        <v/>
      </c>
      <c r="E1597" s="1" t="str">
        <f>IFERROR(__xludf.DUMMYFUNCTION("""COMPUTED_VALUE"""),"")</f>
        <v/>
      </c>
    </row>
    <row r="1598">
      <c r="A1598" s="1"/>
      <c r="B1598" s="1" t="str">
        <f>IFERROR(__xludf.DUMMYFUNCTION("""COMPUTED_VALUE"""),"")</f>
        <v/>
      </c>
      <c r="C1598" s="1" t="str">
        <f>IFERROR(__xludf.DUMMYFUNCTION("""COMPUTED_VALUE"""),"")</f>
        <v/>
      </c>
      <c r="D1598" s="1" t="str">
        <f>IFERROR(__xludf.DUMMYFUNCTION("""COMPUTED_VALUE"""),"")</f>
        <v/>
      </c>
      <c r="E1598" s="1" t="str">
        <f>IFERROR(__xludf.DUMMYFUNCTION("""COMPUTED_VALUE"""),"")</f>
        <v/>
      </c>
    </row>
    <row r="1599">
      <c r="A1599" s="1"/>
      <c r="B1599" s="1" t="str">
        <f>IFERROR(__xludf.DUMMYFUNCTION("""COMPUTED_VALUE"""),"")</f>
        <v/>
      </c>
      <c r="C1599" s="1" t="str">
        <f>IFERROR(__xludf.DUMMYFUNCTION("""COMPUTED_VALUE"""),"")</f>
        <v/>
      </c>
      <c r="D1599" s="1" t="str">
        <f>IFERROR(__xludf.DUMMYFUNCTION("""COMPUTED_VALUE"""),"")</f>
        <v/>
      </c>
      <c r="E1599" s="1" t="str">
        <f>IFERROR(__xludf.DUMMYFUNCTION("""COMPUTED_VALUE"""),"")</f>
        <v/>
      </c>
    </row>
    <row r="1600">
      <c r="A1600" s="1"/>
      <c r="B1600" s="1" t="str">
        <f>IFERROR(__xludf.DUMMYFUNCTION("""COMPUTED_VALUE"""),"")</f>
        <v/>
      </c>
      <c r="C1600" s="1" t="str">
        <f>IFERROR(__xludf.DUMMYFUNCTION("""COMPUTED_VALUE"""),"")</f>
        <v/>
      </c>
      <c r="D1600" s="1" t="str">
        <f>IFERROR(__xludf.DUMMYFUNCTION("""COMPUTED_VALUE"""),"")</f>
        <v/>
      </c>
      <c r="E1600" s="1" t="str">
        <f>IFERROR(__xludf.DUMMYFUNCTION("""COMPUTED_VALUE"""),"")</f>
        <v/>
      </c>
    </row>
    <row r="1601">
      <c r="A1601" s="1"/>
      <c r="B1601" s="1" t="str">
        <f>IFERROR(__xludf.DUMMYFUNCTION("""COMPUTED_VALUE"""),"")</f>
        <v/>
      </c>
      <c r="C1601" s="1" t="str">
        <f>IFERROR(__xludf.DUMMYFUNCTION("""COMPUTED_VALUE"""),"")</f>
        <v/>
      </c>
      <c r="D1601" s="1" t="str">
        <f>IFERROR(__xludf.DUMMYFUNCTION("""COMPUTED_VALUE"""),"")</f>
        <v/>
      </c>
      <c r="E1601" s="1" t="str">
        <f>IFERROR(__xludf.DUMMYFUNCTION("""COMPUTED_VALUE"""),"")</f>
        <v/>
      </c>
    </row>
    <row r="1602">
      <c r="A1602" s="1"/>
      <c r="B1602" s="1" t="str">
        <f>IFERROR(__xludf.DUMMYFUNCTION("""COMPUTED_VALUE"""),"")</f>
        <v/>
      </c>
      <c r="C1602" s="1" t="str">
        <f>IFERROR(__xludf.DUMMYFUNCTION("""COMPUTED_VALUE"""),"")</f>
        <v/>
      </c>
      <c r="D1602" s="1" t="str">
        <f>IFERROR(__xludf.DUMMYFUNCTION("""COMPUTED_VALUE"""),"")</f>
        <v/>
      </c>
      <c r="E1602" s="1" t="str">
        <f>IFERROR(__xludf.DUMMYFUNCTION("""COMPUTED_VALUE"""),"")</f>
        <v/>
      </c>
    </row>
    <row r="1603">
      <c r="A1603" s="1"/>
      <c r="B1603" s="1" t="str">
        <f>IFERROR(__xludf.DUMMYFUNCTION("""COMPUTED_VALUE"""),"")</f>
        <v/>
      </c>
      <c r="C1603" s="1" t="str">
        <f>IFERROR(__xludf.DUMMYFUNCTION("""COMPUTED_VALUE"""),"")</f>
        <v/>
      </c>
      <c r="D1603" s="1" t="str">
        <f>IFERROR(__xludf.DUMMYFUNCTION("""COMPUTED_VALUE"""),"")</f>
        <v/>
      </c>
      <c r="E1603" s="1" t="str">
        <f>IFERROR(__xludf.DUMMYFUNCTION("""COMPUTED_VALUE"""),"")</f>
        <v/>
      </c>
    </row>
    <row r="1604">
      <c r="A1604" s="1"/>
      <c r="B1604" s="1" t="str">
        <f>IFERROR(__xludf.DUMMYFUNCTION("""COMPUTED_VALUE"""),"")</f>
        <v/>
      </c>
      <c r="C1604" s="1" t="str">
        <f>IFERROR(__xludf.DUMMYFUNCTION("""COMPUTED_VALUE"""),"")</f>
        <v/>
      </c>
      <c r="D1604" s="1" t="str">
        <f>IFERROR(__xludf.DUMMYFUNCTION("""COMPUTED_VALUE"""),"")</f>
        <v/>
      </c>
      <c r="E1604" s="1" t="str">
        <f>IFERROR(__xludf.DUMMYFUNCTION("""COMPUTED_VALUE"""),"")</f>
        <v/>
      </c>
    </row>
    <row r="1605">
      <c r="A1605" s="1"/>
      <c r="B1605" s="1" t="str">
        <f>IFERROR(__xludf.DUMMYFUNCTION("""COMPUTED_VALUE"""),"")</f>
        <v/>
      </c>
      <c r="C1605" s="1" t="str">
        <f>IFERROR(__xludf.DUMMYFUNCTION("""COMPUTED_VALUE"""),"")</f>
        <v/>
      </c>
      <c r="D1605" s="1" t="str">
        <f>IFERROR(__xludf.DUMMYFUNCTION("""COMPUTED_VALUE"""),"")</f>
        <v/>
      </c>
      <c r="E1605" s="1" t="str">
        <f>IFERROR(__xludf.DUMMYFUNCTION("""COMPUTED_VALUE"""),"")</f>
        <v/>
      </c>
    </row>
    <row r="1606">
      <c r="A1606" s="1"/>
      <c r="B1606" s="1" t="str">
        <f>IFERROR(__xludf.DUMMYFUNCTION("""COMPUTED_VALUE"""),"")</f>
        <v/>
      </c>
      <c r="C1606" s="1" t="str">
        <f>IFERROR(__xludf.DUMMYFUNCTION("""COMPUTED_VALUE"""),"")</f>
        <v/>
      </c>
      <c r="D1606" s="1" t="str">
        <f>IFERROR(__xludf.DUMMYFUNCTION("""COMPUTED_VALUE"""),"")</f>
        <v/>
      </c>
      <c r="E1606" s="1" t="str">
        <f>IFERROR(__xludf.DUMMYFUNCTION("""COMPUTED_VALUE"""),"")</f>
        <v/>
      </c>
    </row>
    <row r="1607">
      <c r="A1607" s="1"/>
      <c r="B1607" s="1" t="str">
        <f>IFERROR(__xludf.DUMMYFUNCTION("""COMPUTED_VALUE"""),"")</f>
        <v/>
      </c>
      <c r="C1607" s="1" t="str">
        <f>IFERROR(__xludf.DUMMYFUNCTION("""COMPUTED_VALUE"""),"")</f>
        <v/>
      </c>
      <c r="D1607" s="1" t="str">
        <f>IFERROR(__xludf.DUMMYFUNCTION("""COMPUTED_VALUE"""),"")</f>
        <v/>
      </c>
      <c r="E1607" s="1" t="str">
        <f>IFERROR(__xludf.DUMMYFUNCTION("""COMPUTED_VALUE"""),"")</f>
        <v/>
      </c>
    </row>
    <row r="1608">
      <c r="A1608" s="1"/>
      <c r="B1608" s="1" t="str">
        <f>IFERROR(__xludf.DUMMYFUNCTION("""COMPUTED_VALUE"""),"")</f>
        <v/>
      </c>
      <c r="C1608" s="1" t="str">
        <f>IFERROR(__xludf.DUMMYFUNCTION("""COMPUTED_VALUE"""),"")</f>
        <v/>
      </c>
      <c r="D1608" s="1" t="str">
        <f>IFERROR(__xludf.DUMMYFUNCTION("""COMPUTED_VALUE"""),"")</f>
        <v/>
      </c>
      <c r="E1608" s="1" t="str">
        <f>IFERROR(__xludf.DUMMYFUNCTION("""COMPUTED_VALUE"""),"")</f>
        <v/>
      </c>
    </row>
    <row r="1609">
      <c r="A1609" s="1"/>
      <c r="B1609" s="1" t="str">
        <f>IFERROR(__xludf.DUMMYFUNCTION("""COMPUTED_VALUE"""),"")</f>
        <v/>
      </c>
      <c r="C1609" s="1" t="str">
        <f>IFERROR(__xludf.DUMMYFUNCTION("""COMPUTED_VALUE"""),"")</f>
        <v/>
      </c>
      <c r="D1609" s="1" t="str">
        <f>IFERROR(__xludf.DUMMYFUNCTION("""COMPUTED_VALUE"""),"")</f>
        <v/>
      </c>
      <c r="E1609" s="1" t="str">
        <f>IFERROR(__xludf.DUMMYFUNCTION("""COMPUTED_VALUE"""),"")</f>
        <v/>
      </c>
    </row>
    <row r="1610">
      <c r="A1610" s="1"/>
      <c r="B1610" s="1" t="str">
        <f>IFERROR(__xludf.DUMMYFUNCTION("""COMPUTED_VALUE"""),"")</f>
        <v/>
      </c>
      <c r="C1610" s="1" t="str">
        <f>IFERROR(__xludf.DUMMYFUNCTION("""COMPUTED_VALUE"""),"")</f>
        <v/>
      </c>
      <c r="D1610" s="1" t="str">
        <f>IFERROR(__xludf.DUMMYFUNCTION("""COMPUTED_VALUE"""),"")</f>
        <v/>
      </c>
      <c r="E1610" s="1" t="str">
        <f>IFERROR(__xludf.DUMMYFUNCTION("""COMPUTED_VALUE"""),"")</f>
        <v/>
      </c>
    </row>
    <row r="1611">
      <c r="A1611" s="1"/>
      <c r="B1611" s="1" t="str">
        <f>IFERROR(__xludf.DUMMYFUNCTION("""COMPUTED_VALUE"""),"")</f>
        <v/>
      </c>
      <c r="C1611" s="1" t="str">
        <f>IFERROR(__xludf.DUMMYFUNCTION("""COMPUTED_VALUE"""),"")</f>
        <v/>
      </c>
      <c r="D1611" s="1" t="str">
        <f>IFERROR(__xludf.DUMMYFUNCTION("""COMPUTED_VALUE"""),"")</f>
        <v/>
      </c>
      <c r="E1611" s="1" t="str">
        <f>IFERROR(__xludf.DUMMYFUNCTION("""COMPUTED_VALUE"""),"")</f>
        <v/>
      </c>
    </row>
    <row r="1612">
      <c r="A1612" s="1"/>
      <c r="B1612" s="1" t="str">
        <f>IFERROR(__xludf.DUMMYFUNCTION("""COMPUTED_VALUE"""),"")</f>
        <v/>
      </c>
      <c r="C1612" s="1" t="str">
        <f>IFERROR(__xludf.DUMMYFUNCTION("""COMPUTED_VALUE"""),"")</f>
        <v/>
      </c>
      <c r="D1612" s="1" t="str">
        <f>IFERROR(__xludf.DUMMYFUNCTION("""COMPUTED_VALUE"""),"")</f>
        <v/>
      </c>
      <c r="E1612" s="1" t="str">
        <f>IFERROR(__xludf.DUMMYFUNCTION("""COMPUTED_VALUE"""),"")</f>
        <v/>
      </c>
    </row>
    <row r="1613">
      <c r="A1613" s="1"/>
      <c r="B1613" s="1" t="str">
        <f>IFERROR(__xludf.DUMMYFUNCTION("""COMPUTED_VALUE"""),"")</f>
        <v/>
      </c>
      <c r="C1613" s="1" t="str">
        <f>IFERROR(__xludf.DUMMYFUNCTION("""COMPUTED_VALUE"""),"")</f>
        <v/>
      </c>
      <c r="D1613" s="1" t="str">
        <f>IFERROR(__xludf.DUMMYFUNCTION("""COMPUTED_VALUE"""),"")</f>
        <v/>
      </c>
      <c r="E1613" s="1" t="str">
        <f>IFERROR(__xludf.DUMMYFUNCTION("""COMPUTED_VALUE"""),"")</f>
        <v/>
      </c>
    </row>
    <row r="1614">
      <c r="A1614" s="1"/>
      <c r="B1614" s="1" t="str">
        <f>IFERROR(__xludf.DUMMYFUNCTION("""COMPUTED_VALUE"""),"")</f>
        <v/>
      </c>
      <c r="C1614" s="1" t="str">
        <f>IFERROR(__xludf.DUMMYFUNCTION("""COMPUTED_VALUE"""),"")</f>
        <v/>
      </c>
      <c r="D1614" s="1" t="str">
        <f>IFERROR(__xludf.DUMMYFUNCTION("""COMPUTED_VALUE"""),"")</f>
        <v/>
      </c>
      <c r="E1614" s="1" t="str">
        <f>IFERROR(__xludf.DUMMYFUNCTION("""COMPUTED_VALUE"""),"")</f>
        <v/>
      </c>
    </row>
    <row r="1615">
      <c r="A1615" s="1"/>
      <c r="B1615" s="1" t="str">
        <f>IFERROR(__xludf.DUMMYFUNCTION("""COMPUTED_VALUE"""),"")</f>
        <v/>
      </c>
      <c r="C1615" s="1" t="str">
        <f>IFERROR(__xludf.DUMMYFUNCTION("""COMPUTED_VALUE"""),"")</f>
        <v/>
      </c>
      <c r="D1615" s="1" t="str">
        <f>IFERROR(__xludf.DUMMYFUNCTION("""COMPUTED_VALUE"""),"")</f>
        <v/>
      </c>
      <c r="E1615" s="1" t="str">
        <f>IFERROR(__xludf.DUMMYFUNCTION("""COMPUTED_VALUE"""),"")</f>
        <v/>
      </c>
    </row>
    <row r="1616">
      <c r="A1616" s="1"/>
      <c r="B1616" s="1" t="str">
        <f>IFERROR(__xludf.DUMMYFUNCTION("""COMPUTED_VALUE"""),"")</f>
        <v/>
      </c>
      <c r="C1616" s="1" t="str">
        <f>IFERROR(__xludf.DUMMYFUNCTION("""COMPUTED_VALUE"""),"")</f>
        <v/>
      </c>
      <c r="D1616" s="1" t="str">
        <f>IFERROR(__xludf.DUMMYFUNCTION("""COMPUTED_VALUE"""),"")</f>
        <v/>
      </c>
      <c r="E1616" s="1" t="str">
        <f>IFERROR(__xludf.DUMMYFUNCTION("""COMPUTED_VALUE"""),"")</f>
        <v/>
      </c>
    </row>
    <row r="1617">
      <c r="A1617" s="1"/>
      <c r="B1617" s="1" t="str">
        <f>IFERROR(__xludf.DUMMYFUNCTION("""COMPUTED_VALUE"""),"")</f>
        <v/>
      </c>
      <c r="C1617" s="1" t="str">
        <f>IFERROR(__xludf.DUMMYFUNCTION("""COMPUTED_VALUE"""),"")</f>
        <v/>
      </c>
      <c r="D1617" s="1" t="str">
        <f>IFERROR(__xludf.DUMMYFUNCTION("""COMPUTED_VALUE"""),"")</f>
        <v/>
      </c>
      <c r="E1617" s="1" t="str">
        <f>IFERROR(__xludf.DUMMYFUNCTION("""COMPUTED_VALUE"""),"")</f>
        <v/>
      </c>
    </row>
    <row r="1618">
      <c r="A1618" s="1"/>
      <c r="B1618" s="1" t="str">
        <f>IFERROR(__xludf.DUMMYFUNCTION("""COMPUTED_VALUE"""),"")</f>
        <v/>
      </c>
      <c r="C1618" s="1" t="str">
        <f>IFERROR(__xludf.DUMMYFUNCTION("""COMPUTED_VALUE"""),"")</f>
        <v/>
      </c>
      <c r="D1618" s="1" t="str">
        <f>IFERROR(__xludf.DUMMYFUNCTION("""COMPUTED_VALUE"""),"")</f>
        <v/>
      </c>
      <c r="E1618" s="1" t="str">
        <f>IFERROR(__xludf.DUMMYFUNCTION("""COMPUTED_VALUE"""),"")</f>
        <v/>
      </c>
    </row>
    <row r="1619">
      <c r="A1619" s="1"/>
      <c r="B1619" s="1" t="str">
        <f>IFERROR(__xludf.DUMMYFUNCTION("""COMPUTED_VALUE"""),"")</f>
        <v/>
      </c>
      <c r="C1619" s="1" t="str">
        <f>IFERROR(__xludf.DUMMYFUNCTION("""COMPUTED_VALUE"""),"")</f>
        <v/>
      </c>
      <c r="D1619" s="1" t="str">
        <f>IFERROR(__xludf.DUMMYFUNCTION("""COMPUTED_VALUE"""),"")</f>
        <v/>
      </c>
      <c r="E1619" s="1" t="str">
        <f>IFERROR(__xludf.DUMMYFUNCTION("""COMPUTED_VALUE"""),"")</f>
        <v/>
      </c>
    </row>
    <row r="1620">
      <c r="A1620" s="1"/>
      <c r="B1620" s="1" t="str">
        <f>IFERROR(__xludf.DUMMYFUNCTION("""COMPUTED_VALUE"""),"")</f>
        <v/>
      </c>
      <c r="C1620" s="1" t="str">
        <f>IFERROR(__xludf.DUMMYFUNCTION("""COMPUTED_VALUE"""),"")</f>
        <v/>
      </c>
      <c r="D1620" s="1" t="str">
        <f>IFERROR(__xludf.DUMMYFUNCTION("""COMPUTED_VALUE"""),"")</f>
        <v/>
      </c>
      <c r="E1620" s="1" t="str">
        <f>IFERROR(__xludf.DUMMYFUNCTION("""COMPUTED_VALUE"""),"")</f>
        <v/>
      </c>
    </row>
    <row r="1621">
      <c r="A1621" s="1"/>
      <c r="B1621" s="1" t="str">
        <f>IFERROR(__xludf.DUMMYFUNCTION("""COMPUTED_VALUE"""),"")</f>
        <v/>
      </c>
      <c r="C1621" s="1" t="str">
        <f>IFERROR(__xludf.DUMMYFUNCTION("""COMPUTED_VALUE"""),"")</f>
        <v/>
      </c>
      <c r="D1621" s="1" t="str">
        <f>IFERROR(__xludf.DUMMYFUNCTION("""COMPUTED_VALUE"""),"")</f>
        <v/>
      </c>
      <c r="E1621" s="1" t="str">
        <f>IFERROR(__xludf.DUMMYFUNCTION("""COMPUTED_VALUE"""),"")</f>
        <v/>
      </c>
    </row>
    <row r="1622">
      <c r="A1622" s="1"/>
      <c r="B1622" s="1" t="str">
        <f>IFERROR(__xludf.DUMMYFUNCTION("""COMPUTED_VALUE"""),"")</f>
        <v/>
      </c>
      <c r="C1622" s="1" t="str">
        <f>IFERROR(__xludf.DUMMYFUNCTION("""COMPUTED_VALUE"""),"")</f>
        <v/>
      </c>
      <c r="D1622" s="1" t="str">
        <f>IFERROR(__xludf.DUMMYFUNCTION("""COMPUTED_VALUE"""),"")</f>
        <v/>
      </c>
      <c r="E1622" s="1" t="str">
        <f>IFERROR(__xludf.DUMMYFUNCTION("""COMPUTED_VALUE"""),"")</f>
        <v/>
      </c>
    </row>
    <row r="1623">
      <c r="A1623" s="1"/>
      <c r="B1623" s="1" t="str">
        <f>IFERROR(__xludf.DUMMYFUNCTION("""COMPUTED_VALUE"""),"")</f>
        <v/>
      </c>
      <c r="C1623" s="1" t="str">
        <f>IFERROR(__xludf.DUMMYFUNCTION("""COMPUTED_VALUE"""),"")</f>
        <v/>
      </c>
      <c r="D1623" s="1" t="str">
        <f>IFERROR(__xludf.DUMMYFUNCTION("""COMPUTED_VALUE"""),"")</f>
        <v/>
      </c>
      <c r="E1623" s="1" t="str">
        <f>IFERROR(__xludf.DUMMYFUNCTION("""COMPUTED_VALUE"""),"")</f>
        <v/>
      </c>
    </row>
    <row r="1624">
      <c r="A1624" s="1"/>
      <c r="B1624" s="1" t="str">
        <f>IFERROR(__xludf.DUMMYFUNCTION("""COMPUTED_VALUE"""),"")</f>
        <v/>
      </c>
      <c r="C1624" s="1" t="str">
        <f>IFERROR(__xludf.DUMMYFUNCTION("""COMPUTED_VALUE"""),"")</f>
        <v/>
      </c>
      <c r="D1624" s="1" t="str">
        <f>IFERROR(__xludf.DUMMYFUNCTION("""COMPUTED_VALUE"""),"")</f>
        <v/>
      </c>
      <c r="E1624" s="1" t="str">
        <f>IFERROR(__xludf.DUMMYFUNCTION("""COMPUTED_VALUE"""),"")</f>
        <v/>
      </c>
    </row>
    <row r="1625">
      <c r="A1625" s="1"/>
      <c r="B1625" s="1" t="str">
        <f>IFERROR(__xludf.DUMMYFUNCTION("""COMPUTED_VALUE"""),"")</f>
        <v/>
      </c>
      <c r="C1625" s="1" t="str">
        <f>IFERROR(__xludf.DUMMYFUNCTION("""COMPUTED_VALUE"""),"")</f>
        <v/>
      </c>
      <c r="D1625" s="1" t="str">
        <f>IFERROR(__xludf.DUMMYFUNCTION("""COMPUTED_VALUE"""),"")</f>
        <v/>
      </c>
      <c r="E1625" s="1" t="str">
        <f>IFERROR(__xludf.DUMMYFUNCTION("""COMPUTED_VALUE"""),"")</f>
        <v/>
      </c>
    </row>
    <row r="1626">
      <c r="A1626" s="1"/>
      <c r="B1626" s="1" t="str">
        <f>IFERROR(__xludf.DUMMYFUNCTION("""COMPUTED_VALUE"""),"")</f>
        <v/>
      </c>
      <c r="C1626" s="1" t="str">
        <f>IFERROR(__xludf.DUMMYFUNCTION("""COMPUTED_VALUE"""),"")</f>
        <v/>
      </c>
      <c r="D1626" s="1" t="str">
        <f>IFERROR(__xludf.DUMMYFUNCTION("""COMPUTED_VALUE"""),"")</f>
        <v/>
      </c>
      <c r="E1626" s="1" t="str">
        <f>IFERROR(__xludf.DUMMYFUNCTION("""COMPUTED_VALUE"""),"")</f>
        <v/>
      </c>
    </row>
    <row r="1627">
      <c r="A1627" s="1"/>
      <c r="B1627" s="1" t="str">
        <f>IFERROR(__xludf.DUMMYFUNCTION("""COMPUTED_VALUE"""),"")</f>
        <v/>
      </c>
      <c r="C1627" s="1" t="str">
        <f>IFERROR(__xludf.DUMMYFUNCTION("""COMPUTED_VALUE"""),"")</f>
        <v/>
      </c>
      <c r="D1627" s="1" t="str">
        <f>IFERROR(__xludf.DUMMYFUNCTION("""COMPUTED_VALUE"""),"")</f>
        <v/>
      </c>
      <c r="E1627" s="1" t="str">
        <f>IFERROR(__xludf.DUMMYFUNCTION("""COMPUTED_VALUE"""),"")</f>
        <v/>
      </c>
    </row>
    <row r="1628">
      <c r="A1628" s="1"/>
      <c r="B1628" s="1" t="str">
        <f>IFERROR(__xludf.DUMMYFUNCTION("""COMPUTED_VALUE"""),"")</f>
        <v/>
      </c>
      <c r="C1628" s="1" t="str">
        <f>IFERROR(__xludf.DUMMYFUNCTION("""COMPUTED_VALUE"""),"")</f>
        <v/>
      </c>
      <c r="D1628" s="1" t="str">
        <f>IFERROR(__xludf.DUMMYFUNCTION("""COMPUTED_VALUE"""),"")</f>
        <v/>
      </c>
      <c r="E1628" s="1" t="str">
        <f>IFERROR(__xludf.DUMMYFUNCTION("""COMPUTED_VALUE"""),"")</f>
        <v/>
      </c>
    </row>
    <row r="1629">
      <c r="A1629" s="1"/>
      <c r="B1629" s="1" t="str">
        <f>IFERROR(__xludf.DUMMYFUNCTION("""COMPUTED_VALUE"""),"")</f>
        <v/>
      </c>
      <c r="C1629" s="1" t="str">
        <f>IFERROR(__xludf.DUMMYFUNCTION("""COMPUTED_VALUE"""),"")</f>
        <v/>
      </c>
      <c r="D1629" s="1" t="str">
        <f>IFERROR(__xludf.DUMMYFUNCTION("""COMPUTED_VALUE"""),"")</f>
        <v/>
      </c>
      <c r="E1629" s="1" t="str">
        <f>IFERROR(__xludf.DUMMYFUNCTION("""COMPUTED_VALUE"""),"")</f>
        <v/>
      </c>
    </row>
    <row r="1630">
      <c r="A1630" s="1"/>
      <c r="B1630" s="1" t="str">
        <f>IFERROR(__xludf.DUMMYFUNCTION("""COMPUTED_VALUE"""),"")</f>
        <v/>
      </c>
      <c r="C1630" s="1" t="str">
        <f>IFERROR(__xludf.DUMMYFUNCTION("""COMPUTED_VALUE"""),"")</f>
        <v/>
      </c>
      <c r="D1630" s="1" t="str">
        <f>IFERROR(__xludf.DUMMYFUNCTION("""COMPUTED_VALUE"""),"")</f>
        <v/>
      </c>
      <c r="E1630" s="1" t="str">
        <f>IFERROR(__xludf.DUMMYFUNCTION("""COMPUTED_VALUE"""),"")</f>
        <v/>
      </c>
    </row>
    <row r="1631">
      <c r="A1631" s="1"/>
      <c r="B1631" s="1" t="str">
        <f>IFERROR(__xludf.DUMMYFUNCTION("""COMPUTED_VALUE"""),"")</f>
        <v/>
      </c>
      <c r="C1631" s="1" t="str">
        <f>IFERROR(__xludf.DUMMYFUNCTION("""COMPUTED_VALUE"""),"")</f>
        <v/>
      </c>
      <c r="D1631" s="1" t="str">
        <f>IFERROR(__xludf.DUMMYFUNCTION("""COMPUTED_VALUE"""),"")</f>
        <v/>
      </c>
      <c r="E1631" s="1" t="str">
        <f>IFERROR(__xludf.DUMMYFUNCTION("""COMPUTED_VALUE"""),"")</f>
        <v/>
      </c>
    </row>
    <row r="1632">
      <c r="A1632" s="1"/>
      <c r="B1632" s="1" t="str">
        <f>IFERROR(__xludf.DUMMYFUNCTION("""COMPUTED_VALUE"""),"")</f>
        <v/>
      </c>
      <c r="C1632" s="1" t="str">
        <f>IFERROR(__xludf.DUMMYFUNCTION("""COMPUTED_VALUE"""),"")</f>
        <v/>
      </c>
      <c r="D1632" s="1" t="str">
        <f>IFERROR(__xludf.DUMMYFUNCTION("""COMPUTED_VALUE"""),"")</f>
        <v/>
      </c>
      <c r="E1632" s="1" t="str">
        <f>IFERROR(__xludf.DUMMYFUNCTION("""COMPUTED_VALUE"""),"")</f>
        <v/>
      </c>
    </row>
    <row r="1633">
      <c r="A1633" s="1"/>
      <c r="B1633" s="1" t="str">
        <f>IFERROR(__xludf.DUMMYFUNCTION("""COMPUTED_VALUE"""),"")</f>
        <v/>
      </c>
      <c r="C1633" s="1" t="str">
        <f>IFERROR(__xludf.DUMMYFUNCTION("""COMPUTED_VALUE"""),"")</f>
        <v/>
      </c>
      <c r="D1633" s="1" t="str">
        <f>IFERROR(__xludf.DUMMYFUNCTION("""COMPUTED_VALUE"""),"")</f>
        <v/>
      </c>
      <c r="E1633" s="1" t="str">
        <f>IFERROR(__xludf.DUMMYFUNCTION("""COMPUTED_VALUE"""),"")</f>
        <v/>
      </c>
    </row>
    <row r="1634">
      <c r="A1634" s="1"/>
      <c r="B1634" s="1" t="str">
        <f>IFERROR(__xludf.DUMMYFUNCTION("""COMPUTED_VALUE"""),"")</f>
        <v/>
      </c>
      <c r="C1634" s="1" t="str">
        <f>IFERROR(__xludf.DUMMYFUNCTION("""COMPUTED_VALUE"""),"")</f>
        <v/>
      </c>
      <c r="D1634" s="1" t="str">
        <f>IFERROR(__xludf.DUMMYFUNCTION("""COMPUTED_VALUE"""),"")</f>
        <v/>
      </c>
      <c r="E1634" s="1" t="str">
        <f>IFERROR(__xludf.DUMMYFUNCTION("""COMPUTED_VALUE"""),"")</f>
        <v/>
      </c>
    </row>
    <row r="1635">
      <c r="A1635" s="1"/>
      <c r="B1635" s="1" t="str">
        <f>IFERROR(__xludf.DUMMYFUNCTION("""COMPUTED_VALUE"""),"")</f>
        <v/>
      </c>
      <c r="C1635" s="1" t="str">
        <f>IFERROR(__xludf.DUMMYFUNCTION("""COMPUTED_VALUE"""),"")</f>
        <v/>
      </c>
      <c r="D1635" s="1" t="str">
        <f>IFERROR(__xludf.DUMMYFUNCTION("""COMPUTED_VALUE"""),"")</f>
        <v/>
      </c>
      <c r="E1635" s="1" t="str">
        <f>IFERROR(__xludf.DUMMYFUNCTION("""COMPUTED_VALUE"""),"")</f>
        <v/>
      </c>
    </row>
    <row r="1636">
      <c r="A1636" s="1"/>
      <c r="B1636" s="1" t="str">
        <f>IFERROR(__xludf.DUMMYFUNCTION("""COMPUTED_VALUE"""),"")</f>
        <v/>
      </c>
      <c r="C1636" s="1" t="str">
        <f>IFERROR(__xludf.DUMMYFUNCTION("""COMPUTED_VALUE"""),"")</f>
        <v/>
      </c>
      <c r="D1636" s="1" t="str">
        <f>IFERROR(__xludf.DUMMYFUNCTION("""COMPUTED_VALUE"""),"")</f>
        <v/>
      </c>
      <c r="E1636" s="1" t="str">
        <f>IFERROR(__xludf.DUMMYFUNCTION("""COMPUTED_VALUE"""),"")</f>
        <v/>
      </c>
    </row>
    <row r="1637">
      <c r="A1637" s="1"/>
      <c r="B1637" s="1" t="str">
        <f>IFERROR(__xludf.DUMMYFUNCTION("""COMPUTED_VALUE"""),"")</f>
        <v/>
      </c>
      <c r="C1637" s="1" t="str">
        <f>IFERROR(__xludf.DUMMYFUNCTION("""COMPUTED_VALUE"""),"")</f>
        <v/>
      </c>
      <c r="D1637" s="1" t="str">
        <f>IFERROR(__xludf.DUMMYFUNCTION("""COMPUTED_VALUE"""),"")</f>
        <v/>
      </c>
      <c r="E1637" s="1" t="str">
        <f>IFERROR(__xludf.DUMMYFUNCTION("""COMPUTED_VALUE"""),"")</f>
        <v/>
      </c>
    </row>
    <row r="1638">
      <c r="A1638" s="1"/>
      <c r="B1638" s="1" t="str">
        <f>IFERROR(__xludf.DUMMYFUNCTION("""COMPUTED_VALUE"""),"")</f>
        <v/>
      </c>
      <c r="C1638" s="1" t="str">
        <f>IFERROR(__xludf.DUMMYFUNCTION("""COMPUTED_VALUE"""),"")</f>
        <v/>
      </c>
      <c r="D1638" s="1" t="str">
        <f>IFERROR(__xludf.DUMMYFUNCTION("""COMPUTED_VALUE"""),"")</f>
        <v/>
      </c>
      <c r="E1638" s="1" t="str">
        <f>IFERROR(__xludf.DUMMYFUNCTION("""COMPUTED_VALUE"""),"")</f>
        <v/>
      </c>
    </row>
    <row r="1639">
      <c r="A1639" s="1"/>
      <c r="B1639" s="1" t="str">
        <f>IFERROR(__xludf.DUMMYFUNCTION("""COMPUTED_VALUE"""),"")</f>
        <v/>
      </c>
      <c r="C1639" s="1" t="str">
        <f>IFERROR(__xludf.DUMMYFUNCTION("""COMPUTED_VALUE"""),"")</f>
        <v/>
      </c>
      <c r="D1639" s="1" t="str">
        <f>IFERROR(__xludf.DUMMYFUNCTION("""COMPUTED_VALUE"""),"")</f>
        <v/>
      </c>
      <c r="E1639" s="1" t="str">
        <f>IFERROR(__xludf.DUMMYFUNCTION("""COMPUTED_VALUE"""),"")</f>
        <v/>
      </c>
    </row>
    <row r="1640">
      <c r="A1640" s="1"/>
      <c r="B1640" s="1" t="str">
        <f>IFERROR(__xludf.DUMMYFUNCTION("""COMPUTED_VALUE"""),"")</f>
        <v/>
      </c>
      <c r="C1640" s="1" t="str">
        <f>IFERROR(__xludf.DUMMYFUNCTION("""COMPUTED_VALUE"""),"")</f>
        <v/>
      </c>
      <c r="D1640" s="1" t="str">
        <f>IFERROR(__xludf.DUMMYFUNCTION("""COMPUTED_VALUE"""),"")</f>
        <v/>
      </c>
      <c r="E1640" s="1" t="str">
        <f>IFERROR(__xludf.DUMMYFUNCTION("""COMPUTED_VALUE"""),"")</f>
        <v/>
      </c>
    </row>
    <row r="1641">
      <c r="A1641" s="1"/>
      <c r="B1641" s="1" t="str">
        <f>IFERROR(__xludf.DUMMYFUNCTION("""COMPUTED_VALUE"""),"")</f>
        <v/>
      </c>
      <c r="C1641" s="1" t="str">
        <f>IFERROR(__xludf.DUMMYFUNCTION("""COMPUTED_VALUE"""),"")</f>
        <v/>
      </c>
      <c r="D1641" s="1" t="str">
        <f>IFERROR(__xludf.DUMMYFUNCTION("""COMPUTED_VALUE"""),"")</f>
        <v/>
      </c>
      <c r="E1641" s="1" t="str">
        <f>IFERROR(__xludf.DUMMYFUNCTION("""COMPUTED_VALUE"""),"")</f>
        <v/>
      </c>
    </row>
    <row r="1642">
      <c r="A1642" s="1"/>
      <c r="B1642" s="1" t="str">
        <f>IFERROR(__xludf.DUMMYFUNCTION("""COMPUTED_VALUE"""),"")</f>
        <v/>
      </c>
      <c r="C1642" s="1" t="str">
        <f>IFERROR(__xludf.DUMMYFUNCTION("""COMPUTED_VALUE"""),"")</f>
        <v/>
      </c>
      <c r="D1642" s="1" t="str">
        <f>IFERROR(__xludf.DUMMYFUNCTION("""COMPUTED_VALUE"""),"")</f>
        <v/>
      </c>
      <c r="E1642" s="1" t="str">
        <f>IFERROR(__xludf.DUMMYFUNCTION("""COMPUTED_VALUE"""),"")</f>
        <v/>
      </c>
    </row>
    <row r="1643">
      <c r="A1643" s="1"/>
      <c r="B1643" s="1" t="str">
        <f>IFERROR(__xludf.DUMMYFUNCTION("""COMPUTED_VALUE"""),"")</f>
        <v/>
      </c>
      <c r="C1643" s="1" t="str">
        <f>IFERROR(__xludf.DUMMYFUNCTION("""COMPUTED_VALUE"""),"")</f>
        <v/>
      </c>
      <c r="D1643" s="1" t="str">
        <f>IFERROR(__xludf.DUMMYFUNCTION("""COMPUTED_VALUE"""),"")</f>
        <v/>
      </c>
      <c r="E1643" s="1" t="str">
        <f>IFERROR(__xludf.DUMMYFUNCTION("""COMPUTED_VALUE"""),"")</f>
        <v/>
      </c>
    </row>
    <row r="1644">
      <c r="A1644" s="1"/>
      <c r="B1644" s="1" t="str">
        <f>IFERROR(__xludf.DUMMYFUNCTION("""COMPUTED_VALUE"""),"")</f>
        <v/>
      </c>
      <c r="C1644" s="1" t="str">
        <f>IFERROR(__xludf.DUMMYFUNCTION("""COMPUTED_VALUE"""),"")</f>
        <v/>
      </c>
      <c r="D1644" s="1" t="str">
        <f>IFERROR(__xludf.DUMMYFUNCTION("""COMPUTED_VALUE"""),"")</f>
        <v/>
      </c>
      <c r="E1644" s="1" t="str">
        <f>IFERROR(__xludf.DUMMYFUNCTION("""COMPUTED_VALUE"""),"")</f>
        <v/>
      </c>
    </row>
    <row r="1645">
      <c r="A1645" s="1"/>
      <c r="B1645" s="1" t="str">
        <f>IFERROR(__xludf.DUMMYFUNCTION("""COMPUTED_VALUE"""),"")</f>
        <v/>
      </c>
      <c r="C1645" s="1" t="str">
        <f>IFERROR(__xludf.DUMMYFUNCTION("""COMPUTED_VALUE"""),"")</f>
        <v/>
      </c>
      <c r="D1645" s="1" t="str">
        <f>IFERROR(__xludf.DUMMYFUNCTION("""COMPUTED_VALUE"""),"")</f>
        <v/>
      </c>
      <c r="E1645" s="1" t="str">
        <f>IFERROR(__xludf.DUMMYFUNCTION("""COMPUTED_VALUE"""),"")</f>
        <v/>
      </c>
    </row>
    <row r="1646">
      <c r="A1646" s="1"/>
      <c r="B1646" s="1" t="str">
        <f>IFERROR(__xludf.DUMMYFUNCTION("""COMPUTED_VALUE"""),"")</f>
        <v/>
      </c>
      <c r="C1646" s="1" t="str">
        <f>IFERROR(__xludf.DUMMYFUNCTION("""COMPUTED_VALUE"""),"")</f>
        <v/>
      </c>
      <c r="D1646" s="1" t="str">
        <f>IFERROR(__xludf.DUMMYFUNCTION("""COMPUTED_VALUE"""),"")</f>
        <v/>
      </c>
      <c r="E1646" s="1" t="str">
        <f>IFERROR(__xludf.DUMMYFUNCTION("""COMPUTED_VALUE"""),"")</f>
        <v/>
      </c>
    </row>
    <row r="1647">
      <c r="A1647" s="1"/>
      <c r="B1647" s="1" t="str">
        <f>IFERROR(__xludf.DUMMYFUNCTION("""COMPUTED_VALUE"""),"")</f>
        <v/>
      </c>
      <c r="C1647" s="1" t="str">
        <f>IFERROR(__xludf.DUMMYFUNCTION("""COMPUTED_VALUE"""),"")</f>
        <v/>
      </c>
      <c r="D1647" s="1" t="str">
        <f>IFERROR(__xludf.DUMMYFUNCTION("""COMPUTED_VALUE"""),"")</f>
        <v/>
      </c>
      <c r="E1647" s="1" t="str">
        <f>IFERROR(__xludf.DUMMYFUNCTION("""COMPUTED_VALUE"""),"")</f>
        <v/>
      </c>
    </row>
    <row r="1648">
      <c r="A1648" s="1"/>
      <c r="B1648" s="1" t="str">
        <f>IFERROR(__xludf.DUMMYFUNCTION("""COMPUTED_VALUE"""),"")</f>
        <v/>
      </c>
      <c r="C1648" s="1" t="str">
        <f>IFERROR(__xludf.DUMMYFUNCTION("""COMPUTED_VALUE"""),"")</f>
        <v/>
      </c>
      <c r="D1648" s="1" t="str">
        <f>IFERROR(__xludf.DUMMYFUNCTION("""COMPUTED_VALUE"""),"")</f>
        <v/>
      </c>
      <c r="E1648" s="1" t="str">
        <f>IFERROR(__xludf.DUMMYFUNCTION("""COMPUTED_VALUE"""),"")</f>
        <v/>
      </c>
    </row>
    <row r="1649">
      <c r="A1649" s="1"/>
      <c r="B1649" s="1" t="str">
        <f>IFERROR(__xludf.DUMMYFUNCTION("""COMPUTED_VALUE"""),"")</f>
        <v/>
      </c>
      <c r="C1649" s="1" t="str">
        <f>IFERROR(__xludf.DUMMYFUNCTION("""COMPUTED_VALUE"""),"")</f>
        <v/>
      </c>
      <c r="D1649" s="1" t="str">
        <f>IFERROR(__xludf.DUMMYFUNCTION("""COMPUTED_VALUE"""),"")</f>
        <v/>
      </c>
      <c r="E1649" s="1" t="str">
        <f>IFERROR(__xludf.DUMMYFUNCTION("""COMPUTED_VALUE"""),"")</f>
        <v/>
      </c>
    </row>
    <row r="1650">
      <c r="A1650" s="1"/>
      <c r="B1650" s="1" t="str">
        <f>IFERROR(__xludf.DUMMYFUNCTION("""COMPUTED_VALUE"""),"")</f>
        <v/>
      </c>
      <c r="C1650" s="1" t="str">
        <f>IFERROR(__xludf.DUMMYFUNCTION("""COMPUTED_VALUE"""),"")</f>
        <v/>
      </c>
      <c r="D1650" s="1" t="str">
        <f>IFERROR(__xludf.DUMMYFUNCTION("""COMPUTED_VALUE"""),"")</f>
        <v/>
      </c>
      <c r="E1650" s="1" t="str">
        <f>IFERROR(__xludf.DUMMYFUNCTION("""COMPUTED_VALUE"""),"")</f>
        <v/>
      </c>
    </row>
    <row r="1651">
      <c r="A1651" s="1"/>
      <c r="B1651" s="1" t="str">
        <f>IFERROR(__xludf.DUMMYFUNCTION("""COMPUTED_VALUE"""),"")</f>
        <v/>
      </c>
      <c r="C1651" s="1" t="str">
        <f>IFERROR(__xludf.DUMMYFUNCTION("""COMPUTED_VALUE"""),"")</f>
        <v/>
      </c>
      <c r="D1651" s="1" t="str">
        <f>IFERROR(__xludf.DUMMYFUNCTION("""COMPUTED_VALUE"""),"")</f>
        <v/>
      </c>
      <c r="E1651" s="1" t="str">
        <f>IFERROR(__xludf.DUMMYFUNCTION("""COMPUTED_VALUE"""),"")</f>
        <v/>
      </c>
    </row>
    <row r="1652">
      <c r="A1652" s="1"/>
      <c r="B1652" s="1" t="str">
        <f>IFERROR(__xludf.DUMMYFUNCTION("""COMPUTED_VALUE"""),"")</f>
        <v/>
      </c>
      <c r="C1652" s="1" t="str">
        <f>IFERROR(__xludf.DUMMYFUNCTION("""COMPUTED_VALUE"""),"")</f>
        <v/>
      </c>
      <c r="D1652" s="1" t="str">
        <f>IFERROR(__xludf.DUMMYFUNCTION("""COMPUTED_VALUE"""),"")</f>
        <v/>
      </c>
      <c r="E1652" s="1" t="str">
        <f>IFERROR(__xludf.DUMMYFUNCTION("""COMPUTED_VALUE"""),"")</f>
        <v/>
      </c>
    </row>
    <row r="1653">
      <c r="A1653" s="1"/>
      <c r="B1653" s="1" t="str">
        <f>IFERROR(__xludf.DUMMYFUNCTION("""COMPUTED_VALUE"""),"")</f>
        <v/>
      </c>
      <c r="C1653" s="1" t="str">
        <f>IFERROR(__xludf.DUMMYFUNCTION("""COMPUTED_VALUE"""),"")</f>
        <v/>
      </c>
      <c r="D1653" s="1" t="str">
        <f>IFERROR(__xludf.DUMMYFUNCTION("""COMPUTED_VALUE"""),"")</f>
        <v/>
      </c>
      <c r="E1653" s="1" t="str">
        <f>IFERROR(__xludf.DUMMYFUNCTION("""COMPUTED_VALUE"""),"")</f>
        <v/>
      </c>
    </row>
    <row r="1654">
      <c r="A1654" s="1"/>
      <c r="B1654" s="1" t="str">
        <f>IFERROR(__xludf.DUMMYFUNCTION("""COMPUTED_VALUE"""),"")</f>
        <v/>
      </c>
      <c r="C1654" s="1" t="str">
        <f>IFERROR(__xludf.DUMMYFUNCTION("""COMPUTED_VALUE"""),"")</f>
        <v/>
      </c>
      <c r="D1654" s="1" t="str">
        <f>IFERROR(__xludf.DUMMYFUNCTION("""COMPUTED_VALUE"""),"")</f>
        <v/>
      </c>
      <c r="E1654" s="1" t="str">
        <f>IFERROR(__xludf.DUMMYFUNCTION("""COMPUTED_VALUE"""),"")</f>
        <v/>
      </c>
    </row>
    <row r="1655">
      <c r="A1655" s="1"/>
      <c r="B1655" s="1" t="str">
        <f>IFERROR(__xludf.DUMMYFUNCTION("""COMPUTED_VALUE"""),"")</f>
        <v/>
      </c>
      <c r="C1655" s="1" t="str">
        <f>IFERROR(__xludf.DUMMYFUNCTION("""COMPUTED_VALUE"""),"")</f>
        <v/>
      </c>
      <c r="D1655" s="1" t="str">
        <f>IFERROR(__xludf.DUMMYFUNCTION("""COMPUTED_VALUE"""),"")</f>
        <v/>
      </c>
      <c r="E1655" s="1" t="str">
        <f>IFERROR(__xludf.DUMMYFUNCTION("""COMPUTED_VALUE"""),"")</f>
        <v/>
      </c>
    </row>
    <row r="1656">
      <c r="A1656" s="1"/>
      <c r="B1656" s="1" t="str">
        <f>IFERROR(__xludf.DUMMYFUNCTION("""COMPUTED_VALUE"""),"")</f>
        <v/>
      </c>
      <c r="C1656" s="1" t="str">
        <f>IFERROR(__xludf.DUMMYFUNCTION("""COMPUTED_VALUE"""),"")</f>
        <v/>
      </c>
      <c r="D1656" s="1" t="str">
        <f>IFERROR(__xludf.DUMMYFUNCTION("""COMPUTED_VALUE"""),"")</f>
        <v/>
      </c>
      <c r="E1656" s="1" t="str">
        <f>IFERROR(__xludf.DUMMYFUNCTION("""COMPUTED_VALUE"""),"")</f>
        <v/>
      </c>
    </row>
    <row r="1657">
      <c r="A1657" s="1"/>
      <c r="B1657" s="1" t="str">
        <f>IFERROR(__xludf.DUMMYFUNCTION("""COMPUTED_VALUE"""),"")</f>
        <v/>
      </c>
      <c r="C1657" s="1" t="str">
        <f>IFERROR(__xludf.DUMMYFUNCTION("""COMPUTED_VALUE"""),"")</f>
        <v/>
      </c>
      <c r="D1657" s="1" t="str">
        <f>IFERROR(__xludf.DUMMYFUNCTION("""COMPUTED_VALUE"""),"")</f>
        <v/>
      </c>
      <c r="E1657" s="1" t="str">
        <f>IFERROR(__xludf.DUMMYFUNCTION("""COMPUTED_VALUE"""),"")</f>
        <v/>
      </c>
    </row>
    <row r="1658">
      <c r="A1658" s="1"/>
      <c r="B1658" s="1" t="str">
        <f>IFERROR(__xludf.DUMMYFUNCTION("""COMPUTED_VALUE"""),"")</f>
        <v/>
      </c>
      <c r="C1658" s="1" t="str">
        <f>IFERROR(__xludf.DUMMYFUNCTION("""COMPUTED_VALUE"""),"")</f>
        <v/>
      </c>
      <c r="D1658" s="1" t="str">
        <f>IFERROR(__xludf.DUMMYFUNCTION("""COMPUTED_VALUE"""),"")</f>
        <v/>
      </c>
      <c r="E1658" s="1" t="str">
        <f>IFERROR(__xludf.DUMMYFUNCTION("""COMPUTED_VALUE"""),"")</f>
        <v/>
      </c>
    </row>
    <row r="1659">
      <c r="A1659" s="1"/>
      <c r="B1659" s="1" t="str">
        <f>IFERROR(__xludf.DUMMYFUNCTION("""COMPUTED_VALUE"""),"")</f>
        <v/>
      </c>
      <c r="C1659" s="1" t="str">
        <f>IFERROR(__xludf.DUMMYFUNCTION("""COMPUTED_VALUE"""),"")</f>
        <v/>
      </c>
      <c r="D1659" s="1" t="str">
        <f>IFERROR(__xludf.DUMMYFUNCTION("""COMPUTED_VALUE"""),"")</f>
        <v/>
      </c>
      <c r="E1659" s="1" t="str">
        <f>IFERROR(__xludf.DUMMYFUNCTION("""COMPUTED_VALUE"""),"")</f>
        <v/>
      </c>
    </row>
    <row r="1660">
      <c r="A1660" s="1"/>
      <c r="B1660" s="1" t="str">
        <f>IFERROR(__xludf.DUMMYFUNCTION("""COMPUTED_VALUE"""),"")</f>
        <v/>
      </c>
      <c r="C1660" s="1" t="str">
        <f>IFERROR(__xludf.DUMMYFUNCTION("""COMPUTED_VALUE"""),"")</f>
        <v/>
      </c>
      <c r="D1660" s="1" t="str">
        <f>IFERROR(__xludf.DUMMYFUNCTION("""COMPUTED_VALUE"""),"")</f>
        <v/>
      </c>
      <c r="E1660" s="1" t="str">
        <f>IFERROR(__xludf.DUMMYFUNCTION("""COMPUTED_VALUE"""),"")</f>
        <v/>
      </c>
    </row>
    <row r="1661">
      <c r="A1661" s="1"/>
      <c r="B1661" s="1" t="str">
        <f>IFERROR(__xludf.DUMMYFUNCTION("""COMPUTED_VALUE"""),"")</f>
        <v/>
      </c>
      <c r="C1661" s="1" t="str">
        <f>IFERROR(__xludf.DUMMYFUNCTION("""COMPUTED_VALUE"""),"")</f>
        <v/>
      </c>
      <c r="D1661" s="1" t="str">
        <f>IFERROR(__xludf.DUMMYFUNCTION("""COMPUTED_VALUE"""),"")</f>
        <v/>
      </c>
      <c r="E1661" s="1" t="str">
        <f>IFERROR(__xludf.DUMMYFUNCTION("""COMPUTED_VALUE"""),"")</f>
        <v/>
      </c>
    </row>
    <row r="1662">
      <c r="A1662" s="1"/>
      <c r="B1662" s="1" t="str">
        <f>IFERROR(__xludf.DUMMYFUNCTION("""COMPUTED_VALUE"""),"")</f>
        <v/>
      </c>
      <c r="C1662" s="1" t="str">
        <f>IFERROR(__xludf.DUMMYFUNCTION("""COMPUTED_VALUE"""),"")</f>
        <v/>
      </c>
      <c r="D1662" s="1" t="str">
        <f>IFERROR(__xludf.DUMMYFUNCTION("""COMPUTED_VALUE"""),"")</f>
        <v/>
      </c>
      <c r="E1662" s="1" t="str">
        <f>IFERROR(__xludf.DUMMYFUNCTION("""COMPUTED_VALUE"""),"")</f>
        <v/>
      </c>
    </row>
    <row r="1663">
      <c r="A1663" s="1"/>
      <c r="B1663" s="1" t="str">
        <f>IFERROR(__xludf.DUMMYFUNCTION("""COMPUTED_VALUE"""),"")</f>
        <v/>
      </c>
      <c r="C1663" s="1" t="str">
        <f>IFERROR(__xludf.DUMMYFUNCTION("""COMPUTED_VALUE"""),"")</f>
        <v/>
      </c>
      <c r="D1663" s="1" t="str">
        <f>IFERROR(__xludf.DUMMYFUNCTION("""COMPUTED_VALUE"""),"")</f>
        <v/>
      </c>
      <c r="E1663" s="1" t="str">
        <f>IFERROR(__xludf.DUMMYFUNCTION("""COMPUTED_VALUE"""),"")</f>
        <v/>
      </c>
    </row>
    <row r="1664">
      <c r="A1664" s="1"/>
      <c r="B1664" s="1" t="str">
        <f>IFERROR(__xludf.DUMMYFUNCTION("""COMPUTED_VALUE"""),"")</f>
        <v/>
      </c>
      <c r="C1664" s="1" t="str">
        <f>IFERROR(__xludf.DUMMYFUNCTION("""COMPUTED_VALUE"""),"")</f>
        <v/>
      </c>
      <c r="D1664" s="1" t="str">
        <f>IFERROR(__xludf.DUMMYFUNCTION("""COMPUTED_VALUE"""),"")</f>
        <v/>
      </c>
      <c r="E1664" s="1" t="str">
        <f>IFERROR(__xludf.DUMMYFUNCTION("""COMPUTED_VALUE"""),"")</f>
        <v/>
      </c>
    </row>
    <row r="1665">
      <c r="A1665" s="1"/>
      <c r="B1665" s="1" t="str">
        <f>IFERROR(__xludf.DUMMYFUNCTION("""COMPUTED_VALUE"""),"")</f>
        <v/>
      </c>
      <c r="C1665" s="1" t="str">
        <f>IFERROR(__xludf.DUMMYFUNCTION("""COMPUTED_VALUE"""),"")</f>
        <v/>
      </c>
      <c r="D1665" s="1" t="str">
        <f>IFERROR(__xludf.DUMMYFUNCTION("""COMPUTED_VALUE"""),"")</f>
        <v/>
      </c>
      <c r="E1665" s="1" t="str">
        <f>IFERROR(__xludf.DUMMYFUNCTION("""COMPUTED_VALUE"""),"")</f>
        <v/>
      </c>
    </row>
    <row r="1666">
      <c r="A1666" s="1"/>
      <c r="B1666" s="1" t="str">
        <f>IFERROR(__xludf.DUMMYFUNCTION("""COMPUTED_VALUE"""),"")</f>
        <v/>
      </c>
      <c r="C1666" s="1" t="str">
        <f>IFERROR(__xludf.DUMMYFUNCTION("""COMPUTED_VALUE"""),"")</f>
        <v/>
      </c>
      <c r="D1666" s="1" t="str">
        <f>IFERROR(__xludf.DUMMYFUNCTION("""COMPUTED_VALUE"""),"")</f>
        <v/>
      </c>
      <c r="E1666" s="1" t="str">
        <f>IFERROR(__xludf.DUMMYFUNCTION("""COMPUTED_VALUE"""),"")</f>
        <v/>
      </c>
    </row>
    <row r="1667">
      <c r="A1667" s="1"/>
      <c r="B1667" s="1" t="str">
        <f>IFERROR(__xludf.DUMMYFUNCTION("""COMPUTED_VALUE"""),"")</f>
        <v/>
      </c>
      <c r="C1667" s="1" t="str">
        <f>IFERROR(__xludf.DUMMYFUNCTION("""COMPUTED_VALUE"""),"")</f>
        <v/>
      </c>
      <c r="D1667" s="1" t="str">
        <f>IFERROR(__xludf.DUMMYFUNCTION("""COMPUTED_VALUE"""),"")</f>
        <v/>
      </c>
      <c r="E1667" s="1" t="str">
        <f>IFERROR(__xludf.DUMMYFUNCTION("""COMPUTED_VALUE"""),"")</f>
        <v/>
      </c>
    </row>
    <row r="1668">
      <c r="A1668" s="1"/>
      <c r="B1668" s="1" t="str">
        <f>IFERROR(__xludf.DUMMYFUNCTION("""COMPUTED_VALUE"""),"")</f>
        <v/>
      </c>
      <c r="C1668" s="1" t="str">
        <f>IFERROR(__xludf.DUMMYFUNCTION("""COMPUTED_VALUE"""),"")</f>
        <v/>
      </c>
      <c r="D1668" s="1" t="str">
        <f>IFERROR(__xludf.DUMMYFUNCTION("""COMPUTED_VALUE"""),"")</f>
        <v/>
      </c>
      <c r="E1668" s="1" t="str">
        <f>IFERROR(__xludf.DUMMYFUNCTION("""COMPUTED_VALUE"""),"")</f>
        <v/>
      </c>
    </row>
    <row r="1669">
      <c r="A1669" s="1"/>
      <c r="B1669" s="1" t="str">
        <f>IFERROR(__xludf.DUMMYFUNCTION("""COMPUTED_VALUE"""),"")</f>
        <v/>
      </c>
      <c r="C1669" s="1" t="str">
        <f>IFERROR(__xludf.DUMMYFUNCTION("""COMPUTED_VALUE"""),"")</f>
        <v/>
      </c>
      <c r="D1669" s="1" t="str">
        <f>IFERROR(__xludf.DUMMYFUNCTION("""COMPUTED_VALUE"""),"")</f>
        <v/>
      </c>
      <c r="E1669" s="1" t="str">
        <f>IFERROR(__xludf.DUMMYFUNCTION("""COMPUTED_VALUE"""),"")</f>
        <v/>
      </c>
    </row>
    <row r="1670">
      <c r="A1670" s="1"/>
      <c r="B1670" s="1" t="str">
        <f>IFERROR(__xludf.DUMMYFUNCTION("""COMPUTED_VALUE"""),"")</f>
        <v/>
      </c>
      <c r="C1670" s="1" t="str">
        <f>IFERROR(__xludf.DUMMYFUNCTION("""COMPUTED_VALUE"""),"")</f>
        <v/>
      </c>
      <c r="D1670" s="1" t="str">
        <f>IFERROR(__xludf.DUMMYFUNCTION("""COMPUTED_VALUE"""),"")</f>
        <v/>
      </c>
      <c r="E1670" s="1" t="str">
        <f>IFERROR(__xludf.DUMMYFUNCTION("""COMPUTED_VALUE"""),"")</f>
        <v/>
      </c>
    </row>
    <row r="1671">
      <c r="A1671" s="1"/>
      <c r="B1671" s="1" t="str">
        <f>IFERROR(__xludf.DUMMYFUNCTION("""COMPUTED_VALUE"""),"")</f>
        <v/>
      </c>
      <c r="C1671" s="1" t="str">
        <f>IFERROR(__xludf.DUMMYFUNCTION("""COMPUTED_VALUE"""),"")</f>
        <v/>
      </c>
      <c r="D1671" s="1" t="str">
        <f>IFERROR(__xludf.DUMMYFUNCTION("""COMPUTED_VALUE"""),"")</f>
        <v/>
      </c>
      <c r="E1671" s="1" t="str">
        <f>IFERROR(__xludf.DUMMYFUNCTION("""COMPUTED_VALUE"""),"")</f>
        <v/>
      </c>
    </row>
    <row r="1672">
      <c r="A1672" s="1"/>
      <c r="B1672" s="1" t="str">
        <f>IFERROR(__xludf.DUMMYFUNCTION("""COMPUTED_VALUE"""),"")</f>
        <v/>
      </c>
      <c r="C1672" s="1" t="str">
        <f>IFERROR(__xludf.DUMMYFUNCTION("""COMPUTED_VALUE"""),"")</f>
        <v/>
      </c>
      <c r="D1672" s="1" t="str">
        <f>IFERROR(__xludf.DUMMYFUNCTION("""COMPUTED_VALUE"""),"")</f>
        <v/>
      </c>
      <c r="E1672" s="1" t="str">
        <f>IFERROR(__xludf.DUMMYFUNCTION("""COMPUTED_VALUE"""),"")</f>
        <v/>
      </c>
    </row>
    <row r="1673">
      <c r="A1673" s="1"/>
      <c r="B1673" s="1" t="str">
        <f>IFERROR(__xludf.DUMMYFUNCTION("""COMPUTED_VALUE"""),"")</f>
        <v/>
      </c>
      <c r="C1673" s="1" t="str">
        <f>IFERROR(__xludf.DUMMYFUNCTION("""COMPUTED_VALUE"""),"")</f>
        <v/>
      </c>
      <c r="D1673" s="1" t="str">
        <f>IFERROR(__xludf.DUMMYFUNCTION("""COMPUTED_VALUE"""),"")</f>
        <v/>
      </c>
      <c r="E1673" s="1" t="str">
        <f>IFERROR(__xludf.DUMMYFUNCTION("""COMPUTED_VALUE"""),"")</f>
        <v/>
      </c>
    </row>
    <row r="1674">
      <c r="A1674" s="1"/>
      <c r="B1674" s="1" t="str">
        <f>IFERROR(__xludf.DUMMYFUNCTION("""COMPUTED_VALUE"""),"")</f>
        <v/>
      </c>
      <c r="C1674" s="1" t="str">
        <f>IFERROR(__xludf.DUMMYFUNCTION("""COMPUTED_VALUE"""),"")</f>
        <v/>
      </c>
      <c r="D1674" s="1" t="str">
        <f>IFERROR(__xludf.DUMMYFUNCTION("""COMPUTED_VALUE"""),"")</f>
        <v/>
      </c>
      <c r="E1674" s="1" t="str">
        <f>IFERROR(__xludf.DUMMYFUNCTION("""COMPUTED_VALUE"""),"")</f>
        <v/>
      </c>
    </row>
    <row r="1675">
      <c r="A1675" s="1"/>
      <c r="B1675" s="1" t="str">
        <f>IFERROR(__xludf.DUMMYFUNCTION("""COMPUTED_VALUE"""),"")</f>
        <v/>
      </c>
      <c r="C1675" s="1" t="str">
        <f>IFERROR(__xludf.DUMMYFUNCTION("""COMPUTED_VALUE"""),"")</f>
        <v/>
      </c>
      <c r="D1675" s="1" t="str">
        <f>IFERROR(__xludf.DUMMYFUNCTION("""COMPUTED_VALUE"""),"")</f>
        <v/>
      </c>
      <c r="E1675" s="1" t="str">
        <f>IFERROR(__xludf.DUMMYFUNCTION("""COMPUTED_VALUE"""),"")</f>
        <v/>
      </c>
    </row>
    <row r="1676">
      <c r="A1676" s="1"/>
      <c r="B1676" s="1" t="str">
        <f>IFERROR(__xludf.DUMMYFUNCTION("""COMPUTED_VALUE"""),"")</f>
        <v/>
      </c>
      <c r="C1676" s="1" t="str">
        <f>IFERROR(__xludf.DUMMYFUNCTION("""COMPUTED_VALUE"""),"")</f>
        <v/>
      </c>
      <c r="D1676" s="1" t="str">
        <f>IFERROR(__xludf.DUMMYFUNCTION("""COMPUTED_VALUE"""),"")</f>
        <v/>
      </c>
      <c r="E1676" s="1" t="str">
        <f>IFERROR(__xludf.DUMMYFUNCTION("""COMPUTED_VALUE"""),"")</f>
        <v/>
      </c>
    </row>
    <row r="1677">
      <c r="A1677" s="1"/>
      <c r="B1677" s="1" t="str">
        <f>IFERROR(__xludf.DUMMYFUNCTION("""COMPUTED_VALUE"""),"")</f>
        <v/>
      </c>
      <c r="C1677" s="1" t="str">
        <f>IFERROR(__xludf.DUMMYFUNCTION("""COMPUTED_VALUE"""),"")</f>
        <v/>
      </c>
      <c r="D1677" s="1" t="str">
        <f>IFERROR(__xludf.DUMMYFUNCTION("""COMPUTED_VALUE"""),"")</f>
        <v/>
      </c>
      <c r="E1677" s="1" t="str">
        <f>IFERROR(__xludf.DUMMYFUNCTION("""COMPUTED_VALUE"""),"")</f>
        <v/>
      </c>
    </row>
    <row r="1678">
      <c r="A1678" s="1"/>
      <c r="B1678" s="1" t="str">
        <f>IFERROR(__xludf.DUMMYFUNCTION("""COMPUTED_VALUE"""),"")</f>
        <v/>
      </c>
      <c r="C1678" s="1" t="str">
        <f>IFERROR(__xludf.DUMMYFUNCTION("""COMPUTED_VALUE"""),"")</f>
        <v/>
      </c>
      <c r="D1678" s="1" t="str">
        <f>IFERROR(__xludf.DUMMYFUNCTION("""COMPUTED_VALUE"""),"")</f>
        <v/>
      </c>
      <c r="E1678" s="1" t="str">
        <f>IFERROR(__xludf.DUMMYFUNCTION("""COMPUTED_VALUE"""),"")</f>
        <v/>
      </c>
    </row>
    <row r="1679">
      <c r="A1679" s="1"/>
      <c r="B1679" s="1" t="str">
        <f>IFERROR(__xludf.DUMMYFUNCTION("""COMPUTED_VALUE"""),"")</f>
        <v/>
      </c>
      <c r="C1679" s="1" t="str">
        <f>IFERROR(__xludf.DUMMYFUNCTION("""COMPUTED_VALUE"""),"")</f>
        <v/>
      </c>
      <c r="D1679" s="1" t="str">
        <f>IFERROR(__xludf.DUMMYFUNCTION("""COMPUTED_VALUE"""),"")</f>
        <v/>
      </c>
      <c r="E1679" s="1" t="str">
        <f>IFERROR(__xludf.DUMMYFUNCTION("""COMPUTED_VALUE"""),"")</f>
        <v/>
      </c>
    </row>
    <row r="1680">
      <c r="A1680" s="1"/>
      <c r="B1680" s="1" t="str">
        <f>IFERROR(__xludf.DUMMYFUNCTION("""COMPUTED_VALUE"""),"")</f>
        <v/>
      </c>
      <c r="C1680" s="1" t="str">
        <f>IFERROR(__xludf.DUMMYFUNCTION("""COMPUTED_VALUE"""),"")</f>
        <v/>
      </c>
      <c r="D1680" s="1" t="str">
        <f>IFERROR(__xludf.DUMMYFUNCTION("""COMPUTED_VALUE"""),"")</f>
        <v/>
      </c>
      <c r="E1680" s="1" t="str">
        <f>IFERROR(__xludf.DUMMYFUNCTION("""COMPUTED_VALUE"""),"")</f>
        <v/>
      </c>
    </row>
    <row r="1681">
      <c r="A1681" s="1"/>
      <c r="B1681" s="1" t="str">
        <f>IFERROR(__xludf.DUMMYFUNCTION("""COMPUTED_VALUE"""),"")</f>
        <v/>
      </c>
      <c r="C1681" s="1" t="str">
        <f>IFERROR(__xludf.DUMMYFUNCTION("""COMPUTED_VALUE"""),"")</f>
        <v/>
      </c>
      <c r="D1681" s="1" t="str">
        <f>IFERROR(__xludf.DUMMYFUNCTION("""COMPUTED_VALUE"""),"")</f>
        <v/>
      </c>
      <c r="E1681" s="1" t="str">
        <f>IFERROR(__xludf.DUMMYFUNCTION("""COMPUTED_VALUE"""),"")</f>
        <v/>
      </c>
    </row>
    <row r="1682">
      <c r="A1682" s="1"/>
      <c r="B1682" s="1" t="str">
        <f>IFERROR(__xludf.DUMMYFUNCTION("""COMPUTED_VALUE"""),"")</f>
        <v/>
      </c>
      <c r="C1682" s="1" t="str">
        <f>IFERROR(__xludf.DUMMYFUNCTION("""COMPUTED_VALUE"""),"")</f>
        <v/>
      </c>
      <c r="D1682" s="1" t="str">
        <f>IFERROR(__xludf.DUMMYFUNCTION("""COMPUTED_VALUE"""),"")</f>
        <v/>
      </c>
      <c r="E1682" s="1" t="str">
        <f>IFERROR(__xludf.DUMMYFUNCTION("""COMPUTED_VALUE"""),"")</f>
        <v/>
      </c>
    </row>
    <row r="1683">
      <c r="A1683" s="1"/>
      <c r="B1683" s="1" t="str">
        <f>IFERROR(__xludf.DUMMYFUNCTION("""COMPUTED_VALUE"""),"")</f>
        <v/>
      </c>
      <c r="C1683" s="1" t="str">
        <f>IFERROR(__xludf.DUMMYFUNCTION("""COMPUTED_VALUE"""),"")</f>
        <v/>
      </c>
      <c r="D1683" s="1" t="str">
        <f>IFERROR(__xludf.DUMMYFUNCTION("""COMPUTED_VALUE"""),"")</f>
        <v/>
      </c>
      <c r="E1683" s="1" t="str">
        <f>IFERROR(__xludf.DUMMYFUNCTION("""COMPUTED_VALUE"""),"")</f>
        <v/>
      </c>
    </row>
    <row r="1684">
      <c r="A1684" s="1"/>
      <c r="B1684" s="1" t="str">
        <f>IFERROR(__xludf.DUMMYFUNCTION("""COMPUTED_VALUE"""),"")</f>
        <v/>
      </c>
      <c r="C1684" s="1" t="str">
        <f>IFERROR(__xludf.DUMMYFUNCTION("""COMPUTED_VALUE"""),"")</f>
        <v/>
      </c>
      <c r="D1684" s="1" t="str">
        <f>IFERROR(__xludf.DUMMYFUNCTION("""COMPUTED_VALUE"""),"")</f>
        <v/>
      </c>
      <c r="E1684" s="1" t="str">
        <f>IFERROR(__xludf.DUMMYFUNCTION("""COMPUTED_VALUE"""),"")</f>
        <v/>
      </c>
    </row>
    <row r="1685">
      <c r="A1685" s="1"/>
      <c r="B1685" s="1" t="str">
        <f>IFERROR(__xludf.DUMMYFUNCTION("""COMPUTED_VALUE"""),"")</f>
        <v/>
      </c>
      <c r="C1685" s="1" t="str">
        <f>IFERROR(__xludf.DUMMYFUNCTION("""COMPUTED_VALUE"""),"")</f>
        <v/>
      </c>
      <c r="D1685" s="1" t="str">
        <f>IFERROR(__xludf.DUMMYFUNCTION("""COMPUTED_VALUE"""),"")</f>
        <v/>
      </c>
      <c r="E1685" s="1" t="str">
        <f>IFERROR(__xludf.DUMMYFUNCTION("""COMPUTED_VALUE"""),"")</f>
        <v/>
      </c>
    </row>
    <row r="1686">
      <c r="A1686" s="1"/>
      <c r="B1686" s="1" t="str">
        <f>IFERROR(__xludf.DUMMYFUNCTION("""COMPUTED_VALUE"""),"")</f>
        <v/>
      </c>
      <c r="C1686" s="1" t="str">
        <f>IFERROR(__xludf.DUMMYFUNCTION("""COMPUTED_VALUE"""),"")</f>
        <v/>
      </c>
      <c r="D1686" s="1" t="str">
        <f>IFERROR(__xludf.DUMMYFUNCTION("""COMPUTED_VALUE"""),"")</f>
        <v/>
      </c>
      <c r="E1686" s="1" t="str">
        <f>IFERROR(__xludf.DUMMYFUNCTION("""COMPUTED_VALUE"""),"")</f>
        <v/>
      </c>
    </row>
    <row r="1687">
      <c r="A1687" s="1"/>
      <c r="B1687" s="1" t="str">
        <f>IFERROR(__xludf.DUMMYFUNCTION("""COMPUTED_VALUE"""),"")</f>
        <v/>
      </c>
      <c r="C1687" s="1" t="str">
        <f>IFERROR(__xludf.DUMMYFUNCTION("""COMPUTED_VALUE"""),"")</f>
        <v/>
      </c>
      <c r="D1687" s="1" t="str">
        <f>IFERROR(__xludf.DUMMYFUNCTION("""COMPUTED_VALUE"""),"")</f>
        <v/>
      </c>
      <c r="E1687" s="1" t="str">
        <f>IFERROR(__xludf.DUMMYFUNCTION("""COMPUTED_VALUE"""),"")</f>
        <v/>
      </c>
    </row>
    <row r="1688">
      <c r="A1688" s="1"/>
      <c r="B1688" s="1" t="str">
        <f>IFERROR(__xludf.DUMMYFUNCTION("""COMPUTED_VALUE"""),"")</f>
        <v/>
      </c>
      <c r="C1688" s="1" t="str">
        <f>IFERROR(__xludf.DUMMYFUNCTION("""COMPUTED_VALUE"""),"")</f>
        <v/>
      </c>
      <c r="D1688" s="1" t="str">
        <f>IFERROR(__xludf.DUMMYFUNCTION("""COMPUTED_VALUE"""),"")</f>
        <v/>
      </c>
      <c r="E1688" s="1" t="str">
        <f>IFERROR(__xludf.DUMMYFUNCTION("""COMPUTED_VALUE"""),"")</f>
        <v/>
      </c>
    </row>
    <row r="1689">
      <c r="A1689" s="1"/>
      <c r="B1689" s="1" t="str">
        <f>IFERROR(__xludf.DUMMYFUNCTION("""COMPUTED_VALUE"""),"")</f>
        <v/>
      </c>
      <c r="C1689" s="1" t="str">
        <f>IFERROR(__xludf.DUMMYFUNCTION("""COMPUTED_VALUE"""),"")</f>
        <v/>
      </c>
      <c r="D1689" s="1" t="str">
        <f>IFERROR(__xludf.DUMMYFUNCTION("""COMPUTED_VALUE"""),"")</f>
        <v/>
      </c>
      <c r="E1689" s="1" t="str">
        <f>IFERROR(__xludf.DUMMYFUNCTION("""COMPUTED_VALUE"""),"")</f>
        <v/>
      </c>
    </row>
    <row r="1690">
      <c r="A1690" s="1"/>
      <c r="B1690" s="1" t="str">
        <f>IFERROR(__xludf.DUMMYFUNCTION("""COMPUTED_VALUE"""),"")</f>
        <v/>
      </c>
      <c r="C1690" s="1" t="str">
        <f>IFERROR(__xludf.DUMMYFUNCTION("""COMPUTED_VALUE"""),"")</f>
        <v/>
      </c>
      <c r="D1690" s="1" t="str">
        <f>IFERROR(__xludf.DUMMYFUNCTION("""COMPUTED_VALUE"""),"")</f>
        <v/>
      </c>
      <c r="E1690" s="1" t="str">
        <f>IFERROR(__xludf.DUMMYFUNCTION("""COMPUTED_VALUE"""),"")</f>
        <v/>
      </c>
    </row>
    <row r="1691">
      <c r="A1691" s="1"/>
      <c r="B1691" s="1" t="str">
        <f>IFERROR(__xludf.DUMMYFUNCTION("""COMPUTED_VALUE"""),"")</f>
        <v/>
      </c>
      <c r="C1691" s="1" t="str">
        <f>IFERROR(__xludf.DUMMYFUNCTION("""COMPUTED_VALUE"""),"")</f>
        <v/>
      </c>
      <c r="D1691" s="1" t="str">
        <f>IFERROR(__xludf.DUMMYFUNCTION("""COMPUTED_VALUE"""),"")</f>
        <v/>
      </c>
      <c r="E1691" s="1" t="str">
        <f>IFERROR(__xludf.DUMMYFUNCTION("""COMPUTED_VALUE"""),"")</f>
        <v/>
      </c>
    </row>
    <row r="1692">
      <c r="A1692" s="1"/>
      <c r="B1692" s="1" t="str">
        <f>IFERROR(__xludf.DUMMYFUNCTION("""COMPUTED_VALUE"""),"")</f>
        <v/>
      </c>
      <c r="C1692" s="1" t="str">
        <f>IFERROR(__xludf.DUMMYFUNCTION("""COMPUTED_VALUE"""),"")</f>
        <v/>
      </c>
      <c r="D1692" s="1" t="str">
        <f>IFERROR(__xludf.DUMMYFUNCTION("""COMPUTED_VALUE"""),"")</f>
        <v/>
      </c>
      <c r="E1692" s="1" t="str">
        <f>IFERROR(__xludf.DUMMYFUNCTION("""COMPUTED_VALUE"""),"")</f>
        <v/>
      </c>
    </row>
    <row r="1693">
      <c r="A1693" s="1"/>
      <c r="B1693" s="1" t="str">
        <f>IFERROR(__xludf.DUMMYFUNCTION("""COMPUTED_VALUE"""),"")</f>
        <v/>
      </c>
      <c r="C1693" s="1" t="str">
        <f>IFERROR(__xludf.DUMMYFUNCTION("""COMPUTED_VALUE"""),"")</f>
        <v/>
      </c>
      <c r="D1693" s="1" t="str">
        <f>IFERROR(__xludf.DUMMYFUNCTION("""COMPUTED_VALUE"""),"")</f>
        <v/>
      </c>
      <c r="E1693" s="1" t="str">
        <f>IFERROR(__xludf.DUMMYFUNCTION("""COMPUTED_VALUE"""),"")</f>
        <v/>
      </c>
    </row>
    <row r="1694">
      <c r="A1694" s="1"/>
      <c r="B1694" s="1" t="str">
        <f>IFERROR(__xludf.DUMMYFUNCTION("""COMPUTED_VALUE"""),"")</f>
        <v/>
      </c>
      <c r="C1694" s="1" t="str">
        <f>IFERROR(__xludf.DUMMYFUNCTION("""COMPUTED_VALUE"""),"")</f>
        <v/>
      </c>
      <c r="D1694" s="1" t="str">
        <f>IFERROR(__xludf.DUMMYFUNCTION("""COMPUTED_VALUE"""),"")</f>
        <v/>
      </c>
      <c r="E1694" s="1" t="str">
        <f>IFERROR(__xludf.DUMMYFUNCTION("""COMPUTED_VALUE"""),"")</f>
        <v/>
      </c>
    </row>
    <row r="1695">
      <c r="A1695" s="1"/>
      <c r="B1695" s="1" t="str">
        <f>IFERROR(__xludf.DUMMYFUNCTION("""COMPUTED_VALUE"""),"")</f>
        <v/>
      </c>
      <c r="C1695" s="1" t="str">
        <f>IFERROR(__xludf.DUMMYFUNCTION("""COMPUTED_VALUE"""),"")</f>
        <v/>
      </c>
      <c r="D1695" s="1" t="str">
        <f>IFERROR(__xludf.DUMMYFUNCTION("""COMPUTED_VALUE"""),"")</f>
        <v/>
      </c>
      <c r="E1695" s="1" t="str">
        <f>IFERROR(__xludf.DUMMYFUNCTION("""COMPUTED_VALUE"""),"")</f>
        <v/>
      </c>
    </row>
    <row r="1696">
      <c r="A1696" s="1"/>
      <c r="B1696" s="1" t="str">
        <f>IFERROR(__xludf.DUMMYFUNCTION("""COMPUTED_VALUE"""),"")</f>
        <v/>
      </c>
      <c r="C1696" s="1" t="str">
        <f>IFERROR(__xludf.DUMMYFUNCTION("""COMPUTED_VALUE"""),"")</f>
        <v/>
      </c>
      <c r="D1696" s="1" t="str">
        <f>IFERROR(__xludf.DUMMYFUNCTION("""COMPUTED_VALUE"""),"")</f>
        <v/>
      </c>
      <c r="E1696" s="1" t="str">
        <f>IFERROR(__xludf.DUMMYFUNCTION("""COMPUTED_VALUE"""),"")</f>
        <v/>
      </c>
    </row>
    <row r="1697">
      <c r="A1697" s="1"/>
      <c r="B1697" s="1" t="str">
        <f>IFERROR(__xludf.DUMMYFUNCTION("""COMPUTED_VALUE"""),"")</f>
        <v/>
      </c>
      <c r="C1697" s="1" t="str">
        <f>IFERROR(__xludf.DUMMYFUNCTION("""COMPUTED_VALUE"""),"")</f>
        <v/>
      </c>
      <c r="D1697" s="1" t="str">
        <f>IFERROR(__xludf.DUMMYFUNCTION("""COMPUTED_VALUE"""),"")</f>
        <v/>
      </c>
      <c r="E1697" s="1" t="str">
        <f>IFERROR(__xludf.DUMMYFUNCTION("""COMPUTED_VALUE"""),"")</f>
        <v/>
      </c>
    </row>
    <row r="1698">
      <c r="A1698" s="1"/>
      <c r="B1698" s="1" t="str">
        <f>IFERROR(__xludf.DUMMYFUNCTION("""COMPUTED_VALUE"""),"")</f>
        <v/>
      </c>
      <c r="C1698" s="1" t="str">
        <f>IFERROR(__xludf.DUMMYFUNCTION("""COMPUTED_VALUE"""),"")</f>
        <v/>
      </c>
      <c r="D1698" s="1" t="str">
        <f>IFERROR(__xludf.DUMMYFUNCTION("""COMPUTED_VALUE"""),"")</f>
        <v/>
      </c>
      <c r="E1698" s="1" t="str">
        <f>IFERROR(__xludf.DUMMYFUNCTION("""COMPUTED_VALUE"""),"")</f>
        <v/>
      </c>
    </row>
    <row r="1699">
      <c r="A1699" s="1"/>
      <c r="B1699" s="1" t="str">
        <f>IFERROR(__xludf.DUMMYFUNCTION("""COMPUTED_VALUE"""),"")</f>
        <v/>
      </c>
      <c r="C1699" s="1" t="str">
        <f>IFERROR(__xludf.DUMMYFUNCTION("""COMPUTED_VALUE"""),"")</f>
        <v/>
      </c>
      <c r="D1699" s="1" t="str">
        <f>IFERROR(__xludf.DUMMYFUNCTION("""COMPUTED_VALUE"""),"")</f>
        <v/>
      </c>
      <c r="E1699" s="1" t="str">
        <f>IFERROR(__xludf.DUMMYFUNCTION("""COMPUTED_VALUE"""),"")</f>
        <v/>
      </c>
    </row>
    <row r="1700">
      <c r="A1700" s="1"/>
      <c r="B1700" s="1" t="str">
        <f>IFERROR(__xludf.DUMMYFUNCTION("""COMPUTED_VALUE"""),"")</f>
        <v/>
      </c>
      <c r="C1700" s="1" t="str">
        <f>IFERROR(__xludf.DUMMYFUNCTION("""COMPUTED_VALUE"""),"")</f>
        <v/>
      </c>
      <c r="D1700" s="1" t="str">
        <f>IFERROR(__xludf.DUMMYFUNCTION("""COMPUTED_VALUE"""),"")</f>
        <v/>
      </c>
      <c r="E1700" s="1" t="str">
        <f>IFERROR(__xludf.DUMMYFUNCTION("""COMPUTED_VALUE"""),"")</f>
        <v/>
      </c>
    </row>
    <row r="1701">
      <c r="A1701" s="1"/>
      <c r="B1701" s="1" t="str">
        <f>IFERROR(__xludf.DUMMYFUNCTION("""COMPUTED_VALUE"""),"")</f>
        <v/>
      </c>
      <c r="C1701" s="1" t="str">
        <f>IFERROR(__xludf.DUMMYFUNCTION("""COMPUTED_VALUE"""),"")</f>
        <v/>
      </c>
      <c r="D1701" s="1" t="str">
        <f>IFERROR(__xludf.DUMMYFUNCTION("""COMPUTED_VALUE"""),"")</f>
        <v/>
      </c>
      <c r="E1701" s="1" t="str">
        <f>IFERROR(__xludf.DUMMYFUNCTION("""COMPUTED_VALUE"""),"")</f>
        <v/>
      </c>
    </row>
    <row r="1702">
      <c r="A1702" s="1"/>
      <c r="B1702" s="1" t="str">
        <f>IFERROR(__xludf.DUMMYFUNCTION("""COMPUTED_VALUE"""),"")</f>
        <v/>
      </c>
      <c r="C1702" s="1" t="str">
        <f>IFERROR(__xludf.DUMMYFUNCTION("""COMPUTED_VALUE"""),"")</f>
        <v/>
      </c>
      <c r="D1702" s="1" t="str">
        <f>IFERROR(__xludf.DUMMYFUNCTION("""COMPUTED_VALUE"""),"")</f>
        <v/>
      </c>
      <c r="E1702" s="1" t="str">
        <f>IFERROR(__xludf.DUMMYFUNCTION("""COMPUTED_VALUE"""),"")</f>
        <v/>
      </c>
    </row>
    <row r="1703">
      <c r="A1703" s="1"/>
      <c r="B1703" s="1" t="str">
        <f>IFERROR(__xludf.DUMMYFUNCTION("""COMPUTED_VALUE"""),"")</f>
        <v/>
      </c>
      <c r="C1703" s="1" t="str">
        <f>IFERROR(__xludf.DUMMYFUNCTION("""COMPUTED_VALUE"""),"")</f>
        <v/>
      </c>
      <c r="D1703" s="1" t="str">
        <f>IFERROR(__xludf.DUMMYFUNCTION("""COMPUTED_VALUE"""),"")</f>
        <v/>
      </c>
      <c r="E1703" s="1" t="str">
        <f>IFERROR(__xludf.DUMMYFUNCTION("""COMPUTED_VALUE"""),"")</f>
        <v/>
      </c>
    </row>
    <row r="1704">
      <c r="A1704" s="1"/>
      <c r="B1704" s="1" t="str">
        <f>IFERROR(__xludf.DUMMYFUNCTION("""COMPUTED_VALUE"""),"")</f>
        <v/>
      </c>
      <c r="C1704" s="1" t="str">
        <f>IFERROR(__xludf.DUMMYFUNCTION("""COMPUTED_VALUE"""),"")</f>
        <v/>
      </c>
      <c r="D1704" s="1" t="str">
        <f>IFERROR(__xludf.DUMMYFUNCTION("""COMPUTED_VALUE"""),"")</f>
        <v/>
      </c>
      <c r="E1704" s="1" t="str">
        <f>IFERROR(__xludf.DUMMYFUNCTION("""COMPUTED_VALUE"""),"")</f>
        <v/>
      </c>
    </row>
    <row r="1705">
      <c r="A1705" s="1"/>
      <c r="B1705" s="1" t="str">
        <f>IFERROR(__xludf.DUMMYFUNCTION("""COMPUTED_VALUE"""),"")</f>
        <v/>
      </c>
      <c r="C1705" s="1" t="str">
        <f>IFERROR(__xludf.DUMMYFUNCTION("""COMPUTED_VALUE"""),"")</f>
        <v/>
      </c>
      <c r="D1705" s="1" t="str">
        <f>IFERROR(__xludf.DUMMYFUNCTION("""COMPUTED_VALUE"""),"")</f>
        <v/>
      </c>
      <c r="E1705" s="1" t="str">
        <f>IFERROR(__xludf.DUMMYFUNCTION("""COMPUTED_VALUE"""),"")</f>
        <v/>
      </c>
    </row>
    <row r="1706">
      <c r="A1706" s="1"/>
      <c r="B1706" s="1" t="str">
        <f>IFERROR(__xludf.DUMMYFUNCTION("""COMPUTED_VALUE"""),"")</f>
        <v/>
      </c>
      <c r="C1706" s="1" t="str">
        <f>IFERROR(__xludf.DUMMYFUNCTION("""COMPUTED_VALUE"""),"")</f>
        <v/>
      </c>
      <c r="D1706" s="1" t="str">
        <f>IFERROR(__xludf.DUMMYFUNCTION("""COMPUTED_VALUE"""),"")</f>
        <v/>
      </c>
      <c r="E1706" s="1" t="str">
        <f>IFERROR(__xludf.DUMMYFUNCTION("""COMPUTED_VALUE"""),"")</f>
        <v/>
      </c>
    </row>
    <row r="1707">
      <c r="A1707" s="1"/>
      <c r="B1707" s="1" t="str">
        <f>IFERROR(__xludf.DUMMYFUNCTION("""COMPUTED_VALUE"""),"")</f>
        <v/>
      </c>
      <c r="C1707" s="1" t="str">
        <f>IFERROR(__xludf.DUMMYFUNCTION("""COMPUTED_VALUE"""),"")</f>
        <v/>
      </c>
      <c r="D1707" s="1" t="str">
        <f>IFERROR(__xludf.DUMMYFUNCTION("""COMPUTED_VALUE"""),"")</f>
        <v/>
      </c>
      <c r="E1707" s="1" t="str">
        <f>IFERROR(__xludf.DUMMYFUNCTION("""COMPUTED_VALUE"""),"")</f>
        <v/>
      </c>
    </row>
    <row r="1708">
      <c r="A1708" s="1"/>
      <c r="B1708" s="1" t="str">
        <f>IFERROR(__xludf.DUMMYFUNCTION("""COMPUTED_VALUE"""),"")</f>
        <v/>
      </c>
      <c r="C1708" s="1" t="str">
        <f>IFERROR(__xludf.DUMMYFUNCTION("""COMPUTED_VALUE"""),"")</f>
        <v/>
      </c>
      <c r="D1708" s="1" t="str">
        <f>IFERROR(__xludf.DUMMYFUNCTION("""COMPUTED_VALUE"""),"")</f>
        <v/>
      </c>
      <c r="E1708" s="1" t="str">
        <f>IFERROR(__xludf.DUMMYFUNCTION("""COMPUTED_VALUE"""),"")</f>
        <v/>
      </c>
    </row>
    <row r="1709">
      <c r="A1709" s="1"/>
      <c r="B1709" s="1" t="str">
        <f>IFERROR(__xludf.DUMMYFUNCTION("""COMPUTED_VALUE"""),"")</f>
        <v/>
      </c>
      <c r="C1709" s="1" t="str">
        <f>IFERROR(__xludf.DUMMYFUNCTION("""COMPUTED_VALUE"""),"")</f>
        <v/>
      </c>
      <c r="D1709" s="1" t="str">
        <f>IFERROR(__xludf.DUMMYFUNCTION("""COMPUTED_VALUE"""),"")</f>
        <v/>
      </c>
      <c r="E1709" s="1" t="str">
        <f>IFERROR(__xludf.DUMMYFUNCTION("""COMPUTED_VALUE"""),"")</f>
        <v/>
      </c>
    </row>
    <row r="1710">
      <c r="A1710" s="1"/>
      <c r="B1710" s="1" t="str">
        <f>IFERROR(__xludf.DUMMYFUNCTION("""COMPUTED_VALUE"""),"")</f>
        <v/>
      </c>
      <c r="C1710" s="1" t="str">
        <f>IFERROR(__xludf.DUMMYFUNCTION("""COMPUTED_VALUE"""),"")</f>
        <v/>
      </c>
      <c r="D1710" s="1" t="str">
        <f>IFERROR(__xludf.DUMMYFUNCTION("""COMPUTED_VALUE"""),"")</f>
        <v/>
      </c>
      <c r="E1710" s="1" t="str">
        <f>IFERROR(__xludf.DUMMYFUNCTION("""COMPUTED_VALUE"""),"")</f>
        <v/>
      </c>
    </row>
    <row r="1711">
      <c r="A1711" s="1"/>
      <c r="B1711" s="1" t="str">
        <f>IFERROR(__xludf.DUMMYFUNCTION("""COMPUTED_VALUE"""),"")</f>
        <v/>
      </c>
      <c r="C1711" s="1" t="str">
        <f>IFERROR(__xludf.DUMMYFUNCTION("""COMPUTED_VALUE"""),"")</f>
        <v/>
      </c>
      <c r="D1711" s="1" t="str">
        <f>IFERROR(__xludf.DUMMYFUNCTION("""COMPUTED_VALUE"""),"")</f>
        <v/>
      </c>
      <c r="E1711" s="1" t="str">
        <f>IFERROR(__xludf.DUMMYFUNCTION("""COMPUTED_VALUE"""),"")</f>
        <v/>
      </c>
    </row>
    <row r="1712">
      <c r="A1712" s="1"/>
      <c r="B1712" s="1" t="str">
        <f>IFERROR(__xludf.DUMMYFUNCTION("""COMPUTED_VALUE"""),"")</f>
        <v/>
      </c>
      <c r="C1712" s="1" t="str">
        <f>IFERROR(__xludf.DUMMYFUNCTION("""COMPUTED_VALUE"""),"")</f>
        <v/>
      </c>
      <c r="D1712" s="1" t="str">
        <f>IFERROR(__xludf.DUMMYFUNCTION("""COMPUTED_VALUE"""),"")</f>
        <v/>
      </c>
      <c r="E1712" s="1" t="str">
        <f>IFERROR(__xludf.DUMMYFUNCTION("""COMPUTED_VALUE"""),"")</f>
        <v/>
      </c>
    </row>
    <row r="1713">
      <c r="A1713" s="1"/>
      <c r="B1713" s="1" t="str">
        <f>IFERROR(__xludf.DUMMYFUNCTION("""COMPUTED_VALUE"""),"")</f>
        <v/>
      </c>
      <c r="C1713" s="1" t="str">
        <f>IFERROR(__xludf.DUMMYFUNCTION("""COMPUTED_VALUE"""),"")</f>
        <v/>
      </c>
      <c r="D1713" s="1" t="str">
        <f>IFERROR(__xludf.DUMMYFUNCTION("""COMPUTED_VALUE"""),"")</f>
        <v/>
      </c>
      <c r="E1713" s="1" t="str">
        <f>IFERROR(__xludf.DUMMYFUNCTION("""COMPUTED_VALUE"""),"")</f>
        <v/>
      </c>
    </row>
    <row r="1714">
      <c r="A1714" s="1"/>
      <c r="B1714" s="1" t="str">
        <f>IFERROR(__xludf.DUMMYFUNCTION("""COMPUTED_VALUE"""),"")</f>
        <v/>
      </c>
      <c r="C1714" s="1" t="str">
        <f>IFERROR(__xludf.DUMMYFUNCTION("""COMPUTED_VALUE"""),"")</f>
        <v/>
      </c>
      <c r="D1714" s="1" t="str">
        <f>IFERROR(__xludf.DUMMYFUNCTION("""COMPUTED_VALUE"""),"")</f>
        <v/>
      </c>
      <c r="E1714" s="1" t="str">
        <f>IFERROR(__xludf.DUMMYFUNCTION("""COMPUTED_VALUE"""),"")</f>
        <v/>
      </c>
    </row>
    <row r="1715">
      <c r="A1715" s="1"/>
      <c r="B1715" s="1" t="str">
        <f>IFERROR(__xludf.DUMMYFUNCTION("""COMPUTED_VALUE"""),"")</f>
        <v/>
      </c>
      <c r="C1715" s="1" t="str">
        <f>IFERROR(__xludf.DUMMYFUNCTION("""COMPUTED_VALUE"""),"")</f>
        <v/>
      </c>
      <c r="D1715" s="1" t="str">
        <f>IFERROR(__xludf.DUMMYFUNCTION("""COMPUTED_VALUE"""),"")</f>
        <v/>
      </c>
      <c r="E1715" s="1" t="str">
        <f>IFERROR(__xludf.DUMMYFUNCTION("""COMPUTED_VALUE"""),"")</f>
        <v/>
      </c>
    </row>
    <row r="1716">
      <c r="A1716" s="1"/>
      <c r="B1716" s="1" t="str">
        <f>IFERROR(__xludf.DUMMYFUNCTION("""COMPUTED_VALUE"""),"")</f>
        <v/>
      </c>
      <c r="C1716" s="1" t="str">
        <f>IFERROR(__xludf.DUMMYFUNCTION("""COMPUTED_VALUE"""),"")</f>
        <v/>
      </c>
      <c r="D1716" s="1" t="str">
        <f>IFERROR(__xludf.DUMMYFUNCTION("""COMPUTED_VALUE"""),"")</f>
        <v/>
      </c>
      <c r="E1716" s="1" t="str">
        <f>IFERROR(__xludf.DUMMYFUNCTION("""COMPUTED_VALUE"""),"")</f>
        <v/>
      </c>
    </row>
    <row r="1717">
      <c r="A1717" s="1"/>
      <c r="B1717" s="1" t="str">
        <f>IFERROR(__xludf.DUMMYFUNCTION("""COMPUTED_VALUE"""),"")</f>
        <v/>
      </c>
      <c r="C1717" s="1" t="str">
        <f>IFERROR(__xludf.DUMMYFUNCTION("""COMPUTED_VALUE"""),"")</f>
        <v/>
      </c>
      <c r="D1717" s="1" t="str">
        <f>IFERROR(__xludf.DUMMYFUNCTION("""COMPUTED_VALUE"""),"")</f>
        <v/>
      </c>
      <c r="E1717" s="1" t="str">
        <f>IFERROR(__xludf.DUMMYFUNCTION("""COMPUTED_VALUE"""),"")</f>
        <v/>
      </c>
    </row>
    <row r="1718">
      <c r="A1718" s="1"/>
      <c r="B1718" s="1" t="str">
        <f>IFERROR(__xludf.DUMMYFUNCTION("""COMPUTED_VALUE"""),"")</f>
        <v/>
      </c>
      <c r="C1718" s="1" t="str">
        <f>IFERROR(__xludf.DUMMYFUNCTION("""COMPUTED_VALUE"""),"")</f>
        <v/>
      </c>
      <c r="D1718" s="1" t="str">
        <f>IFERROR(__xludf.DUMMYFUNCTION("""COMPUTED_VALUE"""),"")</f>
        <v/>
      </c>
      <c r="E1718" s="1" t="str">
        <f>IFERROR(__xludf.DUMMYFUNCTION("""COMPUTED_VALUE"""),"")</f>
        <v/>
      </c>
    </row>
    <row r="1719">
      <c r="A1719" s="1"/>
      <c r="B1719" s="1" t="str">
        <f>IFERROR(__xludf.DUMMYFUNCTION("""COMPUTED_VALUE"""),"")</f>
        <v/>
      </c>
      <c r="C1719" s="1" t="str">
        <f>IFERROR(__xludf.DUMMYFUNCTION("""COMPUTED_VALUE"""),"")</f>
        <v/>
      </c>
      <c r="D1719" s="1" t="str">
        <f>IFERROR(__xludf.DUMMYFUNCTION("""COMPUTED_VALUE"""),"")</f>
        <v/>
      </c>
      <c r="E1719" s="1" t="str">
        <f>IFERROR(__xludf.DUMMYFUNCTION("""COMPUTED_VALUE"""),"")</f>
        <v/>
      </c>
    </row>
    <row r="1720">
      <c r="A1720" s="1"/>
      <c r="B1720" s="1" t="str">
        <f>IFERROR(__xludf.DUMMYFUNCTION("""COMPUTED_VALUE"""),"")</f>
        <v/>
      </c>
      <c r="C1720" s="1" t="str">
        <f>IFERROR(__xludf.DUMMYFUNCTION("""COMPUTED_VALUE"""),"")</f>
        <v/>
      </c>
      <c r="D1720" s="1" t="str">
        <f>IFERROR(__xludf.DUMMYFUNCTION("""COMPUTED_VALUE"""),"")</f>
        <v/>
      </c>
      <c r="E1720" s="1" t="str">
        <f>IFERROR(__xludf.DUMMYFUNCTION("""COMPUTED_VALUE"""),"")</f>
        <v/>
      </c>
    </row>
    <row r="1721">
      <c r="A1721" s="1"/>
      <c r="B1721" s="1" t="str">
        <f>IFERROR(__xludf.DUMMYFUNCTION("""COMPUTED_VALUE"""),"")</f>
        <v/>
      </c>
      <c r="C1721" s="1" t="str">
        <f>IFERROR(__xludf.DUMMYFUNCTION("""COMPUTED_VALUE"""),"")</f>
        <v/>
      </c>
      <c r="D1721" s="1" t="str">
        <f>IFERROR(__xludf.DUMMYFUNCTION("""COMPUTED_VALUE"""),"")</f>
        <v/>
      </c>
      <c r="E1721" s="1" t="str">
        <f>IFERROR(__xludf.DUMMYFUNCTION("""COMPUTED_VALUE"""),"")</f>
        <v/>
      </c>
    </row>
    <row r="1722">
      <c r="A1722" s="1"/>
      <c r="B1722" s="1" t="str">
        <f>IFERROR(__xludf.DUMMYFUNCTION("""COMPUTED_VALUE"""),"")</f>
        <v/>
      </c>
      <c r="C1722" s="1" t="str">
        <f>IFERROR(__xludf.DUMMYFUNCTION("""COMPUTED_VALUE"""),"")</f>
        <v/>
      </c>
      <c r="D1722" s="1" t="str">
        <f>IFERROR(__xludf.DUMMYFUNCTION("""COMPUTED_VALUE"""),"")</f>
        <v/>
      </c>
      <c r="E1722" s="1" t="str">
        <f>IFERROR(__xludf.DUMMYFUNCTION("""COMPUTED_VALUE"""),"")</f>
        <v/>
      </c>
    </row>
    <row r="1723">
      <c r="A1723" s="1"/>
      <c r="B1723" s="1" t="str">
        <f>IFERROR(__xludf.DUMMYFUNCTION("""COMPUTED_VALUE"""),"")</f>
        <v/>
      </c>
      <c r="C1723" s="1" t="str">
        <f>IFERROR(__xludf.DUMMYFUNCTION("""COMPUTED_VALUE"""),"")</f>
        <v/>
      </c>
      <c r="D1723" s="1" t="str">
        <f>IFERROR(__xludf.DUMMYFUNCTION("""COMPUTED_VALUE"""),"")</f>
        <v/>
      </c>
      <c r="E1723" s="1" t="str">
        <f>IFERROR(__xludf.DUMMYFUNCTION("""COMPUTED_VALUE"""),"")</f>
        <v/>
      </c>
    </row>
    <row r="1724">
      <c r="A1724" s="1"/>
      <c r="B1724" s="1" t="str">
        <f>IFERROR(__xludf.DUMMYFUNCTION("""COMPUTED_VALUE"""),"")</f>
        <v/>
      </c>
      <c r="C1724" s="1" t="str">
        <f>IFERROR(__xludf.DUMMYFUNCTION("""COMPUTED_VALUE"""),"")</f>
        <v/>
      </c>
      <c r="D1724" s="1" t="str">
        <f>IFERROR(__xludf.DUMMYFUNCTION("""COMPUTED_VALUE"""),"")</f>
        <v/>
      </c>
      <c r="E1724" s="1" t="str">
        <f>IFERROR(__xludf.DUMMYFUNCTION("""COMPUTED_VALUE"""),"")</f>
        <v/>
      </c>
    </row>
    <row r="1725">
      <c r="A1725" s="1"/>
      <c r="B1725" s="1" t="str">
        <f>IFERROR(__xludf.DUMMYFUNCTION("""COMPUTED_VALUE"""),"")</f>
        <v/>
      </c>
      <c r="C1725" s="1" t="str">
        <f>IFERROR(__xludf.DUMMYFUNCTION("""COMPUTED_VALUE"""),"")</f>
        <v/>
      </c>
      <c r="D1725" s="1" t="str">
        <f>IFERROR(__xludf.DUMMYFUNCTION("""COMPUTED_VALUE"""),"")</f>
        <v/>
      </c>
      <c r="E1725" s="1" t="str">
        <f>IFERROR(__xludf.DUMMYFUNCTION("""COMPUTED_VALUE"""),"")</f>
        <v/>
      </c>
    </row>
    <row r="1726">
      <c r="A1726" s="1"/>
      <c r="B1726" s="1" t="str">
        <f>IFERROR(__xludf.DUMMYFUNCTION("""COMPUTED_VALUE"""),"")</f>
        <v/>
      </c>
      <c r="C1726" s="1" t="str">
        <f>IFERROR(__xludf.DUMMYFUNCTION("""COMPUTED_VALUE"""),"")</f>
        <v/>
      </c>
      <c r="D1726" s="1" t="str">
        <f>IFERROR(__xludf.DUMMYFUNCTION("""COMPUTED_VALUE"""),"")</f>
        <v/>
      </c>
      <c r="E1726" s="1" t="str">
        <f>IFERROR(__xludf.DUMMYFUNCTION("""COMPUTED_VALUE"""),"")</f>
        <v/>
      </c>
    </row>
    <row r="1727">
      <c r="A1727" s="1"/>
      <c r="B1727" s="1" t="str">
        <f>IFERROR(__xludf.DUMMYFUNCTION("""COMPUTED_VALUE"""),"")</f>
        <v/>
      </c>
      <c r="C1727" s="1" t="str">
        <f>IFERROR(__xludf.DUMMYFUNCTION("""COMPUTED_VALUE"""),"")</f>
        <v/>
      </c>
      <c r="D1727" s="1" t="str">
        <f>IFERROR(__xludf.DUMMYFUNCTION("""COMPUTED_VALUE"""),"")</f>
        <v/>
      </c>
      <c r="E1727" s="1" t="str">
        <f>IFERROR(__xludf.DUMMYFUNCTION("""COMPUTED_VALUE"""),"")</f>
        <v/>
      </c>
    </row>
    <row r="1728">
      <c r="A1728" s="1"/>
      <c r="B1728" s="1" t="str">
        <f>IFERROR(__xludf.DUMMYFUNCTION("""COMPUTED_VALUE"""),"")</f>
        <v/>
      </c>
      <c r="C1728" s="1" t="str">
        <f>IFERROR(__xludf.DUMMYFUNCTION("""COMPUTED_VALUE"""),"")</f>
        <v/>
      </c>
      <c r="D1728" s="1" t="str">
        <f>IFERROR(__xludf.DUMMYFUNCTION("""COMPUTED_VALUE"""),"")</f>
        <v/>
      </c>
      <c r="E1728" s="1" t="str">
        <f>IFERROR(__xludf.DUMMYFUNCTION("""COMPUTED_VALUE"""),"")</f>
        <v/>
      </c>
    </row>
    <row r="1729">
      <c r="A1729" s="1"/>
      <c r="B1729" s="1" t="str">
        <f>IFERROR(__xludf.DUMMYFUNCTION("""COMPUTED_VALUE"""),"")</f>
        <v/>
      </c>
      <c r="C1729" s="1" t="str">
        <f>IFERROR(__xludf.DUMMYFUNCTION("""COMPUTED_VALUE"""),"")</f>
        <v/>
      </c>
      <c r="D1729" s="1" t="str">
        <f>IFERROR(__xludf.DUMMYFUNCTION("""COMPUTED_VALUE"""),"")</f>
        <v/>
      </c>
      <c r="E1729" s="1" t="str">
        <f>IFERROR(__xludf.DUMMYFUNCTION("""COMPUTED_VALUE"""),"")</f>
        <v/>
      </c>
    </row>
    <row r="1730">
      <c r="A1730" s="1"/>
      <c r="B1730" s="1" t="str">
        <f>IFERROR(__xludf.DUMMYFUNCTION("""COMPUTED_VALUE"""),"")</f>
        <v/>
      </c>
      <c r="C1730" s="1" t="str">
        <f>IFERROR(__xludf.DUMMYFUNCTION("""COMPUTED_VALUE"""),"")</f>
        <v/>
      </c>
      <c r="D1730" s="1" t="str">
        <f>IFERROR(__xludf.DUMMYFUNCTION("""COMPUTED_VALUE"""),"")</f>
        <v/>
      </c>
      <c r="E1730" s="1" t="str">
        <f>IFERROR(__xludf.DUMMYFUNCTION("""COMPUTED_VALUE"""),"")</f>
        <v/>
      </c>
    </row>
    <row r="1731">
      <c r="A1731" s="1"/>
      <c r="B1731" s="1" t="str">
        <f>IFERROR(__xludf.DUMMYFUNCTION("""COMPUTED_VALUE"""),"")</f>
        <v/>
      </c>
      <c r="C1731" s="1" t="str">
        <f>IFERROR(__xludf.DUMMYFUNCTION("""COMPUTED_VALUE"""),"")</f>
        <v/>
      </c>
      <c r="D1731" s="1" t="str">
        <f>IFERROR(__xludf.DUMMYFUNCTION("""COMPUTED_VALUE"""),"")</f>
        <v/>
      </c>
      <c r="E1731" s="1" t="str">
        <f>IFERROR(__xludf.DUMMYFUNCTION("""COMPUTED_VALUE"""),"")</f>
        <v/>
      </c>
    </row>
    <row r="1732">
      <c r="A1732" s="1"/>
      <c r="B1732" s="1" t="str">
        <f>IFERROR(__xludf.DUMMYFUNCTION("""COMPUTED_VALUE"""),"")</f>
        <v/>
      </c>
      <c r="C1732" s="1" t="str">
        <f>IFERROR(__xludf.DUMMYFUNCTION("""COMPUTED_VALUE"""),"")</f>
        <v/>
      </c>
      <c r="D1732" s="1" t="str">
        <f>IFERROR(__xludf.DUMMYFUNCTION("""COMPUTED_VALUE"""),"")</f>
        <v/>
      </c>
      <c r="E1732" s="1" t="str">
        <f>IFERROR(__xludf.DUMMYFUNCTION("""COMPUTED_VALUE"""),"")</f>
        <v/>
      </c>
    </row>
    <row r="1733">
      <c r="A1733" s="1"/>
      <c r="B1733" s="1" t="str">
        <f>IFERROR(__xludf.DUMMYFUNCTION("""COMPUTED_VALUE"""),"")</f>
        <v/>
      </c>
      <c r="C1733" s="1" t="str">
        <f>IFERROR(__xludf.DUMMYFUNCTION("""COMPUTED_VALUE"""),"")</f>
        <v/>
      </c>
      <c r="D1733" s="1" t="str">
        <f>IFERROR(__xludf.DUMMYFUNCTION("""COMPUTED_VALUE"""),"")</f>
        <v/>
      </c>
      <c r="E1733" s="1" t="str">
        <f>IFERROR(__xludf.DUMMYFUNCTION("""COMPUTED_VALUE"""),"")</f>
        <v/>
      </c>
    </row>
    <row r="1734">
      <c r="A1734" s="1"/>
      <c r="B1734" s="1" t="str">
        <f>IFERROR(__xludf.DUMMYFUNCTION("""COMPUTED_VALUE"""),"")</f>
        <v/>
      </c>
      <c r="C1734" s="1" t="str">
        <f>IFERROR(__xludf.DUMMYFUNCTION("""COMPUTED_VALUE"""),"")</f>
        <v/>
      </c>
      <c r="D1734" s="1" t="str">
        <f>IFERROR(__xludf.DUMMYFUNCTION("""COMPUTED_VALUE"""),"")</f>
        <v/>
      </c>
      <c r="E1734" s="1" t="str">
        <f>IFERROR(__xludf.DUMMYFUNCTION("""COMPUTED_VALUE"""),"")</f>
        <v/>
      </c>
    </row>
    <row r="1735">
      <c r="A1735" s="1"/>
      <c r="B1735" s="1" t="str">
        <f>IFERROR(__xludf.DUMMYFUNCTION("""COMPUTED_VALUE"""),"")</f>
        <v/>
      </c>
      <c r="C1735" s="1" t="str">
        <f>IFERROR(__xludf.DUMMYFUNCTION("""COMPUTED_VALUE"""),"")</f>
        <v/>
      </c>
      <c r="D1735" s="1" t="str">
        <f>IFERROR(__xludf.DUMMYFUNCTION("""COMPUTED_VALUE"""),"")</f>
        <v/>
      </c>
      <c r="E1735" s="1" t="str">
        <f>IFERROR(__xludf.DUMMYFUNCTION("""COMPUTED_VALUE"""),"")</f>
        <v/>
      </c>
    </row>
    <row r="1736">
      <c r="A1736" s="1"/>
      <c r="B1736" s="1" t="str">
        <f>IFERROR(__xludf.DUMMYFUNCTION("""COMPUTED_VALUE"""),"")</f>
        <v/>
      </c>
      <c r="C1736" s="1" t="str">
        <f>IFERROR(__xludf.DUMMYFUNCTION("""COMPUTED_VALUE"""),"")</f>
        <v/>
      </c>
      <c r="D1736" s="1" t="str">
        <f>IFERROR(__xludf.DUMMYFUNCTION("""COMPUTED_VALUE"""),"")</f>
        <v/>
      </c>
      <c r="E1736" s="1" t="str">
        <f>IFERROR(__xludf.DUMMYFUNCTION("""COMPUTED_VALUE"""),"")</f>
        <v/>
      </c>
    </row>
    <row r="1737">
      <c r="A1737" s="1"/>
      <c r="B1737" s="1" t="str">
        <f>IFERROR(__xludf.DUMMYFUNCTION("""COMPUTED_VALUE"""),"")</f>
        <v/>
      </c>
      <c r="C1737" s="1" t="str">
        <f>IFERROR(__xludf.DUMMYFUNCTION("""COMPUTED_VALUE"""),"")</f>
        <v/>
      </c>
      <c r="D1737" s="1" t="str">
        <f>IFERROR(__xludf.DUMMYFUNCTION("""COMPUTED_VALUE"""),"")</f>
        <v/>
      </c>
      <c r="E1737" s="1" t="str">
        <f>IFERROR(__xludf.DUMMYFUNCTION("""COMPUTED_VALUE"""),"")</f>
        <v/>
      </c>
    </row>
    <row r="1738">
      <c r="A1738" s="1"/>
      <c r="B1738" s="1" t="str">
        <f>IFERROR(__xludf.DUMMYFUNCTION("""COMPUTED_VALUE"""),"")</f>
        <v/>
      </c>
      <c r="C1738" s="1" t="str">
        <f>IFERROR(__xludf.DUMMYFUNCTION("""COMPUTED_VALUE"""),"")</f>
        <v/>
      </c>
      <c r="D1738" s="1" t="str">
        <f>IFERROR(__xludf.DUMMYFUNCTION("""COMPUTED_VALUE"""),"")</f>
        <v/>
      </c>
      <c r="E1738" s="1" t="str">
        <f>IFERROR(__xludf.DUMMYFUNCTION("""COMPUTED_VALUE"""),"")</f>
        <v/>
      </c>
    </row>
    <row r="1739">
      <c r="A1739" s="1"/>
      <c r="B1739" s="1" t="str">
        <f>IFERROR(__xludf.DUMMYFUNCTION("""COMPUTED_VALUE"""),"")</f>
        <v/>
      </c>
      <c r="C1739" s="1" t="str">
        <f>IFERROR(__xludf.DUMMYFUNCTION("""COMPUTED_VALUE"""),"")</f>
        <v/>
      </c>
      <c r="D1739" s="1" t="str">
        <f>IFERROR(__xludf.DUMMYFUNCTION("""COMPUTED_VALUE"""),"")</f>
        <v/>
      </c>
      <c r="E1739" s="1" t="str">
        <f>IFERROR(__xludf.DUMMYFUNCTION("""COMPUTED_VALUE"""),"")</f>
        <v/>
      </c>
    </row>
    <row r="1740">
      <c r="A1740" s="1"/>
      <c r="B1740" s="1" t="str">
        <f>IFERROR(__xludf.DUMMYFUNCTION("""COMPUTED_VALUE"""),"")</f>
        <v/>
      </c>
      <c r="C1740" s="1" t="str">
        <f>IFERROR(__xludf.DUMMYFUNCTION("""COMPUTED_VALUE"""),"")</f>
        <v/>
      </c>
      <c r="D1740" s="1" t="str">
        <f>IFERROR(__xludf.DUMMYFUNCTION("""COMPUTED_VALUE"""),"")</f>
        <v/>
      </c>
      <c r="E1740" s="1" t="str">
        <f>IFERROR(__xludf.DUMMYFUNCTION("""COMPUTED_VALUE"""),"")</f>
        <v/>
      </c>
    </row>
    <row r="1741">
      <c r="A1741" s="1"/>
      <c r="B1741" s="1" t="str">
        <f>IFERROR(__xludf.DUMMYFUNCTION("""COMPUTED_VALUE"""),"")</f>
        <v/>
      </c>
      <c r="C1741" s="1" t="str">
        <f>IFERROR(__xludf.DUMMYFUNCTION("""COMPUTED_VALUE"""),"")</f>
        <v/>
      </c>
      <c r="D1741" s="1" t="str">
        <f>IFERROR(__xludf.DUMMYFUNCTION("""COMPUTED_VALUE"""),"")</f>
        <v/>
      </c>
      <c r="E1741" s="1" t="str">
        <f>IFERROR(__xludf.DUMMYFUNCTION("""COMPUTED_VALUE"""),"")</f>
        <v/>
      </c>
    </row>
    <row r="1742">
      <c r="A1742" s="1"/>
      <c r="B1742" s="1" t="str">
        <f>IFERROR(__xludf.DUMMYFUNCTION("""COMPUTED_VALUE"""),"")</f>
        <v/>
      </c>
      <c r="C1742" s="1" t="str">
        <f>IFERROR(__xludf.DUMMYFUNCTION("""COMPUTED_VALUE"""),"")</f>
        <v/>
      </c>
      <c r="D1742" s="1" t="str">
        <f>IFERROR(__xludf.DUMMYFUNCTION("""COMPUTED_VALUE"""),"")</f>
        <v/>
      </c>
      <c r="E1742" s="1" t="str">
        <f>IFERROR(__xludf.DUMMYFUNCTION("""COMPUTED_VALUE"""),"")</f>
        <v/>
      </c>
    </row>
    <row r="1743">
      <c r="A1743" s="1"/>
      <c r="B1743" s="1" t="str">
        <f>IFERROR(__xludf.DUMMYFUNCTION("""COMPUTED_VALUE"""),"")</f>
        <v/>
      </c>
      <c r="C1743" s="1" t="str">
        <f>IFERROR(__xludf.DUMMYFUNCTION("""COMPUTED_VALUE"""),"")</f>
        <v/>
      </c>
      <c r="D1743" s="1" t="str">
        <f>IFERROR(__xludf.DUMMYFUNCTION("""COMPUTED_VALUE"""),"")</f>
        <v/>
      </c>
      <c r="E1743" s="1" t="str">
        <f>IFERROR(__xludf.DUMMYFUNCTION("""COMPUTED_VALUE"""),"")</f>
        <v/>
      </c>
    </row>
    <row r="1744">
      <c r="A1744" s="1"/>
      <c r="B1744" s="1" t="str">
        <f>IFERROR(__xludf.DUMMYFUNCTION("""COMPUTED_VALUE"""),"")</f>
        <v/>
      </c>
      <c r="C1744" s="1" t="str">
        <f>IFERROR(__xludf.DUMMYFUNCTION("""COMPUTED_VALUE"""),"")</f>
        <v/>
      </c>
      <c r="D1744" s="1" t="str">
        <f>IFERROR(__xludf.DUMMYFUNCTION("""COMPUTED_VALUE"""),"")</f>
        <v/>
      </c>
      <c r="E1744" s="1" t="str">
        <f>IFERROR(__xludf.DUMMYFUNCTION("""COMPUTED_VALUE"""),"")</f>
        <v/>
      </c>
    </row>
    <row r="1745">
      <c r="A1745" s="1"/>
      <c r="B1745" s="1" t="str">
        <f>IFERROR(__xludf.DUMMYFUNCTION("""COMPUTED_VALUE"""),"")</f>
        <v/>
      </c>
      <c r="C1745" s="1" t="str">
        <f>IFERROR(__xludf.DUMMYFUNCTION("""COMPUTED_VALUE"""),"")</f>
        <v/>
      </c>
      <c r="D1745" s="1" t="str">
        <f>IFERROR(__xludf.DUMMYFUNCTION("""COMPUTED_VALUE"""),"")</f>
        <v/>
      </c>
      <c r="E1745" s="1" t="str">
        <f>IFERROR(__xludf.DUMMYFUNCTION("""COMPUTED_VALUE"""),"")</f>
        <v/>
      </c>
    </row>
    <row r="1746">
      <c r="A1746" s="1"/>
      <c r="B1746" s="1" t="str">
        <f>IFERROR(__xludf.DUMMYFUNCTION("""COMPUTED_VALUE"""),"")</f>
        <v/>
      </c>
      <c r="C1746" s="1" t="str">
        <f>IFERROR(__xludf.DUMMYFUNCTION("""COMPUTED_VALUE"""),"")</f>
        <v/>
      </c>
      <c r="D1746" s="1" t="str">
        <f>IFERROR(__xludf.DUMMYFUNCTION("""COMPUTED_VALUE"""),"")</f>
        <v/>
      </c>
      <c r="E1746" s="1" t="str">
        <f>IFERROR(__xludf.DUMMYFUNCTION("""COMPUTED_VALUE"""),"")</f>
        <v/>
      </c>
    </row>
    <row r="1747">
      <c r="A1747" s="1"/>
      <c r="B1747" s="1" t="str">
        <f>IFERROR(__xludf.DUMMYFUNCTION("""COMPUTED_VALUE"""),"")</f>
        <v/>
      </c>
      <c r="C1747" s="1" t="str">
        <f>IFERROR(__xludf.DUMMYFUNCTION("""COMPUTED_VALUE"""),"")</f>
        <v/>
      </c>
      <c r="D1747" s="1" t="str">
        <f>IFERROR(__xludf.DUMMYFUNCTION("""COMPUTED_VALUE"""),"")</f>
        <v/>
      </c>
      <c r="E1747" s="1" t="str">
        <f>IFERROR(__xludf.DUMMYFUNCTION("""COMPUTED_VALUE"""),"")</f>
        <v/>
      </c>
    </row>
    <row r="1748">
      <c r="A1748" s="1"/>
      <c r="B1748" s="1" t="str">
        <f>IFERROR(__xludf.DUMMYFUNCTION("""COMPUTED_VALUE"""),"")</f>
        <v/>
      </c>
      <c r="C1748" s="1" t="str">
        <f>IFERROR(__xludf.DUMMYFUNCTION("""COMPUTED_VALUE"""),"")</f>
        <v/>
      </c>
      <c r="D1748" s="1" t="str">
        <f>IFERROR(__xludf.DUMMYFUNCTION("""COMPUTED_VALUE"""),"")</f>
        <v/>
      </c>
      <c r="E1748" s="1" t="str">
        <f>IFERROR(__xludf.DUMMYFUNCTION("""COMPUTED_VALUE"""),"")</f>
        <v/>
      </c>
    </row>
    <row r="1749">
      <c r="A1749" s="1"/>
      <c r="B1749" s="1" t="str">
        <f>IFERROR(__xludf.DUMMYFUNCTION("""COMPUTED_VALUE"""),"")</f>
        <v/>
      </c>
      <c r="C1749" s="1" t="str">
        <f>IFERROR(__xludf.DUMMYFUNCTION("""COMPUTED_VALUE"""),"")</f>
        <v/>
      </c>
      <c r="D1749" s="1" t="str">
        <f>IFERROR(__xludf.DUMMYFUNCTION("""COMPUTED_VALUE"""),"")</f>
        <v/>
      </c>
      <c r="E1749" s="1" t="str">
        <f>IFERROR(__xludf.DUMMYFUNCTION("""COMPUTED_VALUE"""),"")</f>
        <v/>
      </c>
    </row>
    <row r="1750">
      <c r="A1750" s="1"/>
      <c r="B1750" s="1" t="str">
        <f>IFERROR(__xludf.DUMMYFUNCTION("""COMPUTED_VALUE"""),"")</f>
        <v/>
      </c>
      <c r="C1750" s="1" t="str">
        <f>IFERROR(__xludf.DUMMYFUNCTION("""COMPUTED_VALUE"""),"")</f>
        <v/>
      </c>
      <c r="D1750" s="1" t="str">
        <f>IFERROR(__xludf.DUMMYFUNCTION("""COMPUTED_VALUE"""),"")</f>
        <v/>
      </c>
      <c r="E1750" s="1" t="str">
        <f>IFERROR(__xludf.DUMMYFUNCTION("""COMPUTED_VALUE"""),"")</f>
        <v/>
      </c>
    </row>
    <row r="1751">
      <c r="A1751" s="1"/>
      <c r="B1751" s="1" t="str">
        <f>IFERROR(__xludf.DUMMYFUNCTION("""COMPUTED_VALUE"""),"")</f>
        <v/>
      </c>
      <c r="C1751" s="1" t="str">
        <f>IFERROR(__xludf.DUMMYFUNCTION("""COMPUTED_VALUE"""),"")</f>
        <v/>
      </c>
      <c r="D1751" s="1" t="str">
        <f>IFERROR(__xludf.DUMMYFUNCTION("""COMPUTED_VALUE"""),"")</f>
        <v/>
      </c>
      <c r="E1751" s="1" t="str">
        <f>IFERROR(__xludf.DUMMYFUNCTION("""COMPUTED_VALUE"""),"")</f>
        <v/>
      </c>
    </row>
    <row r="1752">
      <c r="A1752" s="1"/>
      <c r="B1752" s="1" t="str">
        <f>IFERROR(__xludf.DUMMYFUNCTION("""COMPUTED_VALUE"""),"")</f>
        <v/>
      </c>
      <c r="C1752" s="1" t="str">
        <f>IFERROR(__xludf.DUMMYFUNCTION("""COMPUTED_VALUE"""),"")</f>
        <v/>
      </c>
      <c r="D1752" s="1" t="str">
        <f>IFERROR(__xludf.DUMMYFUNCTION("""COMPUTED_VALUE"""),"")</f>
        <v/>
      </c>
      <c r="E1752" s="1" t="str">
        <f>IFERROR(__xludf.DUMMYFUNCTION("""COMPUTED_VALUE"""),"")</f>
        <v/>
      </c>
    </row>
    <row r="1753">
      <c r="A1753" s="1"/>
      <c r="B1753" s="1" t="str">
        <f>IFERROR(__xludf.DUMMYFUNCTION("""COMPUTED_VALUE"""),"")</f>
        <v/>
      </c>
      <c r="C1753" s="1" t="str">
        <f>IFERROR(__xludf.DUMMYFUNCTION("""COMPUTED_VALUE"""),"")</f>
        <v/>
      </c>
      <c r="D1753" s="1" t="str">
        <f>IFERROR(__xludf.DUMMYFUNCTION("""COMPUTED_VALUE"""),"")</f>
        <v/>
      </c>
      <c r="E1753" s="1" t="str">
        <f>IFERROR(__xludf.DUMMYFUNCTION("""COMPUTED_VALUE"""),"")</f>
        <v/>
      </c>
    </row>
    <row r="1754">
      <c r="A1754" s="1"/>
      <c r="B1754" s="1" t="str">
        <f>IFERROR(__xludf.DUMMYFUNCTION("""COMPUTED_VALUE"""),"")</f>
        <v/>
      </c>
      <c r="C1754" s="1" t="str">
        <f>IFERROR(__xludf.DUMMYFUNCTION("""COMPUTED_VALUE"""),"")</f>
        <v/>
      </c>
      <c r="D1754" s="1" t="str">
        <f>IFERROR(__xludf.DUMMYFUNCTION("""COMPUTED_VALUE"""),"")</f>
        <v/>
      </c>
      <c r="E1754" s="1" t="str">
        <f>IFERROR(__xludf.DUMMYFUNCTION("""COMPUTED_VALUE"""),"")</f>
        <v/>
      </c>
    </row>
    <row r="1755">
      <c r="A1755" s="1"/>
      <c r="B1755" s="1" t="str">
        <f>IFERROR(__xludf.DUMMYFUNCTION("""COMPUTED_VALUE"""),"")</f>
        <v/>
      </c>
      <c r="C1755" s="1" t="str">
        <f>IFERROR(__xludf.DUMMYFUNCTION("""COMPUTED_VALUE"""),"")</f>
        <v/>
      </c>
      <c r="D1755" s="1" t="str">
        <f>IFERROR(__xludf.DUMMYFUNCTION("""COMPUTED_VALUE"""),"")</f>
        <v/>
      </c>
      <c r="E1755" s="1" t="str">
        <f>IFERROR(__xludf.DUMMYFUNCTION("""COMPUTED_VALUE"""),"")</f>
        <v/>
      </c>
    </row>
    <row r="1756">
      <c r="A1756" s="1"/>
      <c r="B1756" s="1" t="str">
        <f>IFERROR(__xludf.DUMMYFUNCTION("""COMPUTED_VALUE"""),"")</f>
        <v/>
      </c>
      <c r="C1756" s="1" t="str">
        <f>IFERROR(__xludf.DUMMYFUNCTION("""COMPUTED_VALUE"""),"")</f>
        <v/>
      </c>
      <c r="D1756" s="1" t="str">
        <f>IFERROR(__xludf.DUMMYFUNCTION("""COMPUTED_VALUE"""),"")</f>
        <v/>
      </c>
      <c r="E1756" s="1" t="str">
        <f>IFERROR(__xludf.DUMMYFUNCTION("""COMPUTED_VALUE"""),"")</f>
        <v/>
      </c>
    </row>
    <row r="1757">
      <c r="A1757" s="1"/>
      <c r="B1757" s="1" t="str">
        <f>IFERROR(__xludf.DUMMYFUNCTION("""COMPUTED_VALUE"""),"")</f>
        <v/>
      </c>
      <c r="C1757" s="1" t="str">
        <f>IFERROR(__xludf.DUMMYFUNCTION("""COMPUTED_VALUE"""),"")</f>
        <v/>
      </c>
      <c r="D1757" s="1" t="str">
        <f>IFERROR(__xludf.DUMMYFUNCTION("""COMPUTED_VALUE"""),"")</f>
        <v/>
      </c>
      <c r="E1757" s="1" t="str">
        <f>IFERROR(__xludf.DUMMYFUNCTION("""COMPUTED_VALUE"""),"")</f>
        <v/>
      </c>
    </row>
    <row r="1758">
      <c r="A1758" s="1"/>
      <c r="B1758" s="1" t="str">
        <f>IFERROR(__xludf.DUMMYFUNCTION("""COMPUTED_VALUE"""),"")</f>
        <v/>
      </c>
      <c r="C1758" s="1" t="str">
        <f>IFERROR(__xludf.DUMMYFUNCTION("""COMPUTED_VALUE"""),"")</f>
        <v/>
      </c>
      <c r="D1758" s="1" t="str">
        <f>IFERROR(__xludf.DUMMYFUNCTION("""COMPUTED_VALUE"""),"")</f>
        <v/>
      </c>
      <c r="E1758" s="1" t="str">
        <f>IFERROR(__xludf.DUMMYFUNCTION("""COMPUTED_VALUE"""),"")</f>
        <v/>
      </c>
    </row>
    <row r="1759">
      <c r="A1759" s="1"/>
      <c r="B1759" s="1" t="str">
        <f>IFERROR(__xludf.DUMMYFUNCTION("""COMPUTED_VALUE"""),"")</f>
        <v/>
      </c>
      <c r="C1759" s="1" t="str">
        <f>IFERROR(__xludf.DUMMYFUNCTION("""COMPUTED_VALUE"""),"")</f>
        <v/>
      </c>
      <c r="D1759" s="1" t="str">
        <f>IFERROR(__xludf.DUMMYFUNCTION("""COMPUTED_VALUE"""),"")</f>
        <v/>
      </c>
      <c r="E1759" s="1" t="str">
        <f>IFERROR(__xludf.DUMMYFUNCTION("""COMPUTED_VALUE"""),"")</f>
        <v/>
      </c>
    </row>
    <row r="1760">
      <c r="A1760" s="1"/>
      <c r="B1760" s="1" t="str">
        <f>IFERROR(__xludf.DUMMYFUNCTION("""COMPUTED_VALUE"""),"")</f>
        <v/>
      </c>
      <c r="C1760" s="1" t="str">
        <f>IFERROR(__xludf.DUMMYFUNCTION("""COMPUTED_VALUE"""),"")</f>
        <v/>
      </c>
      <c r="D1760" s="1" t="str">
        <f>IFERROR(__xludf.DUMMYFUNCTION("""COMPUTED_VALUE"""),"")</f>
        <v/>
      </c>
      <c r="E1760" s="1" t="str">
        <f>IFERROR(__xludf.DUMMYFUNCTION("""COMPUTED_VALUE"""),"")</f>
        <v/>
      </c>
    </row>
    <row r="1761">
      <c r="A1761" s="1"/>
      <c r="B1761" s="1" t="str">
        <f>IFERROR(__xludf.DUMMYFUNCTION("""COMPUTED_VALUE"""),"")</f>
        <v/>
      </c>
      <c r="C1761" s="1" t="str">
        <f>IFERROR(__xludf.DUMMYFUNCTION("""COMPUTED_VALUE"""),"")</f>
        <v/>
      </c>
      <c r="D1761" s="1" t="str">
        <f>IFERROR(__xludf.DUMMYFUNCTION("""COMPUTED_VALUE"""),"")</f>
        <v/>
      </c>
      <c r="E1761" s="1" t="str">
        <f>IFERROR(__xludf.DUMMYFUNCTION("""COMPUTED_VALUE"""),"")</f>
        <v/>
      </c>
    </row>
    <row r="1762">
      <c r="A1762" s="1"/>
      <c r="B1762" s="1" t="str">
        <f>IFERROR(__xludf.DUMMYFUNCTION("""COMPUTED_VALUE"""),"")</f>
        <v/>
      </c>
      <c r="C1762" s="1" t="str">
        <f>IFERROR(__xludf.DUMMYFUNCTION("""COMPUTED_VALUE"""),"")</f>
        <v/>
      </c>
      <c r="D1762" s="1" t="str">
        <f>IFERROR(__xludf.DUMMYFUNCTION("""COMPUTED_VALUE"""),"")</f>
        <v/>
      </c>
      <c r="E1762" s="1" t="str">
        <f>IFERROR(__xludf.DUMMYFUNCTION("""COMPUTED_VALUE"""),"")</f>
        <v/>
      </c>
    </row>
    <row r="1763">
      <c r="A1763" s="1"/>
      <c r="B1763" s="1" t="str">
        <f>IFERROR(__xludf.DUMMYFUNCTION("""COMPUTED_VALUE"""),"")</f>
        <v/>
      </c>
      <c r="C1763" s="1" t="str">
        <f>IFERROR(__xludf.DUMMYFUNCTION("""COMPUTED_VALUE"""),"")</f>
        <v/>
      </c>
      <c r="D1763" s="1" t="str">
        <f>IFERROR(__xludf.DUMMYFUNCTION("""COMPUTED_VALUE"""),"")</f>
        <v/>
      </c>
      <c r="E1763" s="1" t="str">
        <f>IFERROR(__xludf.DUMMYFUNCTION("""COMPUTED_VALUE"""),"")</f>
        <v/>
      </c>
    </row>
    <row r="1764">
      <c r="A1764" s="1"/>
      <c r="B1764" s="1" t="str">
        <f>IFERROR(__xludf.DUMMYFUNCTION("""COMPUTED_VALUE"""),"")</f>
        <v/>
      </c>
      <c r="C1764" s="1" t="str">
        <f>IFERROR(__xludf.DUMMYFUNCTION("""COMPUTED_VALUE"""),"")</f>
        <v/>
      </c>
      <c r="D1764" s="1" t="str">
        <f>IFERROR(__xludf.DUMMYFUNCTION("""COMPUTED_VALUE"""),"")</f>
        <v/>
      </c>
      <c r="E1764" s="1" t="str">
        <f>IFERROR(__xludf.DUMMYFUNCTION("""COMPUTED_VALUE"""),"")</f>
        <v/>
      </c>
    </row>
    <row r="1765">
      <c r="A1765" s="1"/>
      <c r="B1765" s="1" t="str">
        <f>IFERROR(__xludf.DUMMYFUNCTION("""COMPUTED_VALUE"""),"")</f>
        <v/>
      </c>
      <c r="C1765" s="1" t="str">
        <f>IFERROR(__xludf.DUMMYFUNCTION("""COMPUTED_VALUE"""),"")</f>
        <v/>
      </c>
      <c r="D1765" s="1" t="str">
        <f>IFERROR(__xludf.DUMMYFUNCTION("""COMPUTED_VALUE"""),"")</f>
        <v/>
      </c>
      <c r="E1765" s="1" t="str">
        <f>IFERROR(__xludf.DUMMYFUNCTION("""COMPUTED_VALUE"""),"")</f>
        <v/>
      </c>
    </row>
    <row r="1766">
      <c r="A1766" s="1"/>
      <c r="B1766" s="1" t="str">
        <f>IFERROR(__xludf.DUMMYFUNCTION("""COMPUTED_VALUE"""),"")</f>
        <v/>
      </c>
      <c r="C1766" s="1" t="str">
        <f>IFERROR(__xludf.DUMMYFUNCTION("""COMPUTED_VALUE"""),"")</f>
        <v/>
      </c>
      <c r="D1766" s="1" t="str">
        <f>IFERROR(__xludf.DUMMYFUNCTION("""COMPUTED_VALUE"""),"")</f>
        <v/>
      </c>
      <c r="E1766" s="1" t="str">
        <f>IFERROR(__xludf.DUMMYFUNCTION("""COMPUTED_VALUE"""),"")</f>
        <v/>
      </c>
    </row>
    <row r="1767">
      <c r="A1767" s="1"/>
      <c r="B1767" s="1" t="str">
        <f>IFERROR(__xludf.DUMMYFUNCTION("""COMPUTED_VALUE"""),"")</f>
        <v/>
      </c>
      <c r="C1767" s="1" t="str">
        <f>IFERROR(__xludf.DUMMYFUNCTION("""COMPUTED_VALUE"""),"")</f>
        <v/>
      </c>
      <c r="D1767" s="1" t="str">
        <f>IFERROR(__xludf.DUMMYFUNCTION("""COMPUTED_VALUE"""),"")</f>
        <v/>
      </c>
      <c r="E1767" s="1" t="str">
        <f>IFERROR(__xludf.DUMMYFUNCTION("""COMPUTED_VALUE"""),"")</f>
        <v/>
      </c>
    </row>
    <row r="1768">
      <c r="A1768" s="1"/>
      <c r="B1768" s="1" t="str">
        <f>IFERROR(__xludf.DUMMYFUNCTION("""COMPUTED_VALUE"""),"")</f>
        <v/>
      </c>
      <c r="C1768" s="1" t="str">
        <f>IFERROR(__xludf.DUMMYFUNCTION("""COMPUTED_VALUE"""),"")</f>
        <v/>
      </c>
      <c r="D1768" s="1" t="str">
        <f>IFERROR(__xludf.DUMMYFUNCTION("""COMPUTED_VALUE"""),"")</f>
        <v/>
      </c>
      <c r="E1768" s="1" t="str">
        <f>IFERROR(__xludf.DUMMYFUNCTION("""COMPUTED_VALUE"""),"")</f>
        <v/>
      </c>
    </row>
    <row r="1769">
      <c r="A1769" s="1"/>
      <c r="B1769" s="1" t="str">
        <f>IFERROR(__xludf.DUMMYFUNCTION("""COMPUTED_VALUE"""),"")</f>
        <v/>
      </c>
      <c r="C1769" s="1" t="str">
        <f>IFERROR(__xludf.DUMMYFUNCTION("""COMPUTED_VALUE"""),"")</f>
        <v/>
      </c>
      <c r="D1769" s="1" t="str">
        <f>IFERROR(__xludf.DUMMYFUNCTION("""COMPUTED_VALUE"""),"")</f>
        <v/>
      </c>
      <c r="E1769" s="1" t="str">
        <f>IFERROR(__xludf.DUMMYFUNCTION("""COMPUTED_VALUE"""),"")</f>
        <v/>
      </c>
    </row>
    <row r="1770">
      <c r="A1770" s="1"/>
      <c r="B1770" s="1" t="str">
        <f>IFERROR(__xludf.DUMMYFUNCTION("""COMPUTED_VALUE"""),"")</f>
        <v/>
      </c>
      <c r="C1770" s="1" t="str">
        <f>IFERROR(__xludf.DUMMYFUNCTION("""COMPUTED_VALUE"""),"")</f>
        <v/>
      </c>
      <c r="D1770" s="1" t="str">
        <f>IFERROR(__xludf.DUMMYFUNCTION("""COMPUTED_VALUE"""),"")</f>
        <v/>
      </c>
      <c r="E1770" s="1" t="str">
        <f>IFERROR(__xludf.DUMMYFUNCTION("""COMPUTED_VALUE"""),"")</f>
        <v/>
      </c>
    </row>
    <row r="1771">
      <c r="A1771" s="1"/>
      <c r="B1771" s="1" t="str">
        <f>IFERROR(__xludf.DUMMYFUNCTION("""COMPUTED_VALUE"""),"")</f>
        <v/>
      </c>
      <c r="C1771" s="1" t="str">
        <f>IFERROR(__xludf.DUMMYFUNCTION("""COMPUTED_VALUE"""),"")</f>
        <v/>
      </c>
      <c r="D1771" s="1" t="str">
        <f>IFERROR(__xludf.DUMMYFUNCTION("""COMPUTED_VALUE"""),"")</f>
        <v/>
      </c>
      <c r="E1771" s="1" t="str">
        <f>IFERROR(__xludf.DUMMYFUNCTION("""COMPUTED_VALUE"""),"")</f>
        <v/>
      </c>
    </row>
    <row r="1772">
      <c r="A1772" s="1"/>
      <c r="B1772" s="1" t="str">
        <f>IFERROR(__xludf.DUMMYFUNCTION("""COMPUTED_VALUE"""),"")</f>
        <v/>
      </c>
      <c r="C1772" s="1" t="str">
        <f>IFERROR(__xludf.DUMMYFUNCTION("""COMPUTED_VALUE"""),"")</f>
        <v/>
      </c>
      <c r="D1772" s="1" t="str">
        <f>IFERROR(__xludf.DUMMYFUNCTION("""COMPUTED_VALUE"""),"")</f>
        <v/>
      </c>
      <c r="E1772" s="1" t="str">
        <f>IFERROR(__xludf.DUMMYFUNCTION("""COMPUTED_VALUE"""),"")</f>
        <v/>
      </c>
    </row>
    <row r="1773">
      <c r="A1773" s="1"/>
      <c r="B1773" s="1" t="str">
        <f>IFERROR(__xludf.DUMMYFUNCTION("""COMPUTED_VALUE"""),"")</f>
        <v/>
      </c>
      <c r="C1773" s="1" t="str">
        <f>IFERROR(__xludf.DUMMYFUNCTION("""COMPUTED_VALUE"""),"")</f>
        <v/>
      </c>
      <c r="D1773" s="1" t="str">
        <f>IFERROR(__xludf.DUMMYFUNCTION("""COMPUTED_VALUE"""),"")</f>
        <v/>
      </c>
      <c r="E1773" s="1" t="str">
        <f>IFERROR(__xludf.DUMMYFUNCTION("""COMPUTED_VALUE"""),"")</f>
        <v/>
      </c>
    </row>
    <row r="1774">
      <c r="A1774" s="1"/>
      <c r="B1774" s="1" t="str">
        <f>IFERROR(__xludf.DUMMYFUNCTION("""COMPUTED_VALUE"""),"")</f>
        <v/>
      </c>
      <c r="C1774" s="1" t="str">
        <f>IFERROR(__xludf.DUMMYFUNCTION("""COMPUTED_VALUE"""),"")</f>
        <v/>
      </c>
      <c r="D1774" s="1" t="str">
        <f>IFERROR(__xludf.DUMMYFUNCTION("""COMPUTED_VALUE"""),"")</f>
        <v/>
      </c>
      <c r="E1774" s="1" t="str">
        <f>IFERROR(__xludf.DUMMYFUNCTION("""COMPUTED_VALUE"""),"")</f>
        <v/>
      </c>
    </row>
    <row r="1775">
      <c r="A1775" s="1"/>
      <c r="B1775" s="1" t="str">
        <f>IFERROR(__xludf.DUMMYFUNCTION("""COMPUTED_VALUE"""),"")</f>
        <v/>
      </c>
      <c r="C1775" s="1" t="str">
        <f>IFERROR(__xludf.DUMMYFUNCTION("""COMPUTED_VALUE"""),"")</f>
        <v/>
      </c>
      <c r="D1775" s="1" t="str">
        <f>IFERROR(__xludf.DUMMYFUNCTION("""COMPUTED_VALUE"""),"")</f>
        <v/>
      </c>
      <c r="E1775" s="1" t="str">
        <f>IFERROR(__xludf.DUMMYFUNCTION("""COMPUTED_VALUE"""),"")</f>
        <v/>
      </c>
    </row>
    <row r="1776">
      <c r="A1776" s="1"/>
      <c r="B1776" s="1" t="str">
        <f>IFERROR(__xludf.DUMMYFUNCTION("""COMPUTED_VALUE"""),"")</f>
        <v/>
      </c>
      <c r="C1776" s="1" t="str">
        <f>IFERROR(__xludf.DUMMYFUNCTION("""COMPUTED_VALUE"""),"")</f>
        <v/>
      </c>
      <c r="D1776" s="1" t="str">
        <f>IFERROR(__xludf.DUMMYFUNCTION("""COMPUTED_VALUE"""),"")</f>
        <v/>
      </c>
      <c r="E1776" s="1" t="str">
        <f>IFERROR(__xludf.DUMMYFUNCTION("""COMPUTED_VALUE"""),"")</f>
        <v/>
      </c>
    </row>
    <row r="1777">
      <c r="A1777" s="1"/>
      <c r="B1777" s="1" t="str">
        <f>IFERROR(__xludf.DUMMYFUNCTION("""COMPUTED_VALUE"""),"")</f>
        <v/>
      </c>
      <c r="C1777" s="1" t="str">
        <f>IFERROR(__xludf.DUMMYFUNCTION("""COMPUTED_VALUE"""),"")</f>
        <v/>
      </c>
      <c r="D1777" s="1" t="str">
        <f>IFERROR(__xludf.DUMMYFUNCTION("""COMPUTED_VALUE"""),"")</f>
        <v/>
      </c>
      <c r="E1777" s="1" t="str">
        <f>IFERROR(__xludf.DUMMYFUNCTION("""COMPUTED_VALUE"""),"")</f>
        <v/>
      </c>
    </row>
    <row r="1778">
      <c r="A1778" s="1"/>
      <c r="B1778" s="1" t="str">
        <f>IFERROR(__xludf.DUMMYFUNCTION("""COMPUTED_VALUE"""),"")</f>
        <v/>
      </c>
      <c r="C1778" s="1" t="str">
        <f>IFERROR(__xludf.DUMMYFUNCTION("""COMPUTED_VALUE"""),"")</f>
        <v/>
      </c>
      <c r="D1778" s="1" t="str">
        <f>IFERROR(__xludf.DUMMYFUNCTION("""COMPUTED_VALUE"""),"")</f>
        <v/>
      </c>
      <c r="E1778" s="1" t="str">
        <f>IFERROR(__xludf.DUMMYFUNCTION("""COMPUTED_VALUE"""),"")</f>
        <v/>
      </c>
    </row>
    <row r="1779">
      <c r="A1779" s="1"/>
      <c r="B1779" s="1" t="str">
        <f>IFERROR(__xludf.DUMMYFUNCTION("""COMPUTED_VALUE"""),"")</f>
        <v/>
      </c>
      <c r="C1779" s="1" t="str">
        <f>IFERROR(__xludf.DUMMYFUNCTION("""COMPUTED_VALUE"""),"")</f>
        <v/>
      </c>
      <c r="D1779" s="1" t="str">
        <f>IFERROR(__xludf.DUMMYFUNCTION("""COMPUTED_VALUE"""),"")</f>
        <v/>
      </c>
      <c r="E1779" s="1" t="str">
        <f>IFERROR(__xludf.DUMMYFUNCTION("""COMPUTED_VALUE"""),"")</f>
        <v/>
      </c>
    </row>
    <row r="1780">
      <c r="A1780" s="1"/>
      <c r="B1780" s="1" t="str">
        <f>IFERROR(__xludf.DUMMYFUNCTION("""COMPUTED_VALUE"""),"")</f>
        <v/>
      </c>
      <c r="C1780" s="1" t="str">
        <f>IFERROR(__xludf.DUMMYFUNCTION("""COMPUTED_VALUE"""),"")</f>
        <v/>
      </c>
      <c r="D1780" s="1" t="str">
        <f>IFERROR(__xludf.DUMMYFUNCTION("""COMPUTED_VALUE"""),"")</f>
        <v/>
      </c>
      <c r="E1780" s="1" t="str">
        <f>IFERROR(__xludf.DUMMYFUNCTION("""COMPUTED_VALUE"""),"")</f>
        <v/>
      </c>
    </row>
    <row r="1781">
      <c r="A1781" s="1"/>
      <c r="B1781" s="1" t="str">
        <f>IFERROR(__xludf.DUMMYFUNCTION("""COMPUTED_VALUE"""),"")</f>
        <v/>
      </c>
      <c r="C1781" s="1" t="str">
        <f>IFERROR(__xludf.DUMMYFUNCTION("""COMPUTED_VALUE"""),"")</f>
        <v/>
      </c>
      <c r="D1781" s="1" t="str">
        <f>IFERROR(__xludf.DUMMYFUNCTION("""COMPUTED_VALUE"""),"")</f>
        <v/>
      </c>
      <c r="E1781" s="1" t="str">
        <f>IFERROR(__xludf.DUMMYFUNCTION("""COMPUTED_VALUE"""),"")</f>
        <v/>
      </c>
    </row>
    <row r="1782">
      <c r="A1782" s="1"/>
      <c r="B1782" s="1" t="str">
        <f>IFERROR(__xludf.DUMMYFUNCTION("""COMPUTED_VALUE"""),"")</f>
        <v/>
      </c>
      <c r="C1782" s="1" t="str">
        <f>IFERROR(__xludf.DUMMYFUNCTION("""COMPUTED_VALUE"""),"")</f>
        <v/>
      </c>
      <c r="D1782" s="1" t="str">
        <f>IFERROR(__xludf.DUMMYFUNCTION("""COMPUTED_VALUE"""),"")</f>
        <v/>
      </c>
      <c r="E1782" s="1" t="str">
        <f>IFERROR(__xludf.DUMMYFUNCTION("""COMPUTED_VALUE"""),"")</f>
        <v/>
      </c>
    </row>
    <row r="1783">
      <c r="A1783" s="1"/>
      <c r="B1783" s="1" t="str">
        <f>IFERROR(__xludf.DUMMYFUNCTION("""COMPUTED_VALUE"""),"")</f>
        <v/>
      </c>
      <c r="C1783" s="1" t="str">
        <f>IFERROR(__xludf.DUMMYFUNCTION("""COMPUTED_VALUE"""),"")</f>
        <v/>
      </c>
      <c r="D1783" s="1" t="str">
        <f>IFERROR(__xludf.DUMMYFUNCTION("""COMPUTED_VALUE"""),"")</f>
        <v/>
      </c>
      <c r="E1783" s="1" t="str">
        <f>IFERROR(__xludf.DUMMYFUNCTION("""COMPUTED_VALUE"""),"")</f>
        <v/>
      </c>
    </row>
    <row r="1784">
      <c r="A1784" s="1"/>
      <c r="B1784" s="1" t="str">
        <f>IFERROR(__xludf.DUMMYFUNCTION("""COMPUTED_VALUE"""),"")</f>
        <v/>
      </c>
      <c r="C1784" s="1" t="str">
        <f>IFERROR(__xludf.DUMMYFUNCTION("""COMPUTED_VALUE"""),"")</f>
        <v/>
      </c>
      <c r="D1784" s="1" t="str">
        <f>IFERROR(__xludf.DUMMYFUNCTION("""COMPUTED_VALUE"""),"")</f>
        <v/>
      </c>
      <c r="E1784" s="1" t="str">
        <f>IFERROR(__xludf.DUMMYFUNCTION("""COMPUTED_VALUE"""),"")</f>
        <v/>
      </c>
    </row>
    <row r="1785">
      <c r="A1785" s="1"/>
      <c r="B1785" s="1" t="str">
        <f>IFERROR(__xludf.DUMMYFUNCTION("""COMPUTED_VALUE"""),"")</f>
        <v/>
      </c>
      <c r="C1785" s="1" t="str">
        <f>IFERROR(__xludf.DUMMYFUNCTION("""COMPUTED_VALUE"""),"")</f>
        <v/>
      </c>
      <c r="D1785" s="1" t="str">
        <f>IFERROR(__xludf.DUMMYFUNCTION("""COMPUTED_VALUE"""),"")</f>
        <v/>
      </c>
      <c r="E1785" s="1" t="str">
        <f>IFERROR(__xludf.DUMMYFUNCTION("""COMPUTED_VALUE"""),"")</f>
        <v/>
      </c>
    </row>
    <row r="1786">
      <c r="A1786" s="1"/>
      <c r="B1786" s="1" t="str">
        <f>IFERROR(__xludf.DUMMYFUNCTION("""COMPUTED_VALUE"""),"")</f>
        <v/>
      </c>
      <c r="C1786" s="1" t="str">
        <f>IFERROR(__xludf.DUMMYFUNCTION("""COMPUTED_VALUE"""),"")</f>
        <v/>
      </c>
      <c r="D1786" s="1" t="str">
        <f>IFERROR(__xludf.DUMMYFUNCTION("""COMPUTED_VALUE"""),"")</f>
        <v/>
      </c>
      <c r="E1786" s="1" t="str">
        <f>IFERROR(__xludf.DUMMYFUNCTION("""COMPUTED_VALUE"""),"")</f>
        <v/>
      </c>
    </row>
    <row r="1787">
      <c r="A1787" s="1"/>
      <c r="B1787" s="1" t="str">
        <f>IFERROR(__xludf.DUMMYFUNCTION("""COMPUTED_VALUE"""),"")</f>
        <v/>
      </c>
      <c r="C1787" s="1" t="str">
        <f>IFERROR(__xludf.DUMMYFUNCTION("""COMPUTED_VALUE"""),"")</f>
        <v/>
      </c>
      <c r="D1787" s="1" t="str">
        <f>IFERROR(__xludf.DUMMYFUNCTION("""COMPUTED_VALUE"""),"")</f>
        <v/>
      </c>
      <c r="E1787" s="1" t="str">
        <f>IFERROR(__xludf.DUMMYFUNCTION("""COMPUTED_VALUE"""),"")</f>
        <v/>
      </c>
    </row>
    <row r="1788">
      <c r="A1788" s="1"/>
      <c r="B1788" s="1" t="str">
        <f>IFERROR(__xludf.DUMMYFUNCTION("""COMPUTED_VALUE"""),"")</f>
        <v/>
      </c>
      <c r="C1788" s="1" t="str">
        <f>IFERROR(__xludf.DUMMYFUNCTION("""COMPUTED_VALUE"""),"")</f>
        <v/>
      </c>
      <c r="D1788" s="1" t="str">
        <f>IFERROR(__xludf.DUMMYFUNCTION("""COMPUTED_VALUE"""),"")</f>
        <v/>
      </c>
      <c r="E1788" s="1" t="str">
        <f>IFERROR(__xludf.DUMMYFUNCTION("""COMPUTED_VALUE"""),"")</f>
        <v/>
      </c>
    </row>
    <row r="1789">
      <c r="A1789" s="1"/>
      <c r="B1789" s="1" t="str">
        <f>IFERROR(__xludf.DUMMYFUNCTION("""COMPUTED_VALUE"""),"")</f>
        <v/>
      </c>
      <c r="C1789" s="1" t="str">
        <f>IFERROR(__xludf.DUMMYFUNCTION("""COMPUTED_VALUE"""),"")</f>
        <v/>
      </c>
      <c r="D1789" s="1" t="str">
        <f>IFERROR(__xludf.DUMMYFUNCTION("""COMPUTED_VALUE"""),"")</f>
        <v/>
      </c>
      <c r="E1789" s="1" t="str">
        <f>IFERROR(__xludf.DUMMYFUNCTION("""COMPUTED_VALUE"""),"")</f>
        <v/>
      </c>
    </row>
    <row r="1790">
      <c r="A1790" s="1"/>
      <c r="B1790" s="1" t="str">
        <f>IFERROR(__xludf.DUMMYFUNCTION("""COMPUTED_VALUE"""),"")</f>
        <v/>
      </c>
      <c r="C1790" s="1" t="str">
        <f>IFERROR(__xludf.DUMMYFUNCTION("""COMPUTED_VALUE"""),"")</f>
        <v/>
      </c>
      <c r="D1790" s="1" t="str">
        <f>IFERROR(__xludf.DUMMYFUNCTION("""COMPUTED_VALUE"""),"")</f>
        <v/>
      </c>
      <c r="E1790" s="1" t="str">
        <f>IFERROR(__xludf.DUMMYFUNCTION("""COMPUTED_VALUE"""),"")</f>
        <v/>
      </c>
    </row>
    <row r="1791">
      <c r="A1791" s="1"/>
      <c r="B1791" s="1" t="str">
        <f>IFERROR(__xludf.DUMMYFUNCTION("""COMPUTED_VALUE"""),"")</f>
        <v/>
      </c>
      <c r="C1791" s="1" t="str">
        <f>IFERROR(__xludf.DUMMYFUNCTION("""COMPUTED_VALUE"""),"")</f>
        <v/>
      </c>
      <c r="D1791" s="1" t="str">
        <f>IFERROR(__xludf.DUMMYFUNCTION("""COMPUTED_VALUE"""),"")</f>
        <v/>
      </c>
      <c r="E1791" s="1" t="str">
        <f>IFERROR(__xludf.DUMMYFUNCTION("""COMPUTED_VALUE"""),"")</f>
        <v/>
      </c>
    </row>
    <row r="1792">
      <c r="A1792" s="1"/>
      <c r="B1792" s="1" t="str">
        <f>IFERROR(__xludf.DUMMYFUNCTION("""COMPUTED_VALUE"""),"")</f>
        <v/>
      </c>
      <c r="C1792" s="1" t="str">
        <f>IFERROR(__xludf.DUMMYFUNCTION("""COMPUTED_VALUE"""),"")</f>
        <v/>
      </c>
      <c r="D1792" s="1" t="str">
        <f>IFERROR(__xludf.DUMMYFUNCTION("""COMPUTED_VALUE"""),"")</f>
        <v/>
      </c>
      <c r="E1792" s="1" t="str">
        <f>IFERROR(__xludf.DUMMYFUNCTION("""COMPUTED_VALUE"""),"")</f>
        <v/>
      </c>
    </row>
    <row r="1793">
      <c r="A1793" s="1"/>
      <c r="B1793" s="1" t="str">
        <f>IFERROR(__xludf.DUMMYFUNCTION("""COMPUTED_VALUE"""),"")</f>
        <v/>
      </c>
      <c r="C1793" s="1" t="str">
        <f>IFERROR(__xludf.DUMMYFUNCTION("""COMPUTED_VALUE"""),"")</f>
        <v/>
      </c>
      <c r="D1793" s="1" t="str">
        <f>IFERROR(__xludf.DUMMYFUNCTION("""COMPUTED_VALUE"""),"")</f>
        <v/>
      </c>
      <c r="E1793" s="1" t="str">
        <f>IFERROR(__xludf.DUMMYFUNCTION("""COMPUTED_VALUE"""),"")</f>
        <v/>
      </c>
    </row>
    <row r="1794">
      <c r="A1794" s="1"/>
      <c r="B1794" s="1" t="str">
        <f>IFERROR(__xludf.DUMMYFUNCTION("""COMPUTED_VALUE"""),"")</f>
        <v/>
      </c>
      <c r="C1794" s="1" t="str">
        <f>IFERROR(__xludf.DUMMYFUNCTION("""COMPUTED_VALUE"""),"")</f>
        <v/>
      </c>
      <c r="D1794" s="1" t="str">
        <f>IFERROR(__xludf.DUMMYFUNCTION("""COMPUTED_VALUE"""),"")</f>
        <v/>
      </c>
      <c r="E1794" s="1" t="str">
        <f>IFERROR(__xludf.DUMMYFUNCTION("""COMPUTED_VALUE"""),"")</f>
        <v/>
      </c>
    </row>
    <row r="1795">
      <c r="A1795" s="1"/>
      <c r="B1795" s="1" t="str">
        <f>IFERROR(__xludf.DUMMYFUNCTION("""COMPUTED_VALUE"""),"")</f>
        <v/>
      </c>
      <c r="C1795" s="1" t="str">
        <f>IFERROR(__xludf.DUMMYFUNCTION("""COMPUTED_VALUE"""),"")</f>
        <v/>
      </c>
      <c r="D1795" s="1" t="str">
        <f>IFERROR(__xludf.DUMMYFUNCTION("""COMPUTED_VALUE"""),"")</f>
        <v/>
      </c>
      <c r="E1795" s="1" t="str">
        <f>IFERROR(__xludf.DUMMYFUNCTION("""COMPUTED_VALUE"""),"")</f>
        <v/>
      </c>
    </row>
    <row r="1796">
      <c r="A1796" s="1"/>
      <c r="B1796" s="1" t="str">
        <f>IFERROR(__xludf.DUMMYFUNCTION("""COMPUTED_VALUE"""),"")</f>
        <v/>
      </c>
      <c r="C1796" s="1" t="str">
        <f>IFERROR(__xludf.DUMMYFUNCTION("""COMPUTED_VALUE"""),"")</f>
        <v/>
      </c>
      <c r="D1796" s="1" t="str">
        <f>IFERROR(__xludf.DUMMYFUNCTION("""COMPUTED_VALUE"""),"")</f>
        <v/>
      </c>
      <c r="E1796" s="1" t="str">
        <f>IFERROR(__xludf.DUMMYFUNCTION("""COMPUTED_VALUE"""),"")</f>
        <v/>
      </c>
    </row>
    <row r="1797">
      <c r="A1797" s="1"/>
      <c r="B1797" s="1" t="str">
        <f>IFERROR(__xludf.DUMMYFUNCTION("""COMPUTED_VALUE"""),"")</f>
        <v/>
      </c>
      <c r="C1797" s="1" t="str">
        <f>IFERROR(__xludf.DUMMYFUNCTION("""COMPUTED_VALUE"""),"")</f>
        <v/>
      </c>
      <c r="D1797" s="1" t="str">
        <f>IFERROR(__xludf.DUMMYFUNCTION("""COMPUTED_VALUE"""),"")</f>
        <v/>
      </c>
      <c r="E1797" s="1" t="str">
        <f>IFERROR(__xludf.DUMMYFUNCTION("""COMPUTED_VALUE"""),"")</f>
        <v/>
      </c>
    </row>
    <row r="1798">
      <c r="A1798" s="1"/>
      <c r="B1798" s="1" t="str">
        <f>IFERROR(__xludf.DUMMYFUNCTION("""COMPUTED_VALUE"""),"")</f>
        <v/>
      </c>
      <c r="C1798" s="1" t="str">
        <f>IFERROR(__xludf.DUMMYFUNCTION("""COMPUTED_VALUE"""),"")</f>
        <v/>
      </c>
      <c r="D1798" s="1" t="str">
        <f>IFERROR(__xludf.DUMMYFUNCTION("""COMPUTED_VALUE"""),"")</f>
        <v/>
      </c>
      <c r="E1798" s="1" t="str">
        <f>IFERROR(__xludf.DUMMYFUNCTION("""COMPUTED_VALUE"""),"")</f>
        <v/>
      </c>
    </row>
    <row r="1799">
      <c r="A1799" s="1"/>
      <c r="B1799" s="1" t="str">
        <f>IFERROR(__xludf.DUMMYFUNCTION("""COMPUTED_VALUE"""),"")</f>
        <v/>
      </c>
      <c r="C1799" s="1" t="str">
        <f>IFERROR(__xludf.DUMMYFUNCTION("""COMPUTED_VALUE"""),"")</f>
        <v/>
      </c>
      <c r="D1799" s="1" t="str">
        <f>IFERROR(__xludf.DUMMYFUNCTION("""COMPUTED_VALUE"""),"")</f>
        <v/>
      </c>
      <c r="E1799" s="1" t="str">
        <f>IFERROR(__xludf.DUMMYFUNCTION("""COMPUTED_VALUE"""),"")</f>
        <v/>
      </c>
    </row>
    <row r="1800">
      <c r="A1800" s="1"/>
      <c r="B1800" s="1" t="str">
        <f>IFERROR(__xludf.DUMMYFUNCTION("""COMPUTED_VALUE"""),"")</f>
        <v/>
      </c>
      <c r="C1800" s="1" t="str">
        <f>IFERROR(__xludf.DUMMYFUNCTION("""COMPUTED_VALUE"""),"")</f>
        <v/>
      </c>
      <c r="D1800" s="1" t="str">
        <f>IFERROR(__xludf.DUMMYFUNCTION("""COMPUTED_VALUE"""),"")</f>
        <v/>
      </c>
      <c r="E1800" s="1" t="str">
        <f>IFERROR(__xludf.DUMMYFUNCTION("""COMPUTED_VALUE"""),"")</f>
        <v/>
      </c>
    </row>
    <row r="1801">
      <c r="A1801" s="1"/>
      <c r="B1801" s="1" t="str">
        <f>IFERROR(__xludf.DUMMYFUNCTION("""COMPUTED_VALUE"""),"")</f>
        <v/>
      </c>
      <c r="C1801" s="1" t="str">
        <f>IFERROR(__xludf.DUMMYFUNCTION("""COMPUTED_VALUE"""),"")</f>
        <v/>
      </c>
      <c r="D1801" s="1" t="str">
        <f>IFERROR(__xludf.DUMMYFUNCTION("""COMPUTED_VALUE"""),"")</f>
        <v/>
      </c>
      <c r="E1801" s="1" t="str">
        <f>IFERROR(__xludf.DUMMYFUNCTION("""COMPUTED_VALUE"""),"")</f>
        <v/>
      </c>
    </row>
    <row r="1802">
      <c r="A1802" s="1"/>
      <c r="B1802" s="1" t="str">
        <f>IFERROR(__xludf.DUMMYFUNCTION("""COMPUTED_VALUE"""),"")</f>
        <v/>
      </c>
      <c r="C1802" s="1" t="str">
        <f>IFERROR(__xludf.DUMMYFUNCTION("""COMPUTED_VALUE"""),"")</f>
        <v/>
      </c>
      <c r="D1802" s="1" t="str">
        <f>IFERROR(__xludf.DUMMYFUNCTION("""COMPUTED_VALUE"""),"")</f>
        <v/>
      </c>
      <c r="E1802" s="1" t="str">
        <f>IFERROR(__xludf.DUMMYFUNCTION("""COMPUTED_VALUE"""),"")</f>
        <v/>
      </c>
    </row>
    <row r="1803">
      <c r="A1803" s="1"/>
      <c r="B1803" s="1" t="str">
        <f>IFERROR(__xludf.DUMMYFUNCTION("""COMPUTED_VALUE"""),"")</f>
        <v/>
      </c>
      <c r="C1803" s="1" t="str">
        <f>IFERROR(__xludf.DUMMYFUNCTION("""COMPUTED_VALUE"""),"")</f>
        <v/>
      </c>
      <c r="D1803" s="1" t="str">
        <f>IFERROR(__xludf.DUMMYFUNCTION("""COMPUTED_VALUE"""),"")</f>
        <v/>
      </c>
      <c r="E1803" s="1" t="str">
        <f>IFERROR(__xludf.DUMMYFUNCTION("""COMPUTED_VALUE"""),"")</f>
        <v/>
      </c>
    </row>
    <row r="1804">
      <c r="A1804" s="1"/>
      <c r="B1804" s="1" t="str">
        <f>IFERROR(__xludf.DUMMYFUNCTION("""COMPUTED_VALUE"""),"")</f>
        <v/>
      </c>
      <c r="C1804" s="1" t="str">
        <f>IFERROR(__xludf.DUMMYFUNCTION("""COMPUTED_VALUE"""),"")</f>
        <v/>
      </c>
      <c r="D1804" s="1" t="str">
        <f>IFERROR(__xludf.DUMMYFUNCTION("""COMPUTED_VALUE"""),"")</f>
        <v/>
      </c>
      <c r="E1804" s="1" t="str">
        <f>IFERROR(__xludf.DUMMYFUNCTION("""COMPUTED_VALUE"""),"")</f>
        <v/>
      </c>
    </row>
    <row r="1805">
      <c r="A1805" s="1"/>
      <c r="B1805" s="1" t="str">
        <f>IFERROR(__xludf.DUMMYFUNCTION("""COMPUTED_VALUE"""),"")</f>
        <v/>
      </c>
      <c r="C1805" s="1" t="str">
        <f>IFERROR(__xludf.DUMMYFUNCTION("""COMPUTED_VALUE"""),"")</f>
        <v/>
      </c>
      <c r="D1805" s="1" t="str">
        <f>IFERROR(__xludf.DUMMYFUNCTION("""COMPUTED_VALUE"""),"")</f>
        <v/>
      </c>
      <c r="E1805" s="1" t="str">
        <f>IFERROR(__xludf.DUMMYFUNCTION("""COMPUTED_VALUE"""),"")</f>
        <v/>
      </c>
    </row>
    <row r="1806">
      <c r="A1806" s="1"/>
      <c r="B1806" s="1" t="str">
        <f>IFERROR(__xludf.DUMMYFUNCTION("""COMPUTED_VALUE"""),"")</f>
        <v/>
      </c>
      <c r="C1806" s="1" t="str">
        <f>IFERROR(__xludf.DUMMYFUNCTION("""COMPUTED_VALUE"""),"")</f>
        <v/>
      </c>
      <c r="D1806" s="1" t="str">
        <f>IFERROR(__xludf.DUMMYFUNCTION("""COMPUTED_VALUE"""),"")</f>
        <v/>
      </c>
      <c r="E1806" s="1" t="str">
        <f>IFERROR(__xludf.DUMMYFUNCTION("""COMPUTED_VALUE"""),"")</f>
        <v/>
      </c>
    </row>
    <row r="1807">
      <c r="A1807" s="1"/>
      <c r="B1807" s="1" t="str">
        <f>IFERROR(__xludf.DUMMYFUNCTION("""COMPUTED_VALUE"""),"")</f>
        <v/>
      </c>
      <c r="C1807" s="1" t="str">
        <f>IFERROR(__xludf.DUMMYFUNCTION("""COMPUTED_VALUE"""),"")</f>
        <v/>
      </c>
      <c r="D1807" s="1" t="str">
        <f>IFERROR(__xludf.DUMMYFUNCTION("""COMPUTED_VALUE"""),"")</f>
        <v/>
      </c>
      <c r="E1807" s="1" t="str">
        <f>IFERROR(__xludf.DUMMYFUNCTION("""COMPUTED_VALUE"""),"")</f>
        <v/>
      </c>
    </row>
    <row r="1808">
      <c r="A1808" s="1"/>
      <c r="B1808" s="1" t="str">
        <f>IFERROR(__xludf.DUMMYFUNCTION("""COMPUTED_VALUE"""),"")</f>
        <v/>
      </c>
      <c r="C1808" s="1" t="str">
        <f>IFERROR(__xludf.DUMMYFUNCTION("""COMPUTED_VALUE"""),"")</f>
        <v/>
      </c>
      <c r="D1808" s="1" t="str">
        <f>IFERROR(__xludf.DUMMYFUNCTION("""COMPUTED_VALUE"""),"")</f>
        <v/>
      </c>
      <c r="E1808" s="1" t="str">
        <f>IFERROR(__xludf.DUMMYFUNCTION("""COMPUTED_VALUE"""),"")</f>
        <v/>
      </c>
    </row>
    <row r="1809">
      <c r="A1809" s="1"/>
      <c r="B1809" s="1" t="str">
        <f>IFERROR(__xludf.DUMMYFUNCTION("""COMPUTED_VALUE"""),"")</f>
        <v/>
      </c>
      <c r="C1809" s="1" t="str">
        <f>IFERROR(__xludf.DUMMYFUNCTION("""COMPUTED_VALUE"""),"")</f>
        <v/>
      </c>
      <c r="D1809" s="1" t="str">
        <f>IFERROR(__xludf.DUMMYFUNCTION("""COMPUTED_VALUE"""),"")</f>
        <v/>
      </c>
      <c r="E1809" s="1" t="str">
        <f>IFERROR(__xludf.DUMMYFUNCTION("""COMPUTED_VALUE"""),"")</f>
        <v/>
      </c>
    </row>
    <row r="1810">
      <c r="A1810" s="1"/>
      <c r="B1810" s="1" t="str">
        <f>IFERROR(__xludf.DUMMYFUNCTION("""COMPUTED_VALUE"""),"")</f>
        <v/>
      </c>
      <c r="C1810" s="1" t="str">
        <f>IFERROR(__xludf.DUMMYFUNCTION("""COMPUTED_VALUE"""),"")</f>
        <v/>
      </c>
      <c r="D1810" s="1" t="str">
        <f>IFERROR(__xludf.DUMMYFUNCTION("""COMPUTED_VALUE"""),"")</f>
        <v/>
      </c>
      <c r="E1810" s="1" t="str">
        <f>IFERROR(__xludf.DUMMYFUNCTION("""COMPUTED_VALUE"""),"")</f>
        <v/>
      </c>
    </row>
    <row r="1811">
      <c r="A1811" s="1"/>
      <c r="B1811" s="1" t="str">
        <f>IFERROR(__xludf.DUMMYFUNCTION("""COMPUTED_VALUE"""),"")</f>
        <v/>
      </c>
      <c r="C1811" s="1" t="str">
        <f>IFERROR(__xludf.DUMMYFUNCTION("""COMPUTED_VALUE"""),"")</f>
        <v/>
      </c>
      <c r="D1811" s="1" t="str">
        <f>IFERROR(__xludf.DUMMYFUNCTION("""COMPUTED_VALUE"""),"")</f>
        <v/>
      </c>
      <c r="E1811" s="1" t="str">
        <f>IFERROR(__xludf.DUMMYFUNCTION("""COMPUTED_VALUE"""),"")</f>
        <v/>
      </c>
    </row>
    <row r="1812">
      <c r="A1812" s="1"/>
      <c r="B1812" s="1" t="str">
        <f>IFERROR(__xludf.DUMMYFUNCTION("""COMPUTED_VALUE"""),"")</f>
        <v/>
      </c>
      <c r="C1812" s="1" t="str">
        <f>IFERROR(__xludf.DUMMYFUNCTION("""COMPUTED_VALUE"""),"")</f>
        <v/>
      </c>
      <c r="D1812" s="1" t="str">
        <f>IFERROR(__xludf.DUMMYFUNCTION("""COMPUTED_VALUE"""),"")</f>
        <v/>
      </c>
      <c r="E1812" s="1" t="str">
        <f>IFERROR(__xludf.DUMMYFUNCTION("""COMPUTED_VALUE"""),"")</f>
        <v/>
      </c>
    </row>
    <row r="1813">
      <c r="A1813" s="1"/>
      <c r="B1813" s="1" t="str">
        <f>IFERROR(__xludf.DUMMYFUNCTION("""COMPUTED_VALUE"""),"")</f>
        <v/>
      </c>
      <c r="C1813" s="1" t="str">
        <f>IFERROR(__xludf.DUMMYFUNCTION("""COMPUTED_VALUE"""),"")</f>
        <v/>
      </c>
      <c r="D1813" s="1" t="str">
        <f>IFERROR(__xludf.DUMMYFUNCTION("""COMPUTED_VALUE"""),"")</f>
        <v/>
      </c>
      <c r="E1813" s="1" t="str">
        <f>IFERROR(__xludf.DUMMYFUNCTION("""COMPUTED_VALUE"""),"")</f>
        <v/>
      </c>
    </row>
    <row r="1814">
      <c r="A1814" s="1"/>
      <c r="B1814" s="1" t="str">
        <f>IFERROR(__xludf.DUMMYFUNCTION("""COMPUTED_VALUE"""),"")</f>
        <v/>
      </c>
      <c r="C1814" s="1" t="str">
        <f>IFERROR(__xludf.DUMMYFUNCTION("""COMPUTED_VALUE"""),"")</f>
        <v/>
      </c>
      <c r="D1814" s="1" t="str">
        <f>IFERROR(__xludf.DUMMYFUNCTION("""COMPUTED_VALUE"""),"")</f>
        <v/>
      </c>
      <c r="E1814" s="1" t="str">
        <f>IFERROR(__xludf.DUMMYFUNCTION("""COMPUTED_VALUE"""),"")</f>
        <v/>
      </c>
    </row>
    <row r="1815">
      <c r="A1815" s="1"/>
      <c r="B1815" s="1" t="str">
        <f>IFERROR(__xludf.DUMMYFUNCTION("""COMPUTED_VALUE"""),"")</f>
        <v/>
      </c>
      <c r="C1815" s="1" t="str">
        <f>IFERROR(__xludf.DUMMYFUNCTION("""COMPUTED_VALUE"""),"")</f>
        <v/>
      </c>
      <c r="D1815" s="1" t="str">
        <f>IFERROR(__xludf.DUMMYFUNCTION("""COMPUTED_VALUE"""),"")</f>
        <v/>
      </c>
      <c r="E1815" s="1" t="str">
        <f>IFERROR(__xludf.DUMMYFUNCTION("""COMPUTED_VALUE"""),"")</f>
        <v/>
      </c>
    </row>
    <row r="1816">
      <c r="A1816" s="1"/>
      <c r="B1816" s="1" t="str">
        <f>IFERROR(__xludf.DUMMYFUNCTION("""COMPUTED_VALUE"""),"")</f>
        <v/>
      </c>
      <c r="C1816" s="1" t="str">
        <f>IFERROR(__xludf.DUMMYFUNCTION("""COMPUTED_VALUE"""),"")</f>
        <v/>
      </c>
      <c r="D1816" s="1" t="str">
        <f>IFERROR(__xludf.DUMMYFUNCTION("""COMPUTED_VALUE"""),"")</f>
        <v/>
      </c>
      <c r="E1816" s="1" t="str">
        <f>IFERROR(__xludf.DUMMYFUNCTION("""COMPUTED_VALUE"""),"")</f>
        <v/>
      </c>
    </row>
    <row r="1817">
      <c r="A1817" s="1"/>
      <c r="B1817" s="1" t="str">
        <f>IFERROR(__xludf.DUMMYFUNCTION("""COMPUTED_VALUE"""),"")</f>
        <v/>
      </c>
      <c r="C1817" s="1" t="str">
        <f>IFERROR(__xludf.DUMMYFUNCTION("""COMPUTED_VALUE"""),"")</f>
        <v/>
      </c>
      <c r="D1817" s="1" t="str">
        <f>IFERROR(__xludf.DUMMYFUNCTION("""COMPUTED_VALUE"""),"")</f>
        <v/>
      </c>
      <c r="E1817" s="1" t="str">
        <f>IFERROR(__xludf.DUMMYFUNCTION("""COMPUTED_VALUE"""),"")</f>
        <v/>
      </c>
    </row>
    <row r="1818">
      <c r="A1818" s="1"/>
      <c r="B1818" s="1" t="str">
        <f>IFERROR(__xludf.DUMMYFUNCTION("""COMPUTED_VALUE"""),"")</f>
        <v/>
      </c>
      <c r="C1818" s="1" t="str">
        <f>IFERROR(__xludf.DUMMYFUNCTION("""COMPUTED_VALUE"""),"")</f>
        <v/>
      </c>
      <c r="D1818" s="1" t="str">
        <f>IFERROR(__xludf.DUMMYFUNCTION("""COMPUTED_VALUE"""),"")</f>
        <v/>
      </c>
      <c r="E1818" s="1" t="str">
        <f>IFERROR(__xludf.DUMMYFUNCTION("""COMPUTED_VALUE"""),"")</f>
        <v/>
      </c>
    </row>
    <row r="1819">
      <c r="A1819" s="1"/>
      <c r="B1819" s="1" t="str">
        <f>IFERROR(__xludf.DUMMYFUNCTION("""COMPUTED_VALUE"""),"")</f>
        <v/>
      </c>
      <c r="C1819" s="1" t="str">
        <f>IFERROR(__xludf.DUMMYFUNCTION("""COMPUTED_VALUE"""),"")</f>
        <v/>
      </c>
      <c r="D1819" s="1" t="str">
        <f>IFERROR(__xludf.DUMMYFUNCTION("""COMPUTED_VALUE"""),"")</f>
        <v/>
      </c>
      <c r="E1819" s="1" t="str">
        <f>IFERROR(__xludf.DUMMYFUNCTION("""COMPUTED_VALUE"""),"")</f>
        <v/>
      </c>
    </row>
    <row r="1820">
      <c r="A1820" s="1"/>
      <c r="B1820" s="1" t="str">
        <f>IFERROR(__xludf.DUMMYFUNCTION("""COMPUTED_VALUE"""),"")</f>
        <v/>
      </c>
      <c r="C1820" s="1" t="str">
        <f>IFERROR(__xludf.DUMMYFUNCTION("""COMPUTED_VALUE"""),"")</f>
        <v/>
      </c>
      <c r="D1820" s="1" t="str">
        <f>IFERROR(__xludf.DUMMYFUNCTION("""COMPUTED_VALUE"""),"")</f>
        <v/>
      </c>
      <c r="E1820" s="1" t="str">
        <f>IFERROR(__xludf.DUMMYFUNCTION("""COMPUTED_VALUE"""),"")</f>
        <v/>
      </c>
    </row>
    <row r="1821">
      <c r="A1821" s="1"/>
      <c r="B1821" s="1" t="str">
        <f>IFERROR(__xludf.DUMMYFUNCTION("""COMPUTED_VALUE"""),"")</f>
        <v/>
      </c>
      <c r="C1821" s="1" t="str">
        <f>IFERROR(__xludf.DUMMYFUNCTION("""COMPUTED_VALUE"""),"")</f>
        <v/>
      </c>
      <c r="D1821" s="1" t="str">
        <f>IFERROR(__xludf.DUMMYFUNCTION("""COMPUTED_VALUE"""),"")</f>
        <v/>
      </c>
      <c r="E1821" s="1" t="str">
        <f>IFERROR(__xludf.DUMMYFUNCTION("""COMPUTED_VALUE"""),"")</f>
        <v/>
      </c>
    </row>
    <row r="1822">
      <c r="A1822" s="1"/>
      <c r="B1822" s="1" t="str">
        <f>IFERROR(__xludf.DUMMYFUNCTION("""COMPUTED_VALUE"""),"")</f>
        <v/>
      </c>
      <c r="C1822" s="1" t="str">
        <f>IFERROR(__xludf.DUMMYFUNCTION("""COMPUTED_VALUE"""),"")</f>
        <v/>
      </c>
      <c r="D1822" s="1" t="str">
        <f>IFERROR(__xludf.DUMMYFUNCTION("""COMPUTED_VALUE"""),"")</f>
        <v/>
      </c>
      <c r="E1822" s="1" t="str">
        <f>IFERROR(__xludf.DUMMYFUNCTION("""COMPUTED_VALUE"""),"")</f>
        <v/>
      </c>
    </row>
    <row r="1823">
      <c r="A1823" s="1"/>
      <c r="B1823" s="1" t="str">
        <f>IFERROR(__xludf.DUMMYFUNCTION("""COMPUTED_VALUE"""),"")</f>
        <v/>
      </c>
      <c r="C1823" s="1" t="str">
        <f>IFERROR(__xludf.DUMMYFUNCTION("""COMPUTED_VALUE"""),"")</f>
        <v/>
      </c>
      <c r="D1823" s="1" t="str">
        <f>IFERROR(__xludf.DUMMYFUNCTION("""COMPUTED_VALUE"""),"")</f>
        <v/>
      </c>
      <c r="E1823" s="1" t="str">
        <f>IFERROR(__xludf.DUMMYFUNCTION("""COMPUTED_VALUE"""),"")</f>
        <v/>
      </c>
    </row>
    <row r="1824">
      <c r="A1824" s="1"/>
      <c r="B1824" s="1" t="str">
        <f>IFERROR(__xludf.DUMMYFUNCTION("""COMPUTED_VALUE"""),"")</f>
        <v/>
      </c>
      <c r="C1824" s="1" t="str">
        <f>IFERROR(__xludf.DUMMYFUNCTION("""COMPUTED_VALUE"""),"")</f>
        <v/>
      </c>
      <c r="D1824" s="1" t="str">
        <f>IFERROR(__xludf.DUMMYFUNCTION("""COMPUTED_VALUE"""),"")</f>
        <v/>
      </c>
      <c r="E1824" s="1" t="str">
        <f>IFERROR(__xludf.DUMMYFUNCTION("""COMPUTED_VALUE"""),"")</f>
        <v/>
      </c>
    </row>
    <row r="1825">
      <c r="A1825" s="1"/>
      <c r="B1825" s="1" t="str">
        <f>IFERROR(__xludf.DUMMYFUNCTION("""COMPUTED_VALUE"""),"")</f>
        <v/>
      </c>
      <c r="C1825" s="1" t="str">
        <f>IFERROR(__xludf.DUMMYFUNCTION("""COMPUTED_VALUE"""),"")</f>
        <v/>
      </c>
      <c r="D1825" s="1" t="str">
        <f>IFERROR(__xludf.DUMMYFUNCTION("""COMPUTED_VALUE"""),"")</f>
        <v/>
      </c>
      <c r="E1825" s="1" t="str">
        <f>IFERROR(__xludf.DUMMYFUNCTION("""COMPUTED_VALUE"""),"")</f>
        <v/>
      </c>
    </row>
    <row r="1826">
      <c r="A1826" s="1"/>
      <c r="B1826" s="1" t="str">
        <f>IFERROR(__xludf.DUMMYFUNCTION("""COMPUTED_VALUE"""),"")</f>
        <v/>
      </c>
      <c r="C1826" s="1" t="str">
        <f>IFERROR(__xludf.DUMMYFUNCTION("""COMPUTED_VALUE"""),"")</f>
        <v/>
      </c>
      <c r="D1826" s="1" t="str">
        <f>IFERROR(__xludf.DUMMYFUNCTION("""COMPUTED_VALUE"""),"")</f>
        <v/>
      </c>
      <c r="E1826" s="1" t="str">
        <f>IFERROR(__xludf.DUMMYFUNCTION("""COMPUTED_VALUE"""),"")</f>
        <v/>
      </c>
    </row>
    <row r="1827">
      <c r="A1827" s="1"/>
      <c r="B1827" s="1" t="str">
        <f>IFERROR(__xludf.DUMMYFUNCTION("""COMPUTED_VALUE"""),"")</f>
        <v/>
      </c>
      <c r="C1827" s="1" t="str">
        <f>IFERROR(__xludf.DUMMYFUNCTION("""COMPUTED_VALUE"""),"")</f>
        <v/>
      </c>
      <c r="D1827" s="1" t="str">
        <f>IFERROR(__xludf.DUMMYFUNCTION("""COMPUTED_VALUE"""),"")</f>
        <v/>
      </c>
      <c r="E1827" s="1" t="str">
        <f>IFERROR(__xludf.DUMMYFUNCTION("""COMPUTED_VALUE"""),"")</f>
        <v/>
      </c>
    </row>
    <row r="1828">
      <c r="A1828" s="1"/>
      <c r="B1828" s="1" t="str">
        <f>IFERROR(__xludf.DUMMYFUNCTION("""COMPUTED_VALUE"""),"")</f>
        <v/>
      </c>
      <c r="C1828" s="1" t="str">
        <f>IFERROR(__xludf.DUMMYFUNCTION("""COMPUTED_VALUE"""),"")</f>
        <v/>
      </c>
      <c r="D1828" s="1" t="str">
        <f>IFERROR(__xludf.DUMMYFUNCTION("""COMPUTED_VALUE"""),"")</f>
        <v/>
      </c>
      <c r="E1828" s="1" t="str">
        <f>IFERROR(__xludf.DUMMYFUNCTION("""COMPUTED_VALUE"""),"")</f>
        <v/>
      </c>
    </row>
    <row r="1829">
      <c r="A1829" s="1"/>
      <c r="B1829" s="1" t="str">
        <f>IFERROR(__xludf.DUMMYFUNCTION("""COMPUTED_VALUE"""),"")</f>
        <v/>
      </c>
      <c r="C1829" s="1" t="str">
        <f>IFERROR(__xludf.DUMMYFUNCTION("""COMPUTED_VALUE"""),"")</f>
        <v/>
      </c>
      <c r="D1829" s="1" t="str">
        <f>IFERROR(__xludf.DUMMYFUNCTION("""COMPUTED_VALUE"""),"")</f>
        <v/>
      </c>
      <c r="E1829" s="1" t="str">
        <f>IFERROR(__xludf.DUMMYFUNCTION("""COMPUTED_VALUE"""),"")</f>
        <v/>
      </c>
    </row>
    <row r="1830">
      <c r="A1830" s="1"/>
      <c r="B1830" s="1" t="str">
        <f>IFERROR(__xludf.DUMMYFUNCTION("""COMPUTED_VALUE"""),"")</f>
        <v/>
      </c>
      <c r="C1830" s="1" t="str">
        <f>IFERROR(__xludf.DUMMYFUNCTION("""COMPUTED_VALUE"""),"")</f>
        <v/>
      </c>
      <c r="D1830" s="1" t="str">
        <f>IFERROR(__xludf.DUMMYFUNCTION("""COMPUTED_VALUE"""),"")</f>
        <v/>
      </c>
      <c r="E1830" s="1" t="str">
        <f>IFERROR(__xludf.DUMMYFUNCTION("""COMPUTED_VALUE"""),"")</f>
        <v/>
      </c>
    </row>
    <row r="1831">
      <c r="A1831" s="1"/>
      <c r="B1831" s="1" t="str">
        <f>IFERROR(__xludf.DUMMYFUNCTION("""COMPUTED_VALUE"""),"")</f>
        <v/>
      </c>
      <c r="C1831" s="1" t="str">
        <f>IFERROR(__xludf.DUMMYFUNCTION("""COMPUTED_VALUE"""),"")</f>
        <v/>
      </c>
      <c r="D1831" s="1" t="str">
        <f>IFERROR(__xludf.DUMMYFUNCTION("""COMPUTED_VALUE"""),"")</f>
        <v/>
      </c>
      <c r="E1831" s="1" t="str">
        <f>IFERROR(__xludf.DUMMYFUNCTION("""COMPUTED_VALUE"""),"")</f>
        <v/>
      </c>
    </row>
    <row r="1832">
      <c r="A1832" s="1"/>
      <c r="B1832" s="1" t="str">
        <f>IFERROR(__xludf.DUMMYFUNCTION("""COMPUTED_VALUE"""),"")</f>
        <v/>
      </c>
      <c r="C1832" s="1" t="str">
        <f>IFERROR(__xludf.DUMMYFUNCTION("""COMPUTED_VALUE"""),"")</f>
        <v/>
      </c>
      <c r="D1832" s="1" t="str">
        <f>IFERROR(__xludf.DUMMYFUNCTION("""COMPUTED_VALUE"""),"")</f>
        <v/>
      </c>
      <c r="E1832" s="1" t="str">
        <f>IFERROR(__xludf.DUMMYFUNCTION("""COMPUTED_VALUE"""),"")</f>
        <v/>
      </c>
    </row>
    <row r="1833">
      <c r="A1833" s="1"/>
      <c r="B1833" s="1" t="str">
        <f>IFERROR(__xludf.DUMMYFUNCTION("""COMPUTED_VALUE"""),"")</f>
        <v/>
      </c>
      <c r="C1833" s="1" t="str">
        <f>IFERROR(__xludf.DUMMYFUNCTION("""COMPUTED_VALUE"""),"")</f>
        <v/>
      </c>
      <c r="D1833" s="1" t="str">
        <f>IFERROR(__xludf.DUMMYFUNCTION("""COMPUTED_VALUE"""),"")</f>
        <v/>
      </c>
      <c r="E1833" s="1" t="str">
        <f>IFERROR(__xludf.DUMMYFUNCTION("""COMPUTED_VALUE"""),"")</f>
        <v/>
      </c>
    </row>
    <row r="1834">
      <c r="A1834" s="1"/>
      <c r="B1834" s="1" t="str">
        <f>IFERROR(__xludf.DUMMYFUNCTION("""COMPUTED_VALUE"""),"")</f>
        <v/>
      </c>
      <c r="C1834" s="1" t="str">
        <f>IFERROR(__xludf.DUMMYFUNCTION("""COMPUTED_VALUE"""),"")</f>
        <v/>
      </c>
      <c r="D1834" s="1" t="str">
        <f>IFERROR(__xludf.DUMMYFUNCTION("""COMPUTED_VALUE"""),"")</f>
        <v/>
      </c>
      <c r="E1834" s="1" t="str">
        <f>IFERROR(__xludf.DUMMYFUNCTION("""COMPUTED_VALUE"""),"")</f>
        <v/>
      </c>
    </row>
    <row r="1835">
      <c r="A1835" s="1"/>
      <c r="B1835" s="1" t="str">
        <f>IFERROR(__xludf.DUMMYFUNCTION("""COMPUTED_VALUE"""),"")</f>
        <v/>
      </c>
      <c r="C1835" s="1" t="str">
        <f>IFERROR(__xludf.DUMMYFUNCTION("""COMPUTED_VALUE"""),"")</f>
        <v/>
      </c>
      <c r="D1835" s="1" t="str">
        <f>IFERROR(__xludf.DUMMYFUNCTION("""COMPUTED_VALUE"""),"")</f>
        <v/>
      </c>
      <c r="E1835" s="1" t="str">
        <f>IFERROR(__xludf.DUMMYFUNCTION("""COMPUTED_VALUE"""),"")</f>
        <v/>
      </c>
    </row>
    <row r="1836">
      <c r="A1836" s="1"/>
      <c r="B1836" s="1" t="str">
        <f>IFERROR(__xludf.DUMMYFUNCTION("""COMPUTED_VALUE"""),"")</f>
        <v/>
      </c>
      <c r="C1836" s="1" t="str">
        <f>IFERROR(__xludf.DUMMYFUNCTION("""COMPUTED_VALUE"""),"")</f>
        <v/>
      </c>
      <c r="D1836" s="1" t="str">
        <f>IFERROR(__xludf.DUMMYFUNCTION("""COMPUTED_VALUE"""),"")</f>
        <v/>
      </c>
      <c r="E1836" s="1" t="str">
        <f>IFERROR(__xludf.DUMMYFUNCTION("""COMPUTED_VALUE"""),"")</f>
        <v/>
      </c>
    </row>
    <row r="1837">
      <c r="A1837" s="1"/>
      <c r="B1837" s="1" t="str">
        <f>IFERROR(__xludf.DUMMYFUNCTION("""COMPUTED_VALUE"""),"")</f>
        <v/>
      </c>
      <c r="C1837" s="1" t="str">
        <f>IFERROR(__xludf.DUMMYFUNCTION("""COMPUTED_VALUE"""),"")</f>
        <v/>
      </c>
      <c r="D1837" s="1" t="str">
        <f>IFERROR(__xludf.DUMMYFUNCTION("""COMPUTED_VALUE"""),"")</f>
        <v/>
      </c>
      <c r="E1837" s="1" t="str">
        <f>IFERROR(__xludf.DUMMYFUNCTION("""COMPUTED_VALUE"""),"")</f>
        <v/>
      </c>
    </row>
    <row r="1838">
      <c r="A1838" s="1"/>
      <c r="B1838" s="1" t="str">
        <f>IFERROR(__xludf.DUMMYFUNCTION("""COMPUTED_VALUE"""),"")</f>
        <v/>
      </c>
      <c r="C1838" s="1" t="str">
        <f>IFERROR(__xludf.DUMMYFUNCTION("""COMPUTED_VALUE"""),"")</f>
        <v/>
      </c>
      <c r="D1838" s="1" t="str">
        <f>IFERROR(__xludf.DUMMYFUNCTION("""COMPUTED_VALUE"""),"")</f>
        <v/>
      </c>
      <c r="E1838" s="1" t="str">
        <f>IFERROR(__xludf.DUMMYFUNCTION("""COMPUTED_VALUE"""),"")</f>
        <v/>
      </c>
    </row>
    <row r="1839">
      <c r="A1839" s="1"/>
      <c r="B1839" s="1" t="str">
        <f>IFERROR(__xludf.DUMMYFUNCTION("""COMPUTED_VALUE"""),"")</f>
        <v/>
      </c>
      <c r="C1839" s="1" t="str">
        <f>IFERROR(__xludf.DUMMYFUNCTION("""COMPUTED_VALUE"""),"")</f>
        <v/>
      </c>
      <c r="D1839" s="1" t="str">
        <f>IFERROR(__xludf.DUMMYFUNCTION("""COMPUTED_VALUE"""),"")</f>
        <v/>
      </c>
      <c r="E1839" s="1" t="str">
        <f>IFERROR(__xludf.DUMMYFUNCTION("""COMPUTED_VALUE"""),"")</f>
        <v/>
      </c>
    </row>
    <row r="1840">
      <c r="A1840" s="1"/>
      <c r="B1840" s="1" t="str">
        <f>IFERROR(__xludf.DUMMYFUNCTION("""COMPUTED_VALUE"""),"")</f>
        <v/>
      </c>
      <c r="C1840" s="1" t="str">
        <f>IFERROR(__xludf.DUMMYFUNCTION("""COMPUTED_VALUE"""),"")</f>
        <v/>
      </c>
      <c r="D1840" s="1" t="str">
        <f>IFERROR(__xludf.DUMMYFUNCTION("""COMPUTED_VALUE"""),"")</f>
        <v/>
      </c>
      <c r="E1840" s="1" t="str">
        <f>IFERROR(__xludf.DUMMYFUNCTION("""COMPUTED_VALUE"""),"")</f>
        <v/>
      </c>
    </row>
    <row r="1841">
      <c r="A1841" s="1"/>
      <c r="B1841" s="1" t="str">
        <f>IFERROR(__xludf.DUMMYFUNCTION("""COMPUTED_VALUE"""),"")</f>
        <v/>
      </c>
      <c r="C1841" s="1" t="str">
        <f>IFERROR(__xludf.DUMMYFUNCTION("""COMPUTED_VALUE"""),"")</f>
        <v/>
      </c>
      <c r="D1841" s="1" t="str">
        <f>IFERROR(__xludf.DUMMYFUNCTION("""COMPUTED_VALUE"""),"")</f>
        <v/>
      </c>
      <c r="E1841" s="1" t="str">
        <f>IFERROR(__xludf.DUMMYFUNCTION("""COMPUTED_VALUE"""),"")</f>
        <v/>
      </c>
    </row>
    <row r="1842">
      <c r="A1842" s="1"/>
      <c r="B1842" s="1" t="str">
        <f>IFERROR(__xludf.DUMMYFUNCTION("""COMPUTED_VALUE"""),"")</f>
        <v/>
      </c>
      <c r="C1842" s="1" t="str">
        <f>IFERROR(__xludf.DUMMYFUNCTION("""COMPUTED_VALUE"""),"")</f>
        <v/>
      </c>
      <c r="D1842" s="1" t="str">
        <f>IFERROR(__xludf.DUMMYFUNCTION("""COMPUTED_VALUE"""),"")</f>
        <v/>
      </c>
      <c r="E1842" s="1" t="str">
        <f>IFERROR(__xludf.DUMMYFUNCTION("""COMPUTED_VALUE"""),"")</f>
        <v/>
      </c>
    </row>
    <row r="1843">
      <c r="A1843" s="1"/>
      <c r="B1843" s="1" t="str">
        <f>IFERROR(__xludf.DUMMYFUNCTION("""COMPUTED_VALUE"""),"")</f>
        <v/>
      </c>
      <c r="C1843" s="1" t="str">
        <f>IFERROR(__xludf.DUMMYFUNCTION("""COMPUTED_VALUE"""),"")</f>
        <v/>
      </c>
      <c r="D1843" s="1" t="str">
        <f>IFERROR(__xludf.DUMMYFUNCTION("""COMPUTED_VALUE"""),"")</f>
        <v/>
      </c>
      <c r="E1843" s="1" t="str">
        <f>IFERROR(__xludf.DUMMYFUNCTION("""COMPUTED_VALUE"""),"")</f>
        <v/>
      </c>
    </row>
    <row r="1844">
      <c r="A1844" s="1"/>
      <c r="B1844" s="1" t="str">
        <f>IFERROR(__xludf.DUMMYFUNCTION("""COMPUTED_VALUE"""),"")</f>
        <v/>
      </c>
      <c r="C1844" s="1" t="str">
        <f>IFERROR(__xludf.DUMMYFUNCTION("""COMPUTED_VALUE"""),"")</f>
        <v/>
      </c>
      <c r="D1844" s="1" t="str">
        <f>IFERROR(__xludf.DUMMYFUNCTION("""COMPUTED_VALUE"""),"")</f>
        <v/>
      </c>
      <c r="E1844" s="1" t="str">
        <f>IFERROR(__xludf.DUMMYFUNCTION("""COMPUTED_VALUE"""),"")</f>
        <v/>
      </c>
    </row>
    <row r="1845">
      <c r="A1845" s="1"/>
      <c r="B1845" s="1" t="str">
        <f>IFERROR(__xludf.DUMMYFUNCTION("""COMPUTED_VALUE"""),"")</f>
        <v/>
      </c>
      <c r="C1845" s="1" t="str">
        <f>IFERROR(__xludf.DUMMYFUNCTION("""COMPUTED_VALUE"""),"")</f>
        <v/>
      </c>
      <c r="D1845" s="1" t="str">
        <f>IFERROR(__xludf.DUMMYFUNCTION("""COMPUTED_VALUE"""),"")</f>
        <v/>
      </c>
      <c r="E1845" s="1" t="str">
        <f>IFERROR(__xludf.DUMMYFUNCTION("""COMPUTED_VALUE"""),"")</f>
        <v/>
      </c>
    </row>
    <row r="1846">
      <c r="A1846" s="1"/>
      <c r="B1846" s="1" t="str">
        <f>IFERROR(__xludf.DUMMYFUNCTION("""COMPUTED_VALUE"""),"")</f>
        <v/>
      </c>
      <c r="C1846" s="1" t="str">
        <f>IFERROR(__xludf.DUMMYFUNCTION("""COMPUTED_VALUE"""),"")</f>
        <v/>
      </c>
      <c r="D1846" s="1" t="str">
        <f>IFERROR(__xludf.DUMMYFUNCTION("""COMPUTED_VALUE"""),"")</f>
        <v/>
      </c>
      <c r="E1846" s="1" t="str">
        <f>IFERROR(__xludf.DUMMYFUNCTION("""COMPUTED_VALUE"""),"")</f>
        <v/>
      </c>
    </row>
    <row r="1847">
      <c r="A1847" s="1"/>
      <c r="B1847" s="1" t="str">
        <f>IFERROR(__xludf.DUMMYFUNCTION("""COMPUTED_VALUE"""),"")</f>
        <v/>
      </c>
      <c r="C1847" s="1" t="str">
        <f>IFERROR(__xludf.DUMMYFUNCTION("""COMPUTED_VALUE"""),"")</f>
        <v/>
      </c>
      <c r="D1847" s="1" t="str">
        <f>IFERROR(__xludf.DUMMYFUNCTION("""COMPUTED_VALUE"""),"")</f>
        <v/>
      </c>
      <c r="E1847" s="1" t="str">
        <f>IFERROR(__xludf.DUMMYFUNCTION("""COMPUTED_VALUE"""),"")</f>
        <v/>
      </c>
    </row>
    <row r="1848">
      <c r="A1848" s="1"/>
      <c r="B1848" s="1" t="str">
        <f>IFERROR(__xludf.DUMMYFUNCTION("""COMPUTED_VALUE"""),"")</f>
        <v/>
      </c>
      <c r="C1848" s="1" t="str">
        <f>IFERROR(__xludf.DUMMYFUNCTION("""COMPUTED_VALUE"""),"")</f>
        <v/>
      </c>
      <c r="D1848" s="1" t="str">
        <f>IFERROR(__xludf.DUMMYFUNCTION("""COMPUTED_VALUE"""),"")</f>
        <v/>
      </c>
      <c r="E1848" s="1" t="str">
        <f>IFERROR(__xludf.DUMMYFUNCTION("""COMPUTED_VALUE"""),"")</f>
        <v/>
      </c>
    </row>
    <row r="1849">
      <c r="A1849" s="1"/>
      <c r="B1849" s="1" t="str">
        <f>IFERROR(__xludf.DUMMYFUNCTION("""COMPUTED_VALUE"""),"")</f>
        <v/>
      </c>
      <c r="C1849" s="1" t="str">
        <f>IFERROR(__xludf.DUMMYFUNCTION("""COMPUTED_VALUE"""),"")</f>
        <v/>
      </c>
      <c r="D1849" s="1" t="str">
        <f>IFERROR(__xludf.DUMMYFUNCTION("""COMPUTED_VALUE"""),"")</f>
        <v/>
      </c>
      <c r="E1849" s="1" t="str">
        <f>IFERROR(__xludf.DUMMYFUNCTION("""COMPUTED_VALUE"""),"")</f>
        <v/>
      </c>
    </row>
    <row r="1850">
      <c r="A1850" s="1"/>
      <c r="B1850" s="1" t="str">
        <f>IFERROR(__xludf.DUMMYFUNCTION("""COMPUTED_VALUE"""),"")</f>
        <v/>
      </c>
      <c r="C1850" s="1" t="str">
        <f>IFERROR(__xludf.DUMMYFUNCTION("""COMPUTED_VALUE"""),"")</f>
        <v/>
      </c>
      <c r="D1850" s="1" t="str">
        <f>IFERROR(__xludf.DUMMYFUNCTION("""COMPUTED_VALUE"""),"")</f>
        <v/>
      </c>
      <c r="E1850" s="1" t="str">
        <f>IFERROR(__xludf.DUMMYFUNCTION("""COMPUTED_VALUE"""),"")</f>
        <v/>
      </c>
    </row>
    <row r="1851">
      <c r="A1851" s="1"/>
      <c r="B1851" s="1" t="str">
        <f>IFERROR(__xludf.DUMMYFUNCTION("""COMPUTED_VALUE"""),"")</f>
        <v/>
      </c>
      <c r="C1851" s="1" t="str">
        <f>IFERROR(__xludf.DUMMYFUNCTION("""COMPUTED_VALUE"""),"")</f>
        <v/>
      </c>
      <c r="D1851" s="1" t="str">
        <f>IFERROR(__xludf.DUMMYFUNCTION("""COMPUTED_VALUE"""),"")</f>
        <v/>
      </c>
      <c r="E1851" s="1" t="str">
        <f>IFERROR(__xludf.DUMMYFUNCTION("""COMPUTED_VALUE"""),"")</f>
        <v/>
      </c>
    </row>
    <row r="1852">
      <c r="A1852" s="1"/>
      <c r="B1852" s="1" t="str">
        <f>IFERROR(__xludf.DUMMYFUNCTION("""COMPUTED_VALUE"""),"")</f>
        <v/>
      </c>
      <c r="C1852" s="1" t="str">
        <f>IFERROR(__xludf.DUMMYFUNCTION("""COMPUTED_VALUE"""),"")</f>
        <v/>
      </c>
      <c r="D1852" s="1" t="str">
        <f>IFERROR(__xludf.DUMMYFUNCTION("""COMPUTED_VALUE"""),"")</f>
        <v/>
      </c>
      <c r="E1852" s="1" t="str">
        <f>IFERROR(__xludf.DUMMYFUNCTION("""COMPUTED_VALUE"""),"")</f>
        <v/>
      </c>
    </row>
    <row r="1853">
      <c r="A1853" s="1"/>
      <c r="B1853" s="1" t="str">
        <f>IFERROR(__xludf.DUMMYFUNCTION("""COMPUTED_VALUE"""),"")</f>
        <v/>
      </c>
      <c r="C1853" s="1" t="str">
        <f>IFERROR(__xludf.DUMMYFUNCTION("""COMPUTED_VALUE"""),"")</f>
        <v/>
      </c>
      <c r="D1853" s="1" t="str">
        <f>IFERROR(__xludf.DUMMYFUNCTION("""COMPUTED_VALUE"""),"")</f>
        <v/>
      </c>
      <c r="E1853" s="1" t="str">
        <f>IFERROR(__xludf.DUMMYFUNCTION("""COMPUTED_VALUE"""),"")</f>
        <v/>
      </c>
    </row>
    <row r="1854">
      <c r="A1854" s="1"/>
      <c r="B1854" s="1" t="str">
        <f>IFERROR(__xludf.DUMMYFUNCTION("""COMPUTED_VALUE"""),"")</f>
        <v/>
      </c>
      <c r="C1854" s="1" t="str">
        <f>IFERROR(__xludf.DUMMYFUNCTION("""COMPUTED_VALUE"""),"")</f>
        <v/>
      </c>
      <c r="D1854" s="1" t="str">
        <f>IFERROR(__xludf.DUMMYFUNCTION("""COMPUTED_VALUE"""),"")</f>
        <v/>
      </c>
      <c r="E1854" s="1" t="str">
        <f>IFERROR(__xludf.DUMMYFUNCTION("""COMPUTED_VALUE"""),"")</f>
        <v/>
      </c>
    </row>
    <row r="1855">
      <c r="A1855" s="1"/>
      <c r="B1855" s="1" t="str">
        <f>IFERROR(__xludf.DUMMYFUNCTION("""COMPUTED_VALUE"""),"")</f>
        <v/>
      </c>
      <c r="C1855" s="1" t="str">
        <f>IFERROR(__xludf.DUMMYFUNCTION("""COMPUTED_VALUE"""),"")</f>
        <v/>
      </c>
      <c r="D1855" s="1" t="str">
        <f>IFERROR(__xludf.DUMMYFUNCTION("""COMPUTED_VALUE"""),"")</f>
        <v/>
      </c>
      <c r="E1855" s="1" t="str">
        <f>IFERROR(__xludf.DUMMYFUNCTION("""COMPUTED_VALUE"""),"")</f>
        <v/>
      </c>
    </row>
    <row r="1856">
      <c r="A1856" s="1"/>
      <c r="B1856" s="1" t="str">
        <f>IFERROR(__xludf.DUMMYFUNCTION("""COMPUTED_VALUE"""),"")</f>
        <v/>
      </c>
      <c r="C1856" s="1" t="str">
        <f>IFERROR(__xludf.DUMMYFUNCTION("""COMPUTED_VALUE"""),"")</f>
        <v/>
      </c>
      <c r="D1856" s="1" t="str">
        <f>IFERROR(__xludf.DUMMYFUNCTION("""COMPUTED_VALUE"""),"")</f>
        <v/>
      </c>
      <c r="E1856" s="1" t="str">
        <f>IFERROR(__xludf.DUMMYFUNCTION("""COMPUTED_VALUE"""),"")</f>
        <v/>
      </c>
    </row>
    <row r="1857">
      <c r="A1857" s="1"/>
      <c r="B1857" s="1" t="str">
        <f>IFERROR(__xludf.DUMMYFUNCTION("""COMPUTED_VALUE"""),"")</f>
        <v/>
      </c>
      <c r="C1857" s="1" t="str">
        <f>IFERROR(__xludf.DUMMYFUNCTION("""COMPUTED_VALUE"""),"")</f>
        <v/>
      </c>
      <c r="D1857" s="1" t="str">
        <f>IFERROR(__xludf.DUMMYFUNCTION("""COMPUTED_VALUE"""),"")</f>
        <v/>
      </c>
      <c r="E1857" s="1" t="str">
        <f>IFERROR(__xludf.DUMMYFUNCTION("""COMPUTED_VALUE"""),"")</f>
        <v/>
      </c>
    </row>
    <row r="1858">
      <c r="A1858" s="1"/>
      <c r="B1858" s="1" t="str">
        <f>IFERROR(__xludf.DUMMYFUNCTION("""COMPUTED_VALUE"""),"")</f>
        <v/>
      </c>
      <c r="C1858" s="1" t="str">
        <f>IFERROR(__xludf.DUMMYFUNCTION("""COMPUTED_VALUE"""),"")</f>
        <v/>
      </c>
      <c r="D1858" s="1" t="str">
        <f>IFERROR(__xludf.DUMMYFUNCTION("""COMPUTED_VALUE"""),"")</f>
        <v/>
      </c>
      <c r="E1858" s="1" t="str">
        <f>IFERROR(__xludf.DUMMYFUNCTION("""COMPUTED_VALUE"""),"")</f>
        <v/>
      </c>
    </row>
    <row r="1859">
      <c r="A1859" s="1"/>
      <c r="B1859" s="1" t="str">
        <f>IFERROR(__xludf.DUMMYFUNCTION("""COMPUTED_VALUE"""),"")</f>
        <v/>
      </c>
      <c r="C1859" s="1" t="str">
        <f>IFERROR(__xludf.DUMMYFUNCTION("""COMPUTED_VALUE"""),"")</f>
        <v/>
      </c>
      <c r="D1859" s="1" t="str">
        <f>IFERROR(__xludf.DUMMYFUNCTION("""COMPUTED_VALUE"""),"")</f>
        <v/>
      </c>
      <c r="E1859" s="1" t="str">
        <f>IFERROR(__xludf.DUMMYFUNCTION("""COMPUTED_VALUE"""),"")</f>
        <v/>
      </c>
    </row>
    <row r="1860">
      <c r="A1860" s="1"/>
      <c r="B1860" s="1" t="str">
        <f>IFERROR(__xludf.DUMMYFUNCTION("""COMPUTED_VALUE"""),"")</f>
        <v/>
      </c>
      <c r="C1860" s="1" t="str">
        <f>IFERROR(__xludf.DUMMYFUNCTION("""COMPUTED_VALUE"""),"")</f>
        <v/>
      </c>
      <c r="D1860" s="1" t="str">
        <f>IFERROR(__xludf.DUMMYFUNCTION("""COMPUTED_VALUE"""),"")</f>
        <v/>
      </c>
      <c r="E1860" s="1" t="str">
        <f>IFERROR(__xludf.DUMMYFUNCTION("""COMPUTED_VALUE"""),"")</f>
        <v/>
      </c>
    </row>
    <row r="1861">
      <c r="A1861" s="1"/>
      <c r="B1861" s="1" t="str">
        <f>IFERROR(__xludf.DUMMYFUNCTION("""COMPUTED_VALUE"""),"")</f>
        <v/>
      </c>
      <c r="C1861" s="1" t="str">
        <f>IFERROR(__xludf.DUMMYFUNCTION("""COMPUTED_VALUE"""),"")</f>
        <v/>
      </c>
      <c r="D1861" s="1" t="str">
        <f>IFERROR(__xludf.DUMMYFUNCTION("""COMPUTED_VALUE"""),"")</f>
        <v/>
      </c>
      <c r="E1861" s="1" t="str">
        <f>IFERROR(__xludf.DUMMYFUNCTION("""COMPUTED_VALUE"""),"")</f>
        <v/>
      </c>
    </row>
    <row r="1862">
      <c r="A1862" s="1"/>
      <c r="B1862" s="1" t="str">
        <f>IFERROR(__xludf.DUMMYFUNCTION("""COMPUTED_VALUE"""),"")</f>
        <v/>
      </c>
      <c r="C1862" s="1" t="str">
        <f>IFERROR(__xludf.DUMMYFUNCTION("""COMPUTED_VALUE"""),"")</f>
        <v/>
      </c>
      <c r="D1862" s="1" t="str">
        <f>IFERROR(__xludf.DUMMYFUNCTION("""COMPUTED_VALUE"""),"")</f>
        <v/>
      </c>
      <c r="E1862" s="1" t="str">
        <f>IFERROR(__xludf.DUMMYFUNCTION("""COMPUTED_VALUE"""),"")</f>
        <v/>
      </c>
    </row>
    <row r="1863">
      <c r="A1863" s="1"/>
      <c r="B1863" s="1" t="str">
        <f>IFERROR(__xludf.DUMMYFUNCTION("""COMPUTED_VALUE"""),"")</f>
        <v/>
      </c>
      <c r="C1863" s="1" t="str">
        <f>IFERROR(__xludf.DUMMYFUNCTION("""COMPUTED_VALUE"""),"")</f>
        <v/>
      </c>
      <c r="D1863" s="1" t="str">
        <f>IFERROR(__xludf.DUMMYFUNCTION("""COMPUTED_VALUE"""),"")</f>
        <v/>
      </c>
      <c r="E1863" s="1" t="str">
        <f>IFERROR(__xludf.DUMMYFUNCTION("""COMPUTED_VALUE"""),"")</f>
        <v/>
      </c>
    </row>
    <row r="1864">
      <c r="A1864" s="1"/>
      <c r="B1864" s="1" t="str">
        <f>IFERROR(__xludf.DUMMYFUNCTION("""COMPUTED_VALUE"""),"")</f>
        <v/>
      </c>
      <c r="C1864" s="1" t="str">
        <f>IFERROR(__xludf.DUMMYFUNCTION("""COMPUTED_VALUE"""),"")</f>
        <v/>
      </c>
      <c r="D1864" s="1" t="str">
        <f>IFERROR(__xludf.DUMMYFUNCTION("""COMPUTED_VALUE"""),"")</f>
        <v/>
      </c>
      <c r="E1864" s="1" t="str">
        <f>IFERROR(__xludf.DUMMYFUNCTION("""COMPUTED_VALUE"""),"")</f>
        <v/>
      </c>
    </row>
    <row r="1865">
      <c r="A1865" s="1"/>
      <c r="B1865" s="1" t="str">
        <f>IFERROR(__xludf.DUMMYFUNCTION("""COMPUTED_VALUE"""),"")</f>
        <v/>
      </c>
      <c r="C1865" s="1" t="str">
        <f>IFERROR(__xludf.DUMMYFUNCTION("""COMPUTED_VALUE"""),"")</f>
        <v/>
      </c>
      <c r="D1865" s="1" t="str">
        <f>IFERROR(__xludf.DUMMYFUNCTION("""COMPUTED_VALUE"""),"")</f>
        <v/>
      </c>
      <c r="E1865" s="1" t="str">
        <f>IFERROR(__xludf.DUMMYFUNCTION("""COMPUTED_VALUE"""),"")</f>
        <v/>
      </c>
    </row>
    <row r="1866">
      <c r="A1866" s="1"/>
      <c r="B1866" s="1" t="str">
        <f>IFERROR(__xludf.DUMMYFUNCTION("""COMPUTED_VALUE"""),"")</f>
        <v/>
      </c>
      <c r="C1866" s="1" t="str">
        <f>IFERROR(__xludf.DUMMYFUNCTION("""COMPUTED_VALUE"""),"")</f>
        <v/>
      </c>
      <c r="D1866" s="1" t="str">
        <f>IFERROR(__xludf.DUMMYFUNCTION("""COMPUTED_VALUE"""),"")</f>
        <v/>
      </c>
      <c r="E1866" s="1" t="str">
        <f>IFERROR(__xludf.DUMMYFUNCTION("""COMPUTED_VALUE"""),"")</f>
        <v/>
      </c>
    </row>
    <row r="1867">
      <c r="A1867" s="1"/>
      <c r="B1867" s="1" t="str">
        <f>IFERROR(__xludf.DUMMYFUNCTION("""COMPUTED_VALUE"""),"")</f>
        <v/>
      </c>
      <c r="C1867" s="1" t="str">
        <f>IFERROR(__xludf.DUMMYFUNCTION("""COMPUTED_VALUE"""),"")</f>
        <v/>
      </c>
      <c r="D1867" s="1" t="str">
        <f>IFERROR(__xludf.DUMMYFUNCTION("""COMPUTED_VALUE"""),"")</f>
        <v/>
      </c>
      <c r="E1867" s="1" t="str">
        <f>IFERROR(__xludf.DUMMYFUNCTION("""COMPUTED_VALUE"""),"")</f>
        <v/>
      </c>
    </row>
    <row r="1868">
      <c r="A1868" s="1"/>
      <c r="B1868" s="1" t="str">
        <f>IFERROR(__xludf.DUMMYFUNCTION("""COMPUTED_VALUE"""),"")</f>
        <v/>
      </c>
      <c r="C1868" s="1" t="str">
        <f>IFERROR(__xludf.DUMMYFUNCTION("""COMPUTED_VALUE"""),"")</f>
        <v/>
      </c>
      <c r="D1868" s="1" t="str">
        <f>IFERROR(__xludf.DUMMYFUNCTION("""COMPUTED_VALUE"""),"")</f>
        <v/>
      </c>
      <c r="E1868" s="1" t="str">
        <f>IFERROR(__xludf.DUMMYFUNCTION("""COMPUTED_VALUE"""),"")</f>
        <v/>
      </c>
    </row>
    <row r="1869">
      <c r="A1869" s="1"/>
      <c r="B1869" s="1" t="str">
        <f>IFERROR(__xludf.DUMMYFUNCTION("""COMPUTED_VALUE"""),"")</f>
        <v/>
      </c>
      <c r="C1869" s="1" t="str">
        <f>IFERROR(__xludf.DUMMYFUNCTION("""COMPUTED_VALUE"""),"")</f>
        <v/>
      </c>
      <c r="D1869" s="1" t="str">
        <f>IFERROR(__xludf.DUMMYFUNCTION("""COMPUTED_VALUE"""),"")</f>
        <v/>
      </c>
      <c r="E1869" s="1" t="str">
        <f>IFERROR(__xludf.DUMMYFUNCTION("""COMPUTED_VALUE"""),"")</f>
        <v/>
      </c>
    </row>
    <row r="1870">
      <c r="A1870" s="1"/>
      <c r="B1870" s="1" t="str">
        <f>IFERROR(__xludf.DUMMYFUNCTION("""COMPUTED_VALUE"""),"")</f>
        <v/>
      </c>
      <c r="C1870" s="1" t="str">
        <f>IFERROR(__xludf.DUMMYFUNCTION("""COMPUTED_VALUE"""),"")</f>
        <v/>
      </c>
      <c r="D1870" s="1" t="str">
        <f>IFERROR(__xludf.DUMMYFUNCTION("""COMPUTED_VALUE"""),"")</f>
        <v/>
      </c>
      <c r="E1870" s="1" t="str">
        <f>IFERROR(__xludf.DUMMYFUNCTION("""COMPUTED_VALUE"""),"")</f>
        <v/>
      </c>
    </row>
    <row r="1871">
      <c r="A1871" s="1"/>
      <c r="B1871" s="1" t="str">
        <f>IFERROR(__xludf.DUMMYFUNCTION("""COMPUTED_VALUE"""),"")</f>
        <v/>
      </c>
      <c r="C1871" s="1" t="str">
        <f>IFERROR(__xludf.DUMMYFUNCTION("""COMPUTED_VALUE"""),"")</f>
        <v/>
      </c>
      <c r="D1871" s="1" t="str">
        <f>IFERROR(__xludf.DUMMYFUNCTION("""COMPUTED_VALUE"""),"")</f>
        <v/>
      </c>
      <c r="E1871" s="1" t="str">
        <f>IFERROR(__xludf.DUMMYFUNCTION("""COMPUTED_VALUE"""),"")</f>
        <v/>
      </c>
    </row>
    <row r="1872">
      <c r="A1872" s="1"/>
      <c r="B1872" s="1" t="str">
        <f>IFERROR(__xludf.DUMMYFUNCTION("""COMPUTED_VALUE"""),"")</f>
        <v/>
      </c>
      <c r="C1872" s="1" t="str">
        <f>IFERROR(__xludf.DUMMYFUNCTION("""COMPUTED_VALUE"""),"")</f>
        <v/>
      </c>
      <c r="D1872" s="1" t="str">
        <f>IFERROR(__xludf.DUMMYFUNCTION("""COMPUTED_VALUE"""),"")</f>
        <v/>
      </c>
      <c r="E1872" s="1" t="str">
        <f>IFERROR(__xludf.DUMMYFUNCTION("""COMPUTED_VALUE"""),"")</f>
        <v/>
      </c>
    </row>
    <row r="1873">
      <c r="A1873" s="1"/>
      <c r="B1873" s="1" t="str">
        <f>IFERROR(__xludf.DUMMYFUNCTION("""COMPUTED_VALUE"""),"")</f>
        <v/>
      </c>
      <c r="C1873" s="1" t="str">
        <f>IFERROR(__xludf.DUMMYFUNCTION("""COMPUTED_VALUE"""),"")</f>
        <v/>
      </c>
      <c r="D1873" s="1" t="str">
        <f>IFERROR(__xludf.DUMMYFUNCTION("""COMPUTED_VALUE"""),"")</f>
        <v/>
      </c>
      <c r="E1873" s="1" t="str">
        <f>IFERROR(__xludf.DUMMYFUNCTION("""COMPUTED_VALUE"""),"")</f>
        <v/>
      </c>
    </row>
    <row r="1874">
      <c r="A1874" s="1"/>
      <c r="B1874" s="1" t="str">
        <f>IFERROR(__xludf.DUMMYFUNCTION("""COMPUTED_VALUE"""),"")</f>
        <v/>
      </c>
      <c r="C1874" s="1" t="str">
        <f>IFERROR(__xludf.DUMMYFUNCTION("""COMPUTED_VALUE"""),"")</f>
        <v/>
      </c>
      <c r="D1874" s="1" t="str">
        <f>IFERROR(__xludf.DUMMYFUNCTION("""COMPUTED_VALUE"""),"")</f>
        <v/>
      </c>
      <c r="E1874" s="1" t="str">
        <f>IFERROR(__xludf.DUMMYFUNCTION("""COMPUTED_VALUE"""),"")</f>
        <v/>
      </c>
    </row>
    <row r="1875">
      <c r="A1875" s="1"/>
      <c r="B1875" s="1" t="str">
        <f>IFERROR(__xludf.DUMMYFUNCTION("""COMPUTED_VALUE"""),"")</f>
        <v/>
      </c>
      <c r="C1875" s="1" t="str">
        <f>IFERROR(__xludf.DUMMYFUNCTION("""COMPUTED_VALUE"""),"")</f>
        <v/>
      </c>
      <c r="D1875" s="1" t="str">
        <f>IFERROR(__xludf.DUMMYFUNCTION("""COMPUTED_VALUE"""),"")</f>
        <v/>
      </c>
      <c r="E1875" s="1" t="str">
        <f>IFERROR(__xludf.DUMMYFUNCTION("""COMPUTED_VALUE"""),"")</f>
        <v/>
      </c>
    </row>
    <row r="1876">
      <c r="A1876" s="1"/>
      <c r="B1876" s="1" t="str">
        <f>IFERROR(__xludf.DUMMYFUNCTION("""COMPUTED_VALUE"""),"")</f>
        <v/>
      </c>
      <c r="C1876" s="1" t="str">
        <f>IFERROR(__xludf.DUMMYFUNCTION("""COMPUTED_VALUE"""),"")</f>
        <v/>
      </c>
      <c r="D1876" s="1" t="str">
        <f>IFERROR(__xludf.DUMMYFUNCTION("""COMPUTED_VALUE"""),"")</f>
        <v/>
      </c>
      <c r="E1876" s="1" t="str">
        <f>IFERROR(__xludf.DUMMYFUNCTION("""COMPUTED_VALUE"""),"")</f>
        <v/>
      </c>
    </row>
    <row r="1877">
      <c r="A1877" s="1"/>
      <c r="B1877" s="1" t="str">
        <f>IFERROR(__xludf.DUMMYFUNCTION("""COMPUTED_VALUE"""),"")</f>
        <v/>
      </c>
      <c r="C1877" s="1" t="str">
        <f>IFERROR(__xludf.DUMMYFUNCTION("""COMPUTED_VALUE"""),"")</f>
        <v/>
      </c>
      <c r="D1877" s="1" t="str">
        <f>IFERROR(__xludf.DUMMYFUNCTION("""COMPUTED_VALUE"""),"")</f>
        <v/>
      </c>
      <c r="E1877" s="1" t="str">
        <f>IFERROR(__xludf.DUMMYFUNCTION("""COMPUTED_VALUE"""),"")</f>
        <v/>
      </c>
    </row>
    <row r="1878">
      <c r="A1878" s="1"/>
      <c r="B1878" s="1" t="str">
        <f>IFERROR(__xludf.DUMMYFUNCTION("""COMPUTED_VALUE"""),"")</f>
        <v/>
      </c>
      <c r="C1878" s="1" t="str">
        <f>IFERROR(__xludf.DUMMYFUNCTION("""COMPUTED_VALUE"""),"")</f>
        <v/>
      </c>
      <c r="D1878" s="1" t="str">
        <f>IFERROR(__xludf.DUMMYFUNCTION("""COMPUTED_VALUE"""),"")</f>
        <v/>
      </c>
      <c r="E1878" s="1" t="str">
        <f>IFERROR(__xludf.DUMMYFUNCTION("""COMPUTED_VALUE"""),"")</f>
        <v/>
      </c>
    </row>
    <row r="1879">
      <c r="A1879" s="1"/>
      <c r="B1879" s="1" t="str">
        <f>IFERROR(__xludf.DUMMYFUNCTION("""COMPUTED_VALUE"""),"")</f>
        <v/>
      </c>
      <c r="C1879" s="1" t="str">
        <f>IFERROR(__xludf.DUMMYFUNCTION("""COMPUTED_VALUE"""),"")</f>
        <v/>
      </c>
      <c r="D1879" s="1" t="str">
        <f>IFERROR(__xludf.DUMMYFUNCTION("""COMPUTED_VALUE"""),"")</f>
        <v/>
      </c>
      <c r="E1879" s="1" t="str">
        <f>IFERROR(__xludf.DUMMYFUNCTION("""COMPUTED_VALUE"""),"")</f>
        <v/>
      </c>
    </row>
    <row r="1880">
      <c r="A1880" s="1"/>
      <c r="B1880" s="1" t="str">
        <f>IFERROR(__xludf.DUMMYFUNCTION("""COMPUTED_VALUE"""),"")</f>
        <v/>
      </c>
      <c r="C1880" s="1" t="str">
        <f>IFERROR(__xludf.DUMMYFUNCTION("""COMPUTED_VALUE"""),"")</f>
        <v/>
      </c>
      <c r="D1880" s="1" t="str">
        <f>IFERROR(__xludf.DUMMYFUNCTION("""COMPUTED_VALUE"""),"")</f>
        <v/>
      </c>
      <c r="E1880" s="1" t="str">
        <f>IFERROR(__xludf.DUMMYFUNCTION("""COMPUTED_VALUE"""),"")</f>
        <v/>
      </c>
    </row>
    <row r="1881">
      <c r="A1881" s="1"/>
      <c r="B1881" s="1" t="str">
        <f>IFERROR(__xludf.DUMMYFUNCTION("""COMPUTED_VALUE"""),"")</f>
        <v/>
      </c>
      <c r="C1881" s="1" t="str">
        <f>IFERROR(__xludf.DUMMYFUNCTION("""COMPUTED_VALUE"""),"")</f>
        <v/>
      </c>
      <c r="D1881" s="1" t="str">
        <f>IFERROR(__xludf.DUMMYFUNCTION("""COMPUTED_VALUE"""),"")</f>
        <v/>
      </c>
      <c r="E1881" s="1" t="str">
        <f>IFERROR(__xludf.DUMMYFUNCTION("""COMPUTED_VALUE"""),"")</f>
        <v/>
      </c>
    </row>
    <row r="1882">
      <c r="A1882" s="1"/>
      <c r="B1882" s="1" t="str">
        <f>IFERROR(__xludf.DUMMYFUNCTION("""COMPUTED_VALUE"""),"")</f>
        <v/>
      </c>
      <c r="C1882" s="1" t="str">
        <f>IFERROR(__xludf.DUMMYFUNCTION("""COMPUTED_VALUE"""),"")</f>
        <v/>
      </c>
      <c r="D1882" s="1" t="str">
        <f>IFERROR(__xludf.DUMMYFUNCTION("""COMPUTED_VALUE"""),"")</f>
        <v/>
      </c>
      <c r="E1882" s="1" t="str">
        <f>IFERROR(__xludf.DUMMYFUNCTION("""COMPUTED_VALUE"""),"")</f>
        <v/>
      </c>
    </row>
    <row r="1883">
      <c r="A1883" s="1"/>
      <c r="B1883" s="1" t="str">
        <f>IFERROR(__xludf.DUMMYFUNCTION("""COMPUTED_VALUE"""),"")</f>
        <v/>
      </c>
      <c r="C1883" s="1" t="str">
        <f>IFERROR(__xludf.DUMMYFUNCTION("""COMPUTED_VALUE"""),"")</f>
        <v/>
      </c>
      <c r="D1883" s="1" t="str">
        <f>IFERROR(__xludf.DUMMYFUNCTION("""COMPUTED_VALUE"""),"")</f>
        <v/>
      </c>
      <c r="E1883" s="1" t="str">
        <f>IFERROR(__xludf.DUMMYFUNCTION("""COMPUTED_VALUE"""),"")</f>
        <v/>
      </c>
    </row>
    <row r="1884">
      <c r="A1884" s="1"/>
      <c r="B1884" s="1" t="str">
        <f>IFERROR(__xludf.DUMMYFUNCTION("""COMPUTED_VALUE"""),"")</f>
        <v/>
      </c>
      <c r="C1884" s="1" t="str">
        <f>IFERROR(__xludf.DUMMYFUNCTION("""COMPUTED_VALUE"""),"")</f>
        <v/>
      </c>
      <c r="D1884" s="1" t="str">
        <f>IFERROR(__xludf.DUMMYFUNCTION("""COMPUTED_VALUE"""),"")</f>
        <v/>
      </c>
      <c r="E1884" s="1" t="str">
        <f>IFERROR(__xludf.DUMMYFUNCTION("""COMPUTED_VALUE"""),"")</f>
        <v/>
      </c>
    </row>
    <row r="1885">
      <c r="A1885" s="1"/>
      <c r="B1885" s="1" t="str">
        <f>IFERROR(__xludf.DUMMYFUNCTION("""COMPUTED_VALUE"""),"")</f>
        <v/>
      </c>
      <c r="C1885" s="1" t="str">
        <f>IFERROR(__xludf.DUMMYFUNCTION("""COMPUTED_VALUE"""),"")</f>
        <v/>
      </c>
      <c r="D1885" s="1" t="str">
        <f>IFERROR(__xludf.DUMMYFUNCTION("""COMPUTED_VALUE"""),"")</f>
        <v/>
      </c>
      <c r="E1885" s="1" t="str">
        <f>IFERROR(__xludf.DUMMYFUNCTION("""COMPUTED_VALUE"""),"")</f>
        <v/>
      </c>
    </row>
    <row r="1886">
      <c r="A1886" s="1"/>
      <c r="B1886" s="1" t="str">
        <f>IFERROR(__xludf.DUMMYFUNCTION("""COMPUTED_VALUE"""),"")</f>
        <v/>
      </c>
      <c r="C1886" s="1" t="str">
        <f>IFERROR(__xludf.DUMMYFUNCTION("""COMPUTED_VALUE"""),"")</f>
        <v/>
      </c>
      <c r="D1886" s="1" t="str">
        <f>IFERROR(__xludf.DUMMYFUNCTION("""COMPUTED_VALUE"""),"")</f>
        <v/>
      </c>
      <c r="E1886" s="1" t="str">
        <f>IFERROR(__xludf.DUMMYFUNCTION("""COMPUTED_VALUE"""),"")</f>
        <v/>
      </c>
    </row>
    <row r="1887">
      <c r="A1887" s="1"/>
      <c r="B1887" s="1" t="str">
        <f>IFERROR(__xludf.DUMMYFUNCTION("""COMPUTED_VALUE"""),"")</f>
        <v/>
      </c>
      <c r="C1887" s="1" t="str">
        <f>IFERROR(__xludf.DUMMYFUNCTION("""COMPUTED_VALUE"""),"")</f>
        <v/>
      </c>
      <c r="D1887" s="1" t="str">
        <f>IFERROR(__xludf.DUMMYFUNCTION("""COMPUTED_VALUE"""),"")</f>
        <v/>
      </c>
      <c r="E1887" s="1" t="str">
        <f>IFERROR(__xludf.DUMMYFUNCTION("""COMPUTED_VALUE"""),"")</f>
        <v/>
      </c>
    </row>
    <row r="1888">
      <c r="A1888" s="1"/>
      <c r="B1888" s="1" t="str">
        <f>IFERROR(__xludf.DUMMYFUNCTION("""COMPUTED_VALUE"""),"")</f>
        <v/>
      </c>
      <c r="C1888" s="1" t="str">
        <f>IFERROR(__xludf.DUMMYFUNCTION("""COMPUTED_VALUE"""),"")</f>
        <v/>
      </c>
      <c r="D1888" s="1" t="str">
        <f>IFERROR(__xludf.DUMMYFUNCTION("""COMPUTED_VALUE"""),"")</f>
        <v/>
      </c>
      <c r="E1888" s="1" t="str">
        <f>IFERROR(__xludf.DUMMYFUNCTION("""COMPUTED_VALUE"""),"")</f>
        <v/>
      </c>
    </row>
    <row r="1889">
      <c r="A1889" s="1"/>
      <c r="B1889" s="1" t="str">
        <f>IFERROR(__xludf.DUMMYFUNCTION("""COMPUTED_VALUE"""),"")</f>
        <v/>
      </c>
      <c r="C1889" s="1" t="str">
        <f>IFERROR(__xludf.DUMMYFUNCTION("""COMPUTED_VALUE"""),"")</f>
        <v/>
      </c>
      <c r="D1889" s="1" t="str">
        <f>IFERROR(__xludf.DUMMYFUNCTION("""COMPUTED_VALUE"""),"")</f>
        <v/>
      </c>
      <c r="E1889" s="1" t="str">
        <f>IFERROR(__xludf.DUMMYFUNCTION("""COMPUTED_VALUE"""),"")</f>
        <v/>
      </c>
    </row>
    <row r="1890">
      <c r="A1890" s="1"/>
      <c r="B1890" s="1" t="str">
        <f>IFERROR(__xludf.DUMMYFUNCTION("""COMPUTED_VALUE"""),"")</f>
        <v/>
      </c>
      <c r="C1890" s="1" t="str">
        <f>IFERROR(__xludf.DUMMYFUNCTION("""COMPUTED_VALUE"""),"")</f>
        <v/>
      </c>
      <c r="D1890" s="1" t="str">
        <f>IFERROR(__xludf.DUMMYFUNCTION("""COMPUTED_VALUE"""),"")</f>
        <v/>
      </c>
      <c r="E1890" s="1" t="str">
        <f>IFERROR(__xludf.DUMMYFUNCTION("""COMPUTED_VALUE"""),"")</f>
        <v/>
      </c>
    </row>
    <row r="1891">
      <c r="A1891" s="1"/>
      <c r="B1891" s="1" t="str">
        <f>IFERROR(__xludf.DUMMYFUNCTION("""COMPUTED_VALUE"""),"")</f>
        <v/>
      </c>
      <c r="C1891" s="1" t="str">
        <f>IFERROR(__xludf.DUMMYFUNCTION("""COMPUTED_VALUE"""),"")</f>
        <v/>
      </c>
      <c r="D1891" s="1" t="str">
        <f>IFERROR(__xludf.DUMMYFUNCTION("""COMPUTED_VALUE"""),"")</f>
        <v/>
      </c>
      <c r="E1891" s="1" t="str">
        <f>IFERROR(__xludf.DUMMYFUNCTION("""COMPUTED_VALUE"""),"")</f>
        <v/>
      </c>
    </row>
    <row r="1892">
      <c r="A1892" s="1"/>
      <c r="B1892" s="1" t="str">
        <f>IFERROR(__xludf.DUMMYFUNCTION("""COMPUTED_VALUE"""),"")</f>
        <v/>
      </c>
      <c r="C1892" s="1" t="str">
        <f>IFERROR(__xludf.DUMMYFUNCTION("""COMPUTED_VALUE"""),"")</f>
        <v/>
      </c>
      <c r="D1892" s="1" t="str">
        <f>IFERROR(__xludf.DUMMYFUNCTION("""COMPUTED_VALUE"""),"")</f>
        <v/>
      </c>
      <c r="E1892" s="1" t="str">
        <f>IFERROR(__xludf.DUMMYFUNCTION("""COMPUTED_VALUE"""),"")</f>
        <v/>
      </c>
    </row>
    <row r="1893">
      <c r="A1893" s="1"/>
      <c r="B1893" s="1" t="str">
        <f>IFERROR(__xludf.DUMMYFUNCTION("""COMPUTED_VALUE"""),"")</f>
        <v/>
      </c>
      <c r="C1893" s="1" t="str">
        <f>IFERROR(__xludf.DUMMYFUNCTION("""COMPUTED_VALUE"""),"")</f>
        <v/>
      </c>
      <c r="D1893" s="1" t="str">
        <f>IFERROR(__xludf.DUMMYFUNCTION("""COMPUTED_VALUE"""),"")</f>
        <v/>
      </c>
      <c r="E1893" s="1" t="str">
        <f>IFERROR(__xludf.DUMMYFUNCTION("""COMPUTED_VALUE"""),"")</f>
        <v/>
      </c>
    </row>
    <row r="1894">
      <c r="A1894" s="1"/>
      <c r="B1894" s="1" t="str">
        <f>IFERROR(__xludf.DUMMYFUNCTION("""COMPUTED_VALUE"""),"")</f>
        <v/>
      </c>
      <c r="C1894" s="1" t="str">
        <f>IFERROR(__xludf.DUMMYFUNCTION("""COMPUTED_VALUE"""),"")</f>
        <v/>
      </c>
      <c r="D1894" s="1" t="str">
        <f>IFERROR(__xludf.DUMMYFUNCTION("""COMPUTED_VALUE"""),"")</f>
        <v/>
      </c>
      <c r="E1894" s="1" t="str">
        <f>IFERROR(__xludf.DUMMYFUNCTION("""COMPUTED_VALUE"""),"")</f>
        <v/>
      </c>
    </row>
    <row r="1895">
      <c r="A1895" s="1"/>
      <c r="B1895" s="1" t="str">
        <f>IFERROR(__xludf.DUMMYFUNCTION("""COMPUTED_VALUE"""),"")</f>
        <v/>
      </c>
      <c r="C1895" s="1" t="str">
        <f>IFERROR(__xludf.DUMMYFUNCTION("""COMPUTED_VALUE"""),"")</f>
        <v/>
      </c>
      <c r="D1895" s="1" t="str">
        <f>IFERROR(__xludf.DUMMYFUNCTION("""COMPUTED_VALUE"""),"")</f>
        <v/>
      </c>
      <c r="E1895" s="1" t="str">
        <f>IFERROR(__xludf.DUMMYFUNCTION("""COMPUTED_VALUE"""),"")</f>
        <v/>
      </c>
    </row>
    <row r="1896">
      <c r="A1896" s="1"/>
      <c r="B1896" s="1" t="str">
        <f>IFERROR(__xludf.DUMMYFUNCTION("""COMPUTED_VALUE"""),"")</f>
        <v/>
      </c>
      <c r="C1896" s="1" t="str">
        <f>IFERROR(__xludf.DUMMYFUNCTION("""COMPUTED_VALUE"""),"")</f>
        <v/>
      </c>
      <c r="D1896" s="1" t="str">
        <f>IFERROR(__xludf.DUMMYFUNCTION("""COMPUTED_VALUE"""),"")</f>
        <v/>
      </c>
      <c r="E1896" s="1" t="str">
        <f>IFERROR(__xludf.DUMMYFUNCTION("""COMPUTED_VALUE"""),"")</f>
        <v/>
      </c>
    </row>
    <row r="1897">
      <c r="A1897" s="1"/>
      <c r="B1897" s="1" t="str">
        <f>IFERROR(__xludf.DUMMYFUNCTION("""COMPUTED_VALUE"""),"")</f>
        <v/>
      </c>
      <c r="C1897" s="1" t="str">
        <f>IFERROR(__xludf.DUMMYFUNCTION("""COMPUTED_VALUE"""),"")</f>
        <v/>
      </c>
      <c r="D1897" s="1" t="str">
        <f>IFERROR(__xludf.DUMMYFUNCTION("""COMPUTED_VALUE"""),"")</f>
        <v/>
      </c>
      <c r="E1897" s="1" t="str">
        <f>IFERROR(__xludf.DUMMYFUNCTION("""COMPUTED_VALUE"""),"")</f>
        <v/>
      </c>
    </row>
    <row r="1898">
      <c r="A1898" s="1"/>
      <c r="B1898" s="1" t="str">
        <f>IFERROR(__xludf.DUMMYFUNCTION("""COMPUTED_VALUE"""),"")</f>
        <v/>
      </c>
      <c r="C1898" s="1" t="str">
        <f>IFERROR(__xludf.DUMMYFUNCTION("""COMPUTED_VALUE"""),"")</f>
        <v/>
      </c>
      <c r="D1898" s="1" t="str">
        <f>IFERROR(__xludf.DUMMYFUNCTION("""COMPUTED_VALUE"""),"")</f>
        <v/>
      </c>
      <c r="E1898" s="1" t="str">
        <f>IFERROR(__xludf.DUMMYFUNCTION("""COMPUTED_VALUE"""),"")</f>
        <v/>
      </c>
    </row>
    <row r="1899">
      <c r="A1899" s="1"/>
      <c r="B1899" s="1" t="str">
        <f>IFERROR(__xludf.DUMMYFUNCTION("""COMPUTED_VALUE"""),"")</f>
        <v/>
      </c>
      <c r="C1899" s="1" t="str">
        <f>IFERROR(__xludf.DUMMYFUNCTION("""COMPUTED_VALUE"""),"")</f>
        <v/>
      </c>
      <c r="D1899" s="1" t="str">
        <f>IFERROR(__xludf.DUMMYFUNCTION("""COMPUTED_VALUE"""),"")</f>
        <v/>
      </c>
      <c r="E1899" s="1" t="str">
        <f>IFERROR(__xludf.DUMMYFUNCTION("""COMPUTED_VALUE"""),"")</f>
        <v/>
      </c>
    </row>
    <row r="1900">
      <c r="A1900" s="1"/>
      <c r="B1900" s="1" t="str">
        <f>IFERROR(__xludf.DUMMYFUNCTION("""COMPUTED_VALUE"""),"")</f>
        <v/>
      </c>
      <c r="C1900" s="1" t="str">
        <f>IFERROR(__xludf.DUMMYFUNCTION("""COMPUTED_VALUE"""),"")</f>
        <v/>
      </c>
      <c r="D1900" s="1" t="str">
        <f>IFERROR(__xludf.DUMMYFUNCTION("""COMPUTED_VALUE"""),"")</f>
        <v/>
      </c>
      <c r="E1900" s="1" t="str">
        <f>IFERROR(__xludf.DUMMYFUNCTION("""COMPUTED_VALUE"""),"")</f>
        <v/>
      </c>
    </row>
    <row r="1901">
      <c r="A1901" s="1"/>
      <c r="B1901" s="1" t="str">
        <f>IFERROR(__xludf.DUMMYFUNCTION("""COMPUTED_VALUE"""),"")</f>
        <v/>
      </c>
      <c r="C1901" s="1" t="str">
        <f>IFERROR(__xludf.DUMMYFUNCTION("""COMPUTED_VALUE"""),"")</f>
        <v/>
      </c>
      <c r="D1901" s="1" t="str">
        <f>IFERROR(__xludf.DUMMYFUNCTION("""COMPUTED_VALUE"""),"")</f>
        <v/>
      </c>
      <c r="E1901" s="1" t="str">
        <f>IFERROR(__xludf.DUMMYFUNCTION("""COMPUTED_VALUE"""),"")</f>
        <v/>
      </c>
    </row>
    <row r="1902">
      <c r="A1902" s="1"/>
      <c r="B1902" s="1" t="str">
        <f>IFERROR(__xludf.DUMMYFUNCTION("""COMPUTED_VALUE"""),"")</f>
        <v/>
      </c>
      <c r="C1902" s="1" t="str">
        <f>IFERROR(__xludf.DUMMYFUNCTION("""COMPUTED_VALUE"""),"")</f>
        <v/>
      </c>
      <c r="D1902" s="1" t="str">
        <f>IFERROR(__xludf.DUMMYFUNCTION("""COMPUTED_VALUE"""),"")</f>
        <v/>
      </c>
      <c r="E1902" s="1" t="str">
        <f>IFERROR(__xludf.DUMMYFUNCTION("""COMPUTED_VALUE"""),"")</f>
        <v/>
      </c>
    </row>
    <row r="1903">
      <c r="A1903" s="1"/>
      <c r="B1903" s="1" t="str">
        <f>IFERROR(__xludf.DUMMYFUNCTION("""COMPUTED_VALUE"""),"")</f>
        <v/>
      </c>
      <c r="C1903" s="1" t="str">
        <f>IFERROR(__xludf.DUMMYFUNCTION("""COMPUTED_VALUE"""),"")</f>
        <v/>
      </c>
      <c r="D1903" s="1" t="str">
        <f>IFERROR(__xludf.DUMMYFUNCTION("""COMPUTED_VALUE"""),"")</f>
        <v/>
      </c>
      <c r="E1903" s="1" t="str">
        <f>IFERROR(__xludf.DUMMYFUNCTION("""COMPUTED_VALUE"""),"")</f>
        <v/>
      </c>
    </row>
    <row r="1904">
      <c r="A1904" s="1"/>
      <c r="B1904" s="1" t="str">
        <f>IFERROR(__xludf.DUMMYFUNCTION("""COMPUTED_VALUE"""),"")</f>
        <v/>
      </c>
      <c r="C1904" s="1" t="str">
        <f>IFERROR(__xludf.DUMMYFUNCTION("""COMPUTED_VALUE"""),"")</f>
        <v/>
      </c>
      <c r="D1904" s="1" t="str">
        <f>IFERROR(__xludf.DUMMYFUNCTION("""COMPUTED_VALUE"""),"")</f>
        <v/>
      </c>
      <c r="E1904" s="1" t="str">
        <f>IFERROR(__xludf.DUMMYFUNCTION("""COMPUTED_VALUE"""),"")</f>
        <v/>
      </c>
    </row>
    <row r="1905">
      <c r="A1905" s="1"/>
      <c r="B1905" s="1" t="str">
        <f>IFERROR(__xludf.DUMMYFUNCTION("""COMPUTED_VALUE"""),"")</f>
        <v/>
      </c>
      <c r="C1905" s="1" t="str">
        <f>IFERROR(__xludf.DUMMYFUNCTION("""COMPUTED_VALUE"""),"")</f>
        <v/>
      </c>
      <c r="D1905" s="1" t="str">
        <f>IFERROR(__xludf.DUMMYFUNCTION("""COMPUTED_VALUE"""),"")</f>
        <v/>
      </c>
      <c r="E1905" s="1" t="str">
        <f>IFERROR(__xludf.DUMMYFUNCTION("""COMPUTED_VALUE"""),"")</f>
        <v/>
      </c>
    </row>
    <row r="1906">
      <c r="A1906" s="1"/>
      <c r="B1906" s="1" t="str">
        <f>IFERROR(__xludf.DUMMYFUNCTION("""COMPUTED_VALUE"""),"")</f>
        <v/>
      </c>
      <c r="C1906" s="1" t="str">
        <f>IFERROR(__xludf.DUMMYFUNCTION("""COMPUTED_VALUE"""),"")</f>
        <v/>
      </c>
      <c r="D1906" s="1" t="str">
        <f>IFERROR(__xludf.DUMMYFUNCTION("""COMPUTED_VALUE"""),"")</f>
        <v/>
      </c>
      <c r="E1906" s="1" t="str">
        <f>IFERROR(__xludf.DUMMYFUNCTION("""COMPUTED_VALUE"""),"")</f>
        <v/>
      </c>
    </row>
    <row r="1907">
      <c r="A1907" s="1"/>
      <c r="B1907" s="1" t="str">
        <f>IFERROR(__xludf.DUMMYFUNCTION("""COMPUTED_VALUE"""),"")</f>
        <v/>
      </c>
      <c r="C1907" s="1" t="str">
        <f>IFERROR(__xludf.DUMMYFUNCTION("""COMPUTED_VALUE"""),"")</f>
        <v/>
      </c>
      <c r="D1907" s="1" t="str">
        <f>IFERROR(__xludf.DUMMYFUNCTION("""COMPUTED_VALUE"""),"")</f>
        <v/>
      </c>
      <c r="E1907" s="1" t="str">
        <f>IFERROR(__xludf.DUMMYFUNCTION("""COMPUTED_VALUE"""),"")</f>
        <v/>
      </c>
    </row>
    <row r="1908">
      <c r="A1908" s="1"/>
      <c r="B1908" s="1" t="str">
        <f>IFERROR(__xludf.DUMMYFUNCTION("""COMPUTED_VALUE"""),"")</f>
        <v/>
      </c>
      <c r="C1908" s="1" t="str">
        <f>IFERROR(__xludf.DUMMYFUNCTION("""COMPUTED_VALUE"""),"")</f>
        <v/>
      </c>
      <c r="D1908" s="1" t="str">
        <f>IFERROR(__xludf.DUMMYFUNCTION("""COMPUTED_VALUE"""),"")</f>
        <v/>
      </c>
      <c r="E1908" s="1" t="str">
        <f>IFERROR(__xludf.DUMMYFUNCTION("""COMPUTED_VALUE"""),"")</f>
        <v/>
      </c>
    </row>
    <row r="1909">
      <c r="A1909" s="1"/>
      <c r="B1909" s="1" t="str">
        <f>IFERROR(__xludf.DUMMYFUNCTION("""COMPUTED_VALUE"""),"")</f>
        <v/>
      </c>
      <c r="C1909" s="1" t="str">
        <f>IFERROR(__xludf.DUMMYFUNCTION("""COMPUTED_VALUE"""),"")</f>
        <v/>
      </c>
      <c r="D1909" s="1" t="str">
        <f>IFERROR(__xludf.DUMMYFUNCTION("""COMPUTED_VALUE"""),"")</f>
        <v/>
      </c>
      <c r="E1909" s="1" t="str">
        <f>IFERROR(__xludf.DUMMYFUNCTION("""COMPUTED_VALUE"""),"")</f>
        <v/>
      </c>
    </row>
    <row r="1910">
      <c r="A1910" s="1"/>
      <c r="B1910" s="1" t="str">
        <f>IFERROR(__xludf.DUMMYFUNCTION("""COMPUTED_VALUE"""),"")</f>
        <v/>
      </c>
      <c r="C1910" s="1" t="str">
        <f>IFERROR(__xludf.DUMMYFUNCTION("""COMPUTED_VALUE"""),"")</f>
        <v/>
      </c>
      <c r="D1910" s="1" t="str">
        <f>IFERROR(__xludf.DUMMYFUNCTION("""COMPUTED_VALUE"""),"")</f>
        <v/>
      </c>
      <c r="E1910" s="1" t="str">
        <f>IFERROR(__xludf.DUMMYFUNCTION("""COMPUTED_VALUE"""),"")</f>
        <v/>
      </c>
    </row>
    <row r="1911">
      <c r="A1911" s="1"/>
      <c r="B1911" s="1" t="str">
        <f>IFERROR(__xludf.DUMMYFUNCTION("""COMPUTED_VALUE"""),"")</f>
        <v/>
      </c>
      <c r="C1911" s="1" t="str">
        <f>IFERROR(__xludf.DUMMYFUNCTION("""COMPUTED_VALUE"""),"")</f>
        <v/>
      </c>
      <c r="D1911" s="1" t="str">
        <f>IFERROR(__xludf.DUMMYFUNCTION("""COMPUTED_VALUE"""),"")</f>
        <v/>
      </c>
      <c r="E1911" s="1" t="str">
        <f>IFERROR(__xludf.DUMMYFUNCTION("""COMPUTED_VALUE"""),"")</f>
        <v/>
      </c>
    </row>
    <row r="1912">
      <c r="A1912" s="1"/>
      <c r="B1912" s="1" t="str">
        <f>IFERROR(__xludf.DUMMYFUNCTION("""COMPUTED_VALUE"""),"")</f>
        <v/>
      </c>
      <c r="C1912" s="1" t="str">
        <f>IFERROR(__xludf.DUMMYFUNCTION("""COMPUTED_VALUE"""),"")</f>
        <v/>
      </c>
      <c r="D1912" s="1" t="str">
        <f>IFERROR(__xludf.DUMMYFUNCTION("""COMPUTED_VALUE"""),"")</f>
        <v/>
      </c>
      <c r="E1912" s="1" t="str">
        <f>IFERROR(__xludf.DUMMYFUNCTION("""COMPUTED_VALUE"""),"")</f>
        <v/>
      </c>
    </row>
    <row r="1913">
      <c r="A1913" s="1"/>
      <c r="B1913" s="1" t="str">
        <f>IFERROR(__xludf.DUMMYFUNCTION("""COMPUTED_VALUE"""),"")</f>
        <v/>
      </c>
      <c r="C1913" s="1" t="str">
        <f>IFERROR(__xludf.DUMMYFUNCTION("""COMPUTED_VALUE"""),"")</f>
        <v/>
      </c>
      <c r="D1913" s="1" t="str">
        <f>IFERROR(__xludf.DUMMYFUNCTION("""COMPUTED_VALUE"""),"")</f>
        <v/>
      </c>
      <c r="E1913" s="1" t="str">
        <f>IFERROR(__xludf.DUMMYFUNCTION("""COMPUTED_VALUE"""),"")</f>
        <v/>
      </c>
    </row>
    <row r="1914">
      <c r="A1914" s="1"/>
      <c r="B1914" s="1" t="str">
        <f>IFERROR(__xludf.DUMMYFUNCTION("""COMPUTED_VALUE"""),"")</f>
        <v/>
      </c>
      <c r="C1914" s="1" t="str">
        <f>IFERROR(__xludf.DUMMYFUNCTION("""COMPUTED_VALUE"""),"")</f>
        <v/>
      </c>
      <c r="D1914" s="1" t="str">
        <f>IFERROR(__xludf.DUMMYFUNCTION("""COMPUTED_VALUE"""),"")</f>
        <v/>
      </c>
      <c r="E1914" s="1" t="str">
        <f>IFERROR(__xludf.DUMMYFUNCTION("""COMPUTED_VALUE"""),"")</f>
        <v/>
      </c>
    </row>
    <row r="1915">
      <c r="A1915" s="1"/>
      <c r="B1915" s="1" t="str">
        <f>IFERROR(__xludf.DUMMYFUNCTION("""COMPUTED_VALUE"""),"")</f>
        <v/>
      </c>
      <c r="C1915" s="1" t="str">
        <f>IFERROR(__xludf.DUMMYFUNCTION("""COMPUTED_VALUE"""),"")</f>
        <v/>
      </c>
      <c r="D1915" s="1" t="str">
        <f>IFERROR(__xludf.DUMMYFUNCTION("""COMPUTED_VALUE"""),"")</f>
        <v/>
      </c>
      <c r="E1915" s="1" t="str">
        <f>IFERROR(__xludf.DUMMYFUNCTION("""COMPUTED_VALUE"""),"")</f>
        <v/>
      </c>
    </row>
    <row r="1916">
      <c r="A1916" s="1"/>
      <c r="B1916" s="1" t="str">
        <f>IFERROR(__xludf.DUMMYFUNCTION("""COMPUTED_VALUE"""),"")</f>
        <v/>
      </c>
      <c r="C1916" s="1" t="str">
        <f>IFERROR(__xludf.DUMMYFUNCTION("""COMPUTED_VALUE"""),"")</f>
        <v/>
      </c>
      <c r="D1916" s="1" t="str">
        <f>IFERROR(__xludf.DUMMYFUNCTION("""COMPUTED_VALUE"""),"")</f>
        <v/>
      </c>
      <c r="E1916" s="1" t="str">
        <f>IFERROR(__xludf.DUMMYFUNCTION("""COMPUTED_VALUE"""),"")</f>
        <v/>
      </c>
    </row>
    <row r="1917">
      <c r="A1917" s="1"/>
      <c r="B1917" s="1" t="str">
        <f>IFERROR(__xludf.DUMMYFUNCTION("""COMPUTED_VALUE"""),"")</f>
        <v/>
      </c>
      <c r="C1917" s="1" t="str">
        <f>IFERROR(__xludf.DUMMYFUNCTION("""COMPUTED_VALUE"""),"")</f>
        <v/>
      </c>
      <c r="D1917" s="1" t="str">
        <f>IFERROR(__xludf.DUMMYFUNCTION("""COMPUTED_VALUE"""),"")</f>
        <v/>
      </c>
      <c r="E1917" s="1" t="str">
        <f>IFERROR(__xludf.DUMMYFUNCTION("""COMPUTED_VALUE"""),"")</f>
        <v/>
      </c>
    </row>
    <row r="1918">
      <c r="A1918" s="1"/>
      <c r="B1918" s="1" t="str">
        <f>IFERROR(__xludf.DUMMYFUNCTION("""COMPUTED_VALUE"""),"")</f>
        <v/>
      </c>
      <c r="C1918" s="1" t="str">
        <f>IFERROR(__xludf.DUMMYFUNCTION("""COMPUTED_VALUE"""),"")</f>
        <v/>
      </c>
      <c r="D1918" s="1" t="str">
        <f>IFERROR(__xludf.DUMMYFUNCTION("""COMPUTED_VALUE"""),"")</f>
        <v/>
      </c>
      <c r="E1918" s="1" t="str">
        <f>IFERROR(__xludf.DUMMYFUNCTION("""COMPUTED_VALUE"""),"")</f>
        <v/>
      </c>
    </row>
    <row r="1919">
      <c r="A1919" s="1"/>
      <c r="B1919" s="1" t="str">
        <f>IFERROR(__xludf.DUMMYFUNCTION("""COMPUTED_VALUE"""),"")</f>
        <v/>
      </c>
      <c r="C1919" s="1" t="str">
        <f>IFERROR(__xludf.DUMMYFUNCTION("""COMPUTED_VALUE"""),"")</f>
        <v/>
      </c>
      <c r="D1919" s="1" t="str">
        <f>IFERROR(__xludf.DUMMYFUNCTION("""COMPUTED_VALUE"""),"")</f>
        <v/>
      </c>
      <c r="E1919" s="1" t="str">
        <f>IFERROR(__xludf.DUMMYFUNCTION("""COMPUTED_VALUE"""),"")</f>
        <v/>
      </c>
    </row>
    <row r="1920">
      <c r="A1920" s="1"/>
      <c r="B1920" s="1" t="str">
        <f>IFERROR(__xludf.DUMMYFUNCTION("""COMPUTED_VALUE"""),"")</f>
        <v/>
      </c>
      <c r="C1920" s="1" t="str">
        <f>IFERROR(__xludf.DUMMYFUNCTION("""COMPUTED_VALUE"""),"")</f>
        <v/>
      </c>
      <c r="D1920" s="1" t="str">
        <f>IFERROR(__xludf.DUMMYFUNCTION("""COMPUTED_VALUE"""),"")</f>
        <v/>
      </c>
      <c r="E1920" s="1" t="str">
        <f>IFERROR(__xludf.DUMMYFUNCTION("""COMPUTED_VALUE"""),"")</f>
        <v/>
      </c>
    </row>
    <row r="1921">
      <c r="A1921" s="1"/>
      <c r="B1921" s="1" t="str">
        <f>IFERROR(__xludf.DUMMYFUNCTION("""COMPUTED_VALUE"""),"")</f>
        <v/>
      </c>
      <c r="C1921" s="1" t="str">
        <f>IFERROR(__xludf.DUMMYFUNCTION("""COMPUTED_VALUE"""),"")</f>
        <v/>
      </c>
      <c r="D1921" s="1" t="str">
        <f>IFERROR(__xludf.DUMMYFUNCTION("""COMPUTED_VALUE"""),"")</f>
        <v/>
      </c>
      <c r="E1921" s="1" t="str">
        <f>IFERROR(__xludf.DUMMYFUNCTION("""COMPUTED_VALUE"""),"")</f>
        <v/>
      </c>
    </row>
    <row r="1922">
      <c r="A1922" s="1"/>
      <c r="B1922" s="1" t="str">
        <f>IFERROR(__xludf.DUMMYFUNCTION("""COMPUTED_VALUE"""),"")</f>
        <v/>
      </c>
      <c r="C1922" s="1" t="str">
        <f>IFERROR(__xludf.DUMMYFUNCTION("""COMPUTED_VALUE"""),"")</f>
        <v/>
      </c>
      <c r="D1922" s="1" t="str">
        <f>IFERROR(__xludf.DUMMYFUNCTION("""COMPUTED_VALUE"""),"")</f>
        <v/>
      </c>
      <c r="E1922" s="1" t="str">
        <f>IFERROR(__xludf.DUMMYFUNCTION("""COMPUTED_VALUE"""),"")</f>
        <v/>
      </c>
    </row>
    <row r="1923">
      <c r="A1923" s="1"/>
      <c r="B1923" s="1" t="str">
        <f>IFERROR(__xludf.DUMMYFUNCTION("""COMPUTED_VALUE"""),"")</f>
        <v/>
      </c>
      <c r="C1923" s="1" t="str">
        <f>IFERROR(__xludf.DUMMYFUNCTION("""COMPUTED_VALUE"""),"")</f>
        <v/>
      </c>
      <c r="D1923" s="1" t="str">
        <f>IFERROR(__xludf.DUMMYFUNCTION("""COMPUTED_VALUE"""),"")</f>
        <v/>
      </c>
      <c r="E1923" s="1" t="str">
        <f>IFERROR(__xludf.DUMMYFUNCTION("""COMPUTED_VALUE"""),"")</f>
        <v/>
      </c>
    </row>
    <row r="1924">
      <c r="A1924" s="1"/>
      <c r="B1924" s="1" t="str">
        <f>IFERROR(__xludf.DUMMYFUNCTION("""COMPUTED_VALUE"""),"")</f>
        <v/>
      </c>
      <c r="C1924" s="1" t="str">
        <f>IFERROR(__xludf.DUMMYFUNCTION("""COMPUTED_VALUE"""),"")</f>
        <v/>
      </c>
      <c r="D1924" s="1" t="str">
        <f>IFERROR(__xludf.DUMMYFUNCTION("""COMPUTED_VALUE"""),"")</f>
        <v/>
      </c>
      <c r="E1924" s="1" t="str">
        <f>IFERROR(__xludf.DUMMYFUNCTION("""COMPUTED_VALUE"""),"")</f>
        <v/>
      </c>
    </row>
    <row r="1925">
      <c r="A1925" s="1"/>
      <c r="B1925" s="1" t="str">
        <f>IFERROR(__xludf.DUMMYFUNCTION("""COMPUTED_VALUE"""),"")</f>
        <v/>
      </c>
      <c r="C1925" s="1" t="str">
        <f>IFERROR(__xludf.DUMMYFUNCTION("""COMPUTED_VALUE"""),"")</f>
        <v/>
      </c>
      <c r="D1925" s="1" t="str">
        <f>IFERROR(__xludf.DUMMYFUNCTION("""COMPUTED_VALUE"""),"")</f>
        <v/>
      </c>
      <c r="E1925" s="1" t="str">
        <f>IFERROR(__xludf.DUMMYFUNCTION("""COMPUTED_VALUE"""),"")</f>
        <v/>
      </c>
    </row>
    <row r="1926">
      <c r="A1926" s="1"/>
      <c r="B1926" s="1" t="str">
        <f>IFERROR(__xludf.DUMMYFUNCTION("""COMPUTED_VALUE"""),"")</f>
        <v/>
      </c>
      <c r="C1926" s="1" t="str">
        <f>IFERROR(__xludf.DUMMYFUNCTION("""COMPUTED_VALUE"""),"")</f>
        <v/>
      </c>
      <c r="D1926" s="1" t="str">
        <f>IFERROR(__xludf.DUMMYFUNCTION("""COMPUTED_VALUE"""),"")</f>
        <v/>
      </c>
      <c r="E1926" s="1" t="str">
        <f>IFERROR(__xludf.DUMMYFUNCTION("""COMPUTED_VALUE"""),"")</f>
        <v/>
      </c>
    </row>
    <row r="1927">
      <c r="A1927" s="1"/>
      <c r="B1927" s="1" t="str">
        <f>IFERROR(__xludf.DUMMYFUNCTION("""COMPUTED_VALUE"""),"")</f>
        <v/>
      </c>
      <c r="C1927" s="1" t="str">
        <f>IFERROR(__xludf.DUMMYFUNCTION("""COMPUTED_VALUE"""),"")</f>
        <v/>
      </c>
      <c r="D1927" s="1" t="str">
        <f>IFERROR(__xludf.DUMMYFUNCTION("""COMPUTED_VALUE"""),"")</f>
        <v/>
      </c>
      <c r="E1927" s="1" t="str">
        <f>IFERROR(__xludf.DUMMYFUNCTION("""COMPUTED_VALUE"""),"")</f>
        <v/>
      </c>
    </row>
    <row r="1928">
      <c r="A1928" s="1"/>
      <c r="B1928" s="1" t="str">
        <f>IFERROR(__xludf.DUMMYFUNCTION("""COMPUTED_VALUE"""),"")</f>
        <v/>
      </c>
      <c r="C1928" s="1" t="str">
        <f>IFERROR(__xludf.DUMMYFUNCTION("""COMPUTED_VALUE"""),"")</f>
        <v/>
      </c>
      <c r="D1928" s="1" t="str">
        <f>IFERROR(__xludf.DUMMYFUNCTION("""COMPUTED_VALUE"""),"")</f>
        <v/>
      </c>
      <c r="E1928" s="1" t="str">
        <f>IFERROR(__xludf.DUMMYFUNCTION("""COMPUTED_VALUE"""),"")</f>
        <v/>
      </c>
    </row>
    <row r="1929">
      <c r="A1929" s="1"/>
      <c r="B1929" s="1" t="str">
        <f>IFERROR(__xludf.DUMMYFUNCTION("""COMPUTED_VALUE"""),"")</f>
        <v/>
      </c>
      <c r="C1929" s="1" t="str">
        <f>IFERROR(__xludf.DUMMYFUNCTION("""COMPUTED_VALUE"""),"")</f>
        <v/>
      </c>
      <c r="D1929" s="1" t="str">
        <f>IFERROR(__xludf.DUMMYFUNCTION("""COMPUTED_VALUE"""),"")</f>
        <v/>
      </c>
      <c r="E1929" s="1" t="str">
        <f>IFERROR(__xludf.DUMMYFUNCTION("""COMPUTED_VALUE"""),"")</f>
        <v/>
      </c>
    </row>
    <row r="1930">
      <c r="A1930" s="1"/>
      <c r="B1930" s="1" t="str">
        <f>IFERROR(__xludf.DUMMYFUNCTION("""COMPUTED_VALUE"""),"")</f>
        <v/>
      </c>
      <c r="C1930" s="1" t="str">
        <f>IFERROR(__xludf.DUMMYFUNCTION("""COMPUTED_VALUE"""),"")</f>
        <v/>
      </c>
      <c r="D1930" s="1" t="str">
        <f>IFERROR(__xludf.DUMMYFUNCTION("""COMPUTED_VALUE"""),"")</f>
        <v/>
      </c>
      <c r="E1930" s="1" t="str">
        <f>IFERROR(__xludf.DUMMYFUNCTION("""COMPUTED_VALUE"""),"")</f>
        <v/>
      </c>
    </row>
    <row r="1931">
      <c r="A1931" s="1"/>
      <c r="B1931" s="1" t="str">
        <f>IFERROR(__xludf.DUMMYFUNCTION("""COMPUTED_VALUE"""),"")</f>
        <v/>
      </c>
      <c r="C1931" s="1" t="str">
        <f>IFERROR(__xludf.DUMMYFUNCTION("""COMPUTED_VALUE"""),"")</f>
        <v/>
      </c>
      <c r="D1931" s="1" t="str">
        <f>IFERROR(__xludf.DUMMYFUNCTION("""COMPUTED_VALUE"""),"")</f>
        <v/>
      </c>
      <c r="E1931" s="1" t="str">
        <f>IFERROR(__xludf.DUMMYFUNCTION("""COMPUTED_VALUE"""),"")</f>
        <v/>
      </c>
    </row>
    <row r="1932">
      <c r="A1932" s="1"/>
      <c r="B1932" s="1" t="str">
        <f>IFERROR(__xludf.DUMMYFUNCTION("""COMPUTED_VALUE"""),"")</f>
        <v/>
      </c>
      <c r="C1932" s="1" t="str">
        <f>IFERROR(__xludf.DUMMYFUNCTION("""COMPUTED_VALUE"""),"")</f>
        <v/>
      </c>
      <c r="D1932" s="1" t="str">
        <f>IFERROR(__xludf.DUMMYFUNCTION("""COMPUTED_VALUE"""),"")</f>
        <v/>
      </c>
      <c r="E1932" s="1" t="str">
        <f>IFERROR(__xludf.DUMMYFUNCTION("""COMPUTED_VALUE"""),"")</f>
        <v/>
      </c>
    </row>
    <row r="1933">
      <c r="A1933" s="1"/>
      <c r="B1933" s="1" t="str">
        <f>IFERROR(__xludf.DUMMYFUNCTION("""COMPUTED_VALUE"""),"")</f>
        <v/>
      </c>
      <c r="C1933" s="1" t="str">
        <f>IFERROR(__xludf.DUMMYFUNCTION("""COMPUTED_VALUE"""),"")</f>
        <v/>
      </c>
      <c r="D1933" s="1" t="str">
        <f>IFERROR(__xludf.DUMMYFUNCTION("""COMPUTED_VALUE"""),"")</f>
        <v/>
      </c>
      <c r="E1933" s="1" t="str">
        <f>IFERROR(__xludf.DUMMYFUNCTION("""COMPUTED_VALUE"""),"")</f>
        <v/>
      </c>
    </row>
    <row r="1934">
      <c r="A1934" s="1"/>
      <c r="B1934" s="1" t="str">
        <f>IFERROR(__xludf.DUMMYFUNCTION("""COMPUTED_VALUE"""),"")</f>
        <v/>
      </c>
      <c r="C1934" s="1" t="str">
        <f>IFERROR(__xludf.DUMMYFUNCTION("""COMPUTED_VALUE"""),"")</f>
        <v/>
      </c>
      <c r="D1934" s="1" t="str">
        <f>IFERROR(__xludf.DUMMYFUNCTION("""COMPUTED_VALUE"""),"")</f>
        <v/>
      </c>
      <c r="E1934" s="1" t="str">
        <f>IFERROR(__xludf.DUMMYFUNCTION("""COMPUTED_VALUE"""),"")</f>
        <v/>
      </c>
    </row>
    <row r="1935">
      <c r="A1935" s="1"/>
      <c r="B1935" s="1" t="str">
        <f>IFERROR(__xludf.DUMMYFUNCTION("""COMPUTED_VALUE"""),"")</f>
        <v/>
      </c>
      <c r="C1935" s="1" t="str">
        <f>IFERROR(__xludf.DUMMYFUNCTION("""COMPUTED_VALUE"""),"")</f>
        <v/>
      </c>
      <c r="D1935" s="1" t="str">
        <f>IFERROR(__xludf.DUMMYFUNCTION("""COMPUTED_VALUE"""),"")</f>
        <v/>
      </c>
      <c r="E1935" s="1" t="str">
        <f>IFERROR(__xludf.DUMMYFUNCTION("""COMPUTED_VALUE"""),"")</f>
        <v/>
      </c>
    </row>
    <row r="1936">
      <c r="A1936" s="1"/>
      <c r="B1936" s="1" t="str">
        <f>IFERROR(__xludf.DUMMYFUNCTION("""COMPUTED_VALUE"""),"")</f>
        <v/>
      </c>
      <c r="C1936" s="1" t="str">
        <f>IFERROR(__xludf.DUMMYFUNCTION("""COMPUTED_VALUE"""),"")</f>
        <v/>
      </c>
      <c r="D1936" s="1" t="str">
        <f>IFERROR(__xludf.DUMMYFUNCTION("""COMPUTED_VALUE"""),"")</f>
        <v/>
      </c>
      <c r="E1936" s="1" t="str">
        <f>IFERROR(__xludf.DUMMYFUNCTION("""COMPUTED_VALUE"""),"")</f>
        <v/>
      </c>
    </row>
    <row r="1937">
      <c r="A1937" s="1"/>
      <c r="B1937" s="1" t="str">
        <f>IFERROR(__xludf.DUMMYFUNCTION("""COMPUTED_VALUE"""),"")</f>
        <v/>
      </c>
      <c r="C1937" s="1" t="str">
        <f>IFERROR(__xludf.DUMMYFUNCTION("""COMPUTED_VALUE"""),"")</f>
        <v/>
      </c>
      <c r="D1937" s="1" t="str">
        <f>IFERROR(__xludf.DUMMYFUNCTION("""COMPUTED_VALUE"""),"")</f>
        <v/>
      </c>
      <c r="E1937" s="1" t="str">
        <f>IFERROR(__xludf.DUMMYFUNCTION("""COMPUTED_VALUE"""),"")</f>
        <v/>
      </c>
    </row>
    <row r="1938">
      <c r="A1938" s="1"/>
      <c r="B1938" s="1" t="str">
        <f>IFERROR(__xludf.DUMMYFUNCTION("""COMPUTED_VALUE"""),"")</f>
        <v/>
      </c>
      <c r="C1938" s="1" t="str">
        <f>IFERROR(__xludf.DUMMYFUNCTION("""COMPUTED_VALUE"""),"")</f>
        <v/>
      </c>
      <c r="D1938" s="1" t="str">
        <f>IFERROR(__xludf.DUMMYFUNCTION("""COMPUTED_VALUE"""),"")</f>
        <v/>
      </c>
      <c r="E1938" s="1" t="str">
        <f>IFERROR(__xludf.DUMMYFUNCTION("""COMPUTED_VALUE"""),"")</f>
        <v/>
      </c>
    </row>
    <row r="1939">
      <c r="A1939" s="1"/>
      <c r="B1939" s="1" t="str">
        <f>IFERROR(__xludf.DUMMYFUNCTION("""COMPUTED_VALUE"""),"")</f>
        <v/>
      </c>
      <c r="C1939" s="1" t="str">
        <f>IFERROR(__xludf.DUMMYFUNCTION("""COMPUTED_VALUE"""),"")</f>
        <v/>
      </c>
      <c r="D1939" s="1" t="str">
        <f>IFERROR(__xludf.DUMMYFUNCTION("""COMPUTED_VALUE"""),"")</f>
        <v/>
      </c>
      <c r="E1939" s="1" t="str">
        <f>IFERROR(__xludf.DUMMYFUNCTION("""COMPUTED_VALUE"""),"")</f>
        <v/>
      </c>
    </row>
    <row r="1940">
      <c r="A1940" s="1"/>
      <c r="B1940" s="1" t="str">
        <f>IFERROR(__xludf.DUMMYFUNCTION("""COMPUTED_VALUE"""),"")</f>
        <v/>
      </c>
      <c r="C1940" s="1" t="str">
        <f>IFERROR(__xludf.DUMMYFUNCTION("""COMPUTED_VALUE"""),"")</f>
        <v/>
      </c>
      <c r="D1940" s="1" t="str">
        <f>IFERROR(__xludf.DUMMYFUNCTION("""COMPUTED_VALUE"""),"")</f>
        <v/>
      </c>
      <c r="E1940" s="1" t="str">
        <f>IFERROR(__xludf.DUMMYFUNCTION("""COMPUTED_VALUE"""),"")</f>
        <v/>
      </c>
    </row>
    <row r="1941">
      <c r="A1941" s="1"/>
      <c r="B1941" s="1" t="str">
        <f>IFERROR(__xludf.DUMMYFUNCTION("""COMPUTED_VALUE"""),"")</f>
        <v/>
      </c>
      <c r="C1941" s="1" t="str">
        <f>IFERROR(__xludf.DUMMYFUNCTION("""COMPUTED_VALUE"""),"")</f>
        <v/>
      </c>
      <c r="D1941" s="1" t="str">
        <f>IFERROR(__xludf.DUMMYFUNCTION("""COMPUTED_VALUE"""),"")</f>
        <v/>
      </c>
      <c r="E1941" s="1" t="str">
        <f>IFERROR(__xludf.DUMMYFUNCTION("""COMPUTED_VALUE"""),"")</f>
        <v/>
      </c>
    </row>
    <row r="1942">
      <c r="A1942" s="1"/>
      <c r="B1942" s="1" t="str">
        <f>IFERROR(__xludf.DUMMYFUNCTION("""COMPUTED_VALUE"""),"")</f>
        <v/>
      </c>
      <c r="C1942" s="1" t="str">
        <f>IFERROR(__xludf.DUMMYFUNCTION("""COMPUTED_VALUE"""),"")</f>
        <v/>
      </c>
      <c r="D1942" s="1" t="str">
        <f>IFERROR(__xludf.DUMMYFUNCTION("""COMPUTED_VALUE"""),"")</f>
        <v/>
      </c>
      <c r="E1942" s="1" t="str">
        <f>IFERROR(__xludf.DUMMYFUNCTION("""COMPUTED_VALUE"""),"")</f>
        <v/>
      </c>
    </row>
    <row r="1943">
      <c r="A1943" s="1"/>
      <c r="B1943" s="1" t="str">
        <f>IFERROR(__xludf.DUMMYFUNCTION("""COMPUTED_VALUE"""),"")</f>
        <v/>
      </c>
      <c r="C1943" s="1" t="str">
        <f>IFERROR(__xludf.DUMMYFUNCTION("""COMPUTED_VALUE"""),"")</f>
        <v/>
      </c>
      <c r="D1943" s="1" t="str">
        <f>IFERROR(__xludf.DUMMYFUNCTION("""COMPUTED_VALUE"""),"")</f>
        <v/>
      </c>
      <c r="E1943" s="1" t="str">
        <f>IFERROR(__xludf.DUMMYFUNCTION("""COMPUTED_VALUE"""),"")</f>
        <v/>
      </c>
    </row>
    <row r="1944">
      <c r="A1944" s="1"/>
      <c r="B1944" s="1" t="str">
        <f>IFERROR(__xludf.DUMMYFUNCTION("""COMPUTED_VALUE"""),"")</f>
        <v/>
      </c>
      <c r="C1944" s="1" t="str">
        <f>IFERROR(__xludf.DUMMYFUNCTION("""COMPUTED_VALUE"""),"")</f>
        <v/>
      </c>
      <c r="D1944" s="1" t="str">
        <f>IFERROR(__xludf.DUMMYFUNCTION("""COMPUTED_VALUE"""),"")</f>
        <v/>
      </c>
      <c r="E1944" s="1" t="str">
        <f>IFERROR(__xludf.DUMMYFUNCTION("""COMPUTED_VALUE"""),"")</f>
        <v/>
      </c>
    </row>
    <row r="1945">
      <c r="A1945" s="1"/>
      <c r="B1945" s="1" t="str">
        <f>IFERROR(__xludf.DUMMYFUNCTION("""COMPUTED_VALUE"""),"")</f>
        <v/>
      </c>
      <c r="C1945" s="1" t="str">
        <f>IFERROR(__xludf.DUMMYFUNCTION("""COMPUTED_VALUE"""),"")</f>
        <v/>
      </c>
      <c r="D1945" s="1" t="str">
        <f>IFERROR(__xludf.DUMMYFUNCTION("""COMPUTED_VALUE"""),"")</f>
        <v/>
      </c>
      <c r="E1945" s="1" t="str">
        <f>IFERROR(__xludf.DUMMYFUNCTION("""COMPUTED_VALUE"""),"")</f>
        <v/>
      </c>
    </row>
    <row r="1946">
      <c r="A1946" s="1"/>
      <c r="B1946" s="1" t="str">
        <f>IFERROR(__xludf.DUMMYFUNCTION("""COMPUTED_VALUE"""),"")</f>
        <v/>
      </c>
      <c r="C1946" s="1" t="str">
        <f>IFERROR(__xludf.DUMMYFUNCTION("""COMPUTED_VALUE"""),"")</f>
        <v/>
      </c>
      <c r="D1946" s="1" t="str">
        <f>IFERROR(__xludf.DUMMYFUNCTION("""COMPUTED_VALUE"""),"")</f>
        <v/>
      </c>
      <c r="E1946" s="1" t="str">
        <f>IFERROR(__xludf.DUMMYFUNCTION("""COMPUTED_VALUE"""),"")</f>
        <v/>
      </c>
    </row>
    <row r="1947">
      <c r="A1947" s="1"/>
      <c r="B1947" s="1" t="str">
        <f>IFERROR(__xludf.DUMMYFUNCTION("""COMPUTED_VALUE"""),"")</f>
        <v/>
      </c>
      <c r="C1947" s="1" t="str">
        <f>IFERROR(__xludf.DUMMYFUNCTION("""COMPUTED_VALUE"""),"")</f>
        <v/>
      </c>
      <c r="D1947" s="1" t="str">
        <f>IFERROR(__xludf.DUMMYFUNCTION("""COMPUTED_VALUE"""),"")</f>
        <v/>
      </c>
      <c r="E1947" s="1" t="str">
        <f>IFERROR(__xludf.DUMMYFUNCTION("""COMPUTED_VALUE"""),"")</f>
        <v/>
      </c>
    </row>
    <row r="1948">
      <c r="A1948" s="1"/>
      <c r="B1948" s="1" t="str">
        <f>IFERROR(__xludf.DUMMYFUNCTION("""COMPUTED_VALUE"""),"")</f>
        <v/>
      </c>
      <c r="C1948" s="1" t="str">
        <f>IFERROR(__xludf.DUMMYFUNCTION("""COMPUTED_VALUE"""),"")</f>
        <v/>
      </c>
      <c r="D1948" s="1" t="str">
        <f>IFERROR(__xludf.DUMMYFUNCTION("""COMPUTED_VALUE"""),"")</f>
        <v/>
      </c>
      <c r="E1948" s="1" t="str">
        <f>IFERROR(__xludf.DUMMYFUNCTION("""COMPUTED_VALUE"""),"")</f>
        <v/>
      </c>
    </row>
    <row r="1949">
      <c r="A1949" s="1"/>
      <c r="B1949" s="1" t="str">
        <f>IFERROR(__xludf.DUMMYFUNCTION("""COMPUTED_VALUE"""),"")</f>
        <v/>
      </c>
      <c r="C1949" s="1" t="str">
        <f>IFERROR(__xludf.DUMMYFUNCTION("""COMPUTED_VALUE"""),"")</f>
        <v/>
      </c>
      <c r="D1949" s="1" t="str">
        <f>IFERROR(__xludf.DUMMYFUNCTION("""COMPUTED_VALUE"""),"")</f>
        <v/>
      </c>
      <c r="E1949" s="1" t="str">
        <f>IFERROR(__xludf.DUMMYFUNCTION("""COMPUTED_VALUE"""),"")</f>
        <v/>
      </c>
    </row>
    <row r="1950">
      <c r="A1950" s="1"/>
      <c r="B1950" s="1" t="str">
        <f>IFERROR(__xludf.DUMMYFUNCTION("""COMPUTED_VALUE"""),"")</f>
        <v/>
      </c>
      <c r="C1950" s="1" t="str">
        <f>IFERROR(__xludf.DUMMYFUNCTION("""COMPUTED_VALUE"""),"")</f>
        <v/>
      </c>
      <c r="D1950" s="1" t="str">
        <f>IFERROR(__xludf.DUMMYFUNCTION("""COMPUTED_VALUE"""),"")</f>
        <v/>
      </c>
      <c r="E1950" s="1" t="str">
        <f>IFERROR(__xludf.DUMMYFUNCTION("""COMPUTED_VALUE"""),"")</f>
        <v/>
      </c>
    </row>
    <row r="1951">
      <c r="A1951" s="1"/>
      <c r="B1951" s="1" t="str">
        <f>IFERROR(__xludf.DUMMYFUNCTION("""COMPUTED_VALUE"""),"")</f>
        <v/>
      </c>
      <c r="C1951" s="1" t="str">
        <f>IFERROR(__xludf.DUMMYFUNCTION("""COMPUTED_VALUE"""),"")</f>
        <v/>
      </c>
      <c r="D1951" s="1" t="str">
        <f>IFERROR(__xludf.DUMMYFUNCTION("""COMPUTED_VALUE"""),"")</f>
        <v/>
      </c>
      <c r="E1951" s="1" t="str">
        <f>IFERROR(__xludf.DUMMYFUNCTION("""COMPUTED_VALUE"""),"")</f>
        <v/>
      </c>
    </row>
    <row r="1952">
      <c r="A1952" s="1"/>
      <c r="B1952" s="1" t="str">
        <f>IFERROR(__xludf.DUMMYFUNCTION("""COMPUTED_VALUE"""),"")</f>
        <v/>
      </c>
      <c r="C1952" s="1" t="str">
        <f>IFERROR(__xludf.DUMMYFUNCTION("""COMPUTED_VALUE"""),"")</f>
        <v/>
      </c>
      <c r="D1952" s="1" t="str">
        <f>IFERROR(__xludf.DUMMYFUNCTION("""COMPUTED_VALUE"""),"")</f>
        <v/>
      </c>
      <c r="E1952" s="1" t="str">
        <f>IFERROR(__xludf.DUMMYFUNCTION("""COMPUTED_VALUE"""),"")</f>
        <v/>
      </c>
    </row>
    <row r="1953">
      <c r="A1953" s="1"/>
      <c r="B1953" s="1" t="str">
        <f>IFERROR(__xludf.DUMMYFUNCTION("""COMPUTED_VALUE"""),"")</f>
        <v/>
      </c>
      <c r="C1953" s="1" t="str">
        <f>IFERROR(__xludf.DUMMYFUNCTION("""COMPUTED_VALUE"""),"")</f>
        <v/>
      </c>
      <c r="D1953" s="1" t="str">
        <f>IFERROR(__xludf.DUMMYFUNCTION("""COMPUTED_VALUE"""),"")</f>
        <v/>
      </c>
      <c r="E1953" s="1" t="str">
        <f>IFERROR(__xludf.DUMMYFUNCTION("""COMPUTED_VALUE"""),"")</f>
        <v/>
      </c>
    </row>
    <row r="1954">
      <c r="A1954" s="1"/>
      <c r="B1954" s="1" t="str">
        <f>IFERROR(__xludf.DUMMYFUNCTION("""COMPUTED_VALUE"""),"")</f>
        <v/>
      </c>
      <c r="C1954" s="1" t="str">
        <f>IFERROR(__xludf.DUMMYFUNCTION("""COMPUTED_VALUE"""),"")</f>
        <v/>
      </c>
      <c r="D1954" s="1" t="str">
        <f>IFERROR(__xludf.DUMMYFUNCTION("""COMPUTED_VALUE"""),"")</f>
        <v/>
      </c>
      <c r="E1954" s="1" t="str">
        <f>IFERROR(__xludf.DUMMYFUNCTION("""COMPUTED_VALUE"""),"")</f>
        <v/>
      </c>
    </row>
    <row r="1955">
      <c r="A1955" s="1"/>
      <c r="B1955" s="1" t="str">
        <f>IFERROR(__xludf.DUMMYFUNCTION("""COMPUTED_VALUE"""),"")</f>
        <v/>
      </c>
      <c r="C1955" s="1" t="str">
        <f>IFERROR(__xludf.DUMMYFUNCTION("""COMPUTED_VALUE"""),"")</f>
        <v/>
      </c>
      <c r="D1955" s="1" t="str">
        <f>IFERROR(__xludf.DUMMYFUNCTION("""COMPUTED_VALUE"""),"")</f>
        <v/>
      </c>
      <c r="E1955" s="1" t="str">
        <f>IFERROR(__xludf.DUMMYFUNCTION("""COMPUTED_VALUE"""),"")</f>
        <v/>
      </c>
    </row>
    <row r="1956">
      <c r="A1956" s="1"/>
      <c r="B1956" s="1" t="str">
        <f>IFERROR(__xludf.DUMMYFUNCTION("""COMPUTED_VALUE"""),"")</f>
        <v/>
      </c>
      <c r="C1956" s="1" t="str">
        <f>IFERROR(__xludf.DUMMYFUNCTION("""COMPUTED_VALUE"""),"")</f>
        <v/>
      </c>
      <c r="D1956" s="1" t="str">
        <f>IFERROR(__xludf.DUMMYFUNCTION("""COMPUTED_VALUE"""),"")</f>
        <v/>
      </c>
      <c r="E1956" s="1" t="str">
        <f>IFERROR(__xludf.DUMMYFUNCTION("""COMPUTED_VALUE"""),"")</f>
        <v/>
      </c>
    </row>
    <row r="1957">
      <c r="A1957" s="1"/>
      <c r="B1957" s="1" t="str">
        <f>IFERROR(__xludf.DUMMYFUNCTION("""COMPUTED_VALUE"""),"")</f>
        <v/>
      </c>
      <c r="C1957" s="1" t="str">
        <f>IFERROR(__xludf.DUMMYFUNCTION("""COMPUTED_VALUE"""),"")</f>
        <v/>
      </c>
      <c r="D1957" s="1" t="str">
        <f>IFERROR(__xludf.DUMMYFUNCTION("""COMPUTED_VALUE"""),"")</f>
        <v/>
      </c>
      <c r="E1957" s="1" t="str">
        <f>IFERROR(__xludf.DUMMYFUNCTION("""COMPUTED_VALUE"""),"")</f>
        <v/>
      </c>
    </row>
    <row r="1958">
      <c r="A1958" s="1"/>
      <c r="B1958" s="1" t="str">
        <f>IFERROR(__xludf.DUMMYFUNCTION("""COMPUTED_VALUE"""),"")</f>
        <v/>
      </c>
      <c r="C1958" s="1" t="str">
        <f>IFERROR(__xludf.DUMMYFUNCTION("""COMPUTED_VALUE"""),"")</f>
        <v/>
      </c>
      <c r="D1958" s="1" t="str">
        <f>IFERROR(__xludf.DUMMYFUNCTION("""COMPUTED_VALUE"""),"")</f>
        <v/>
      </c>
      <c r="E1958" s="1" t="str">
        <f>IFERROR(__xludf.DUMMYFUNCTION("""COMPUTED_VALUE"""),"")</f>
        <v/>
      </c>
    </row>
    <row r="1959">
      <c r="A1959" s="1"/>
      <c r="B1959" s="1" t="str">
        <f>IFERROR(__xludf.DUMMYFUNCTION("""COMPUTED_VALUE"""),"")</f>
        <v/>
      </c>
      <c r="C1959" s="1" t="str">
        <f>IFERROR(__xludf.DUMMYFUNCTION("""COMPUTED_VALUE"""),"")</f>
        <v/>
      </c>
      <c r="D1959" s="1" t="str">
        <f>IFERROR(__xludf.DUMMYFUNCTION("""COMPUTED_VALUE"""),"")</f>
        <v/>
      </c>
      <c r="E1959" s="1" t="str">
        <f>IFERROR(__xludf.DUMMYFUNCTION("""COMPUTED_VALUE"""),"")</f>
        <v/>
      </c>
    </row>
    <row r="1960">
      <c r="A1960" s="1"/>
      <c r="B1960" s="1" t="str">
        <f>IFERROR(__xludf.DUMMYFUNCTION("""COMPUTED_VALUE"""),"")</f>
        <v/>
      </c>
      <c r="C1960" s="1" t="str">
        <f>IFERROR(__xludf.DUMMYFUNCTION("""COMPUTED_VALUE"""),"")</f>
        <v/>
      </c>
      <c r="D1960" s="1" t="str">
        <f>IFERROR(__xludf.DUMMYFUNCTION("""COMPUTED_VALUE"""),"")</f>
        <v/>
      </c>
      <c r="E1960" s="1" t="str">
        <f>IFERROR(__xludf.DUMMYFUNCTION("""COMPUTED_VALUE"""),"")</f>
        <v/>
      </c>
    </row>
    <row r="1961">
      <c r="A1961" s="1"/>
      <c r="B1961" s="1" t="str">
        <f>IFERROR(__xludf.DUMMYFUNCTION("""COMPUTED_VALUE"""),"")</f>
        <v/>
      </c>
      <c r="C1961" s="1" t="str">
        <f>IFERROR(__xludf.DUMMYFUNCTION("""COMPUTED_VALUE"""),"")</f>
        <v/>
      </c>
      <c r="D1961" s="1" t="str">
        <f>IFERROR(__xludf.DUMMYFUNCTION("""COMPUTED_VALUE"""),"")</f>
        <v/>
      </c>
      <c r="E1961" s="1" t="str">
        <f>IFERROR(__xludf.DUMMYFUNCTION("""COMPUTED_VALUE"""),"")</f>
        <v/>
      </c>
    </row>
    <row r="1962">
      <c r="A1962" s="1"/>
      <c r="B1962" s="1" t="str">
        <f>IFERROR(__xludf.DUMMYFUNCTION("""COMPUTED_VALUE"""),"")</f>
        <v/>
      </c>
      <c r="C1962" s="1" t="str">
        <f>IFERROR(__xludf.DUMMYFUNCTION("""COMPUTED_VALUE"""),"")</f>
        <v/>
      </c>
      <c r="D1962" s="1" t="str">
        <f>IFERROR(__xludf.DUMMYFUNCTION("""COMPUTED_VALUE"""),"")</f>
        <v/>
      </c>
      <c r="E1962" s="1" t="str">
        <f>IFERROR(__xludf.DUMMYFUNCTION("""COMPUTED_VALUE"""),"")</f>
        <v/>
      </c>
    </row>
    <row r="1963">
      <c r="A1963" s="1"/>
      <c r="B1963" s="1" t="str">
        <f>IFERROR(__xludf.DUMMYFUNCTION("""COMPUTED_VALUE"""),"")</f>
        <v/>
      </c>
      <c r="C1963" s="1" t="str">
        <f>IFERROR(__xludf.DUMMYFUNCTION("""COMPUTED_VALUE"""),"")</f>
        <v/>
      </c>
      <c r="D1963" s="1" t="str">
        <f>IFERROR(__xludf.DUMMYFUNCTION("""COMPUTED_VALUE"""),"")</f>
        <v/>
      </c>
      <c r="E1963" s="1" t="str">
        <f>IFERROR(__xludf.DUMMYFUNCTION("""COMPUTED_VALUE"""),"")</f>
        <v/>
      </c>
    </row>
    <row r="1964">
      <c r="A1964" s="1"/>
      <c r="B1964" s="1" t="str">
        <f>IFERROR(__xludf.DUMMYFUNCTION("""COMPUTED_VALUE"""),"")</f>
        <v/>
      </c>
      <c r="C1964" s="1" t="str">
        <f>IFERROR(__xludf.DUMMYFUNCTION("""COMPUTED_VALUE"""),"")</f>
        <v/>
      </c>
      <c r="D1964" s="1" t="str">
        <f>IFERROR(__xludf.DUMMYFUNCTION("""COMPUTED_VALUE"""),"")</f>
        <v/>
      </c>
      <c r="E1964" s="1" t="str">
        <f>IFERROR(__xludf.DUMMYFUNCTION("""COMPUTED_VALUE"""),"")</f>
        <v/>
      </c>
    </row>
    <row r="1965">
      <c r="A1965" s="1"/>
      <c r="B1965" s="1" t="str">
        <f>IFERROR(__xludf.DUMMYFUNCTION("""COMPUTED_VALUE"""),"")</f>
        <v/>
      </c>
      <c r="C1965" s="1" t="str">
        <f>IFERROR(__xludf.DUMMYFUNCTION("""COMPUTED_VALUE"""),"")</f>
        <v/>
      </c>
      <c r="D1965" s="1" t="str">
        <f>IFERROR(__xludf.DUMMYFUNCTION("""COMPUTED_VALUE"""),"")</f>
        <v/>
      </c>
      <c r="E1965" s="1" t="str">
        <f>IFERROR(__xludf.DUMMYFUNCTION("""COMPUTED_VALUE"""),"")</f>
        <v/>
      </c>
    </row>
    <row r="1966">
      <c r="A1966" s="1"/>
      <c r="B1966" s="1" t="str">
        <f>IFERROR(__xludf.DUMMYFUNCTION("""COMPUTED_VALUE"""),"")</f>
        <v/>
      </c>
      <c r="C1966" s="1" t="str">
        <f>IFERROR(__xludf.DUMMYFUNCTION("""COMPUTED_VALUE"""),"")</f>
        <v/>
      </c>
      <c r="D1966" s="1" t="str">
        <f>IFERROR(__xludf.DUMMYFUNCTION("""COMPUTED_VALUE"""),"")</f>
        <v/>
      </c>
      <c r="E1966" s="1" t="str">
        <f>IFERROR(__xludf.DUMMYFUNCTION("""COMPUTED_VALUE"""),"")</f>
        <v/>
      </c>
    </row>
    <row r="1967">
      <c r="A1967" s="1"/>
      <c r="B1967" s="1" t="str">
        <f>IFERROR(__xludf.DUMMYFUNCTION("""COMPUTED_VALUE"""),"")</f>
        <v/>
      </c>
      <c r="C1967" s="1" t="str">
        <f>IFERROR(__xludf.DUMMYFUNCTION("""COMPUTED_VALUE"""),"")</f>
        <v/>
      </c>
      <c r="D1967" s="1" t="str">
        <f>IFERROR(__xludf.DUMMYFUNCTION("""COMPUTED_VALUE"""),"")</f>
        <v/>
      </c>
      <c r="E1967" s="1" t="str">
        <f>IFERROR(__xludf.DUMMYFUNCTION("""COMPUTED_VALUE"""),"")</f>
        <v/>
      </c>
    </row>
    <row r="1968">
      <c r="A1968" s="1"/>
      <c r="B1968" s="1" t="str">
        <f>IFERROR(__xludf.DUMMYFUNCTION("""COMPUTED_VALUE"""),"")</f>
        <v/>
      </c>
      <c r="C1968" s="1" t="str">
        <f>IFERROR(__xludf.DUMMYFUNCTION("""COMPUTED_VALUE"""),"")</f>
        <v/>
      </c>
      <c r="D1968" s="1" t="str">
        <f>IFERROR(__xludf.DUMMYFUNCTION("""COMPUTED_VALUE"""),"")</f>
        <v/>
      </c>
      <c r="E1968" s="1" t="str">
        <f>IFERROR(__xludf.DUMMYFUNCTION("""COMPUTED_VALUE"""),"")</f>
        <v/>
      </c>
    </row>
    <row r="1969">
      <c r="A1969" s="1"/>
      <c r="B1969" s="1" t="str">
        <f>IFERROR(__xludf.DUMMYFUNCTION("""COMPUTED_VALUE"""),"")</f>
        <v/>
      </c>
      <c r="C1969" s="1" t="str">
        <f>IFERROR(__xludf.DUMMYFUNCTION("""COMPUTED_VALUE"""),"")</f>
        <v/>
      </c>
      <c r="D1969" s="1" t="str">
        <f>IFERROR(__xludf.DUMMYFUNCTION("""COMPUTED_VALUE"""),"")</f>
        <v/>
      </c>
      <c r="E1969" s="1" t="str">
        <f>IFERROR(__xludf.DUMMYFUNCTION("""COMPUTED_VALUE"""),"")</f>
        <v/>
      </c>
    </row>
    <row r="1970">
      <c r="A1970" s="1"/>
      <c r="B1970" s="1" t="str">
        <f>IFERROR(__xludf.DUMMYFUNCTION("""COMPUTED_VALUE"""),"")</f>
        <v/>
      </c>
      <c r="C1970" s="1" t="str">
        <f>IFERROR(__xludf.DUMMYFUNCTION("""COMPUTED_VALUE"""),"")</f>
        <v/>
      </c>
      <c r="D1970" s="1" t="str">
        <f>IFERROR(__xludf.DUMMYFUNCTION("""COMPUTED_VALUE"""),"")</f>
        <v/>
      </c>
      <c r="E1970" s="1" t="str">
        <f>IFERROR(__xludf.DUMMYFUNCTION("""COMPUTED_VALUE"""),"")</f>
        <v/>
      </c>
    </row>
    <row r="1971">
      <c r="A1971" s="1"/>
      <c r="B1971" s="1" t="str">
        <f>IFERROR(__xludf.DUMMYFUNCTION("""COMPUTED_VALUE"""),"")</f>
        <v/>
      </c>
      <c r="C1971" s="1" t="str">
        <f>IFERROR(__xludf.DUMMYFUNCTION("""COMPUTED_VALUE"""),"")</f>
        <v/>
      </c>
      <c r="D1971" s="1" t="str">
        <f>IFERROR(__xludf.DUMMYFUNCTION("""COMPUTED_VALUE"""),"")</f>
        <v/>
      </c>
      <c r="E1971" s="1" t="str">
        <f>IFERROR(__xludf.DUMMYFUNCTION("""COMPUTED_VALUE"""),"")</f>
        <v/>
      </c>
    </row>
    <row r="1972">
      <c r="A1972" s="1"/>
      <c r="B1972" s="1" t="str">
        <f>IFERROR(__xludf.DUMMYFUNCTION("""COMPUTED_VALUE"""),"")</f>
        <v/>
      </c>
      <c r="C1972" s="1" t="str">
        <f>IFERROR(__xludf.DUMMYFUNCTION("""COMPUTED_VALUE"""),"")</f>
        <v/>
      </c>
      <c r="D1972" s="1" t="str">
        <f>IFERROR(__xludf.DUMMYFUNCTION("""COMPUTED_VALUE"""),"")</f>
        <v/>
      </c>
      <c r="E1972" s="1" t="str">
        <f>IFERROR(__xludf.DUMMYFUNCTION("""COMPUTED_VALUE"""),"")</f>
        <v/>
      </c>
    </row>
    <row r="1973">
      <c r="A1973" s="1"/>
      <c r="B1973" s="1" t="str">
        <f>IFERROR(__xludf.DUMMYFUNCTION("""COMPUTED_VALUE"""),"")</f>
        <v/>
      </c>
      <c r="C1973" s="1" t="str">
        <f>IFERROR(__xludf.DUMMYFUNCTION("""COMPUTED_VALUE"""),"")</f>
        <v/>
      </c>
      <c r="D1973" s="1" t="str">
        <f>IFERROR(__xludf.DUMMYFUNCTION("""COMPUTED_VALUE"""),"")</f>
        <v/>
      </c>
      <c r="E1973" s="1" t="str">
        <f>IFERROR(__xludf.DUMMYFUNCTION("""COMPUTED_VALUE"""),"")</f>
        <v/>
      </c>
    </row>
    <row r="1974">
      <c r="A1974" s="1"/>
      <c r="B1974" s="1" t="str">
        <f>IFERROR(__xludf.DUMMYFUNCTION("""COMPUTED_VALUE"""),"")</f>
        <v/>
      </c>
      <c r="C1974" s="1" t="str">
        <f>IFERROR(__xludf.DUMMYFUNCTION("""COMPUTED_VALUE"""),"")</f>
        <v/>
      </c>
      <c r="D1974" s="1" t="str">
        <f>IFERROR(__xludf.DUMMYFUNCTION("""COMPUTED_VALUE"""),"")</f>
        <v/>
      </c>
      <c r="E1974" s="1" t="str">
        <f>IFERROR(__xludf.DUMMYFUNCTION("""COMPUTED_VALUE"""),"")</f>
        <v/>
      </c>
    </row>
    <row r="1975">
      <c r="A1975" s="1"/>
      <c r="B1975" s="1" t="str">
        <f>IFERROR(__xludf.DUMMYFUNCTION("""COMPUTED_VALUE"""),"")</f>
        <v/>
      </c>
      <c r="C1975" s="1" t="str">
        <f>IFERROR(__xludf.DUMMYFUNCTION("""COMPUTED_VALUE"""),"")</f>
        <v/>
      </c>
      <c r="D1975" s="1" t="str">
        <f>IFERROR(__xludf.DUMMYFUNCTION("""COMPUTED_VALUE"""),"")</f>
        <v/>
      </c>
      <c r="E1975" s="1" t="str">
        <f>IFERROR(__xludf.DUMMYFUNCTION("""COMPUTED_VALUE"""),"")</f>
        <v/>
      </c>
    </row>
    <row r="1976">
      <c r="A1976" s="1"/>
      <c r="B1976" s="1" t="str">
        <f>IFERROR(__xludf.DUMMYFUNCTION("""COMPUTED_VALUE"""),"")</f>
        <v/>
      </c>
      <c r="C1976" s="1" t="str">
        <f>IFERROR(__xludf.DUMMYFUNCTION("""COMPUTED_VALUE"""),"")</f>
        <v/>
      </c>
      <c r="D1976" s="1" t="str">
        <f>IFERROR(__xludf.DUMMYFUNCTION("""COMPUTED_VALUE"""),"")</f>
        <v/>
      </c>
      <c r="E1976" s="1" t="str">
        <f>IFERROR(__xludf.DUMMYFUNCTION("""COMPUTED_VALUE"""),"")</f>
        <v/>
      </c>
    </row>
    <row r="1977">
      <c r="A1977" s="1"/>
      <c r="B1977" s="1" t="str">
        <f>IFERROR(__xludf.DUMMYFUNCTION("""COMPUTED_VALUE"""),"")</f>
        <v/>
      </c>
      <c r="C1977" s="1" t="str">
        <f>IFERROR(__xludf.DUMMYFUNCTION("""COMPUTED_VALUE"""),"")</f>
        <v/>
      </c>
      <c r="D1977" s="1" t="str">
        <f>IFERROR(__xludf.DUMMYFUNCTION("""COMPUTED_VALUE"""),"")</f>
        <v/>
      </c>
      <c r="E1977" s="1" t="str">
        <f>IFERROR(__xludf.DUMMYFUNCTION("""COMPUTED_VALUE"""),"")</f>
        <v/>
      </c>
    </row>
    <row r="1978">
      <c r="A1978" s="1"/>
      <c r="B1978" s="1" t="str">
        <f>IFERROR(__xludf.DUMMYFUNCTION("""COMPUTED_VALUE"""),"")</f>
        <v/>
      </c>
      <c r="C1978" s="1" t="str">
        <f>IFERROR(__xludf.DUMMYFUNCTION("""COMPUTED_VALUE"""),"")</f>
        <v/>
      </c>
      <c r="D1978" s="1" t="str">
        <f>IFERROR(__xludf.DUMMYFUNCTION("""COMPUTED_VALUE"""),"")</f>
        <v/>
      </c>
      <c r="E1978" s="1" t="str">
        <f>IFERROR(__xludf.DUMMYFUNCTION("""COMPUTED_VALUE"""),"")</f>
        <v/>
      </c>
    </row>
    <row r="1979">
      <c r="A1979" s="1"/>
      <c r="B1979" s="1" t="str">
        <f>IFERROR(__xludf.DUMMYFUNCTION("""COMPUTED_VALUE"""),"")</f>
        <v/>
      </c>
      <c r="C1979" s="1" t="str">
        <f>IFERROR(__xludf.DUMMYFUNCTION("""COMPUTED_VALUE"""),"")</f>
        <v/>
      </c>
      <c r="D1979" s="1" t="str">
        <f>IFERROR(__xludf.DUMMYFUNCTION("""COMPUTED_VALUE"""),"")</f>
        <v/>
      </c>
      <c r="E1979" s="1" t="str">
        <f>IFERROR(__xludf.DUMMYFUNCTION("""COMPUTED_VALUE"""),"")</f>
        <v/>
      </c>
    </row>
    <row r="1980">
      <c r="A1980" s="1"/>
      <c r="B1980" s="1" t="str">
        <f>IFERROR(__xludf.DUMMYFUNCTION("""COMPUTED_VALUE"""),"")</f>
        <v/>
      </c>
      <c r="C1980" s="1" t="str">
        <f>IFERROR(__xludf.DUMMYFUNCTION("""COMPUTED_VALUE"""),"")</f>
        <v/>
      </c>
      <c r="D1980" s="1" t="str">
        <f>IFERROR(__xludf.DUMMYFUNCTION("""COMPUTED_VALUE"""),"")</f>
        <v/>
      </c>
      <c r="E1980" s="1" t="str">
        <f>IFERROR(__xludf.DUMMYFUNCTION("""COMPUTED_VALUE"""),"")</f>
        <v/>
      </c>
    </row>
    <row r="1981">
      <c r="A1981" s="1"/>
      <c r="B1981" s="1" t="str">
        <f>IFERROR(__xludf.DUMMYFUNCTION("""COMPUTED_VALUE"""),"")</f>
        <v/>
      </c>
      <c r="C1981" s="1" t="str">
        <f>IFERROR(__xludf.DUMMYFUNCTION("""COMPUTED_VALUE"""),"")</f>
        <v/>
      </c>
      <c r="D1981" s="1" t="str">
        <f>IFERROR(__xludf.DUMMYFUNCTION("""COMPUTED_VALUE"""),"")</f>
        <v/>
      </c>
      <c r="E1981" s="1" t="str">
        <f>IFERROR(__xludf.DUMMYFUNCTION("""COMPUTED_VALUE"""),"")</f>
        <v/>
      </c>
    </row>
    <row r="1982">
      <c r="A1982" s="1"/>
      <c r="B1982" s="1" t="str">
        <f>IFERROR(__xludf.DUMMYFUNCTION("""COMPUTED_VALUE"""),"")</f>
        <v/>
      </c>
      <c r="C1982" s="1" t="str">
        <f>IFERROR(__xludf.DUMMYFUNCTION("""COMPUTED_VALUE"""),"")</f>
        <v/>
      </c>
      <c r="D1982" s="1" t="str">
        <f>IFERROR(__xludf.DUMMYFUNCTION("""COMPUTED_VALUE"""),"")</f>
        <v/>
      </c>
      <c r="E1982" s="1" t="str">
        <f>IFERROR(__xludf.DUMMYFUNCTION("""COMPUTED_VALUE"""),"")</f>
        <v/>
      </c>
    </row>
    <row r="1983">
      <c r="A1983" s="1"/>
      <c r="B1983" s="1" t="str">
        <f>IFERROR(__xludf.DUMMYFUNCTION("""COMPUTED_VALUE"""),"")</f>
        <v/>
      </c>
      <c r="C1983" s="1" t="str">
        <f>IFERROR(__xludf.DUMMYFUNCTION("""COMPUTED_VALUE"""),"")</f>
        <v/>
      </c>
      <c r="D1983" s="1" t="str">
        <f>IFERROR(__xludf.DUMMYFUNCTION("""COMPUTED_VALUE"""),"")</f>
        <v/>
      </c>
      <c r="E1983" s="1" t="str">
        <f>IFERROR(__xludf.DUMMYFUNCTION("""COMPUTED_VALUE"""),"")</f>
        <v/>
      </c>
    </row>
    <row r="1984">
      <c r="A1984" s="1"/>
      <c r="B1984" s="1" t="str">
        <f>IFERROR(__xludf.DUMMYFUNCTION("""COMPUTED_VALUE"""),"")</f>
        <v/>
      </c>
      <c r="C1984" s="1" t="str">
        <f>IFERROR(__xludf.DUMMYFUNCTION("""COMPUTED_VALUE"""),"")</f>
        <v/>
      </c>
      <c r="D1984" s="1" t="str">
        <f>IFERROR(__xludf.DUMMYFUNCTION("""COMPUTED_VALUE"""),"")</f>
        <v/>
      </c>
      <c r="E1984" s="1" t="str">
        <f>IFERROR(__xludf.DUMMYFUNCTION("""COMPUTED_VALUE"""),"")</f>
        <v/>
      </c>
    </row>
    <row r="1985">
      <c r="A1985" s="1"/>
      <c r="B1985" s="1" t="str">
        <f>IFERROR(__xludf.DUMMYFUNCTION("""COMPUTED_VALUE"""),"")</f>
        <v/>
      </c>
      <c r="C1985" s="1" t="str">
        <f>IFERROR(__xludf.DUMMYFUNCTION("""COMPUTED_VALUE"""),"")</f>
        <v/>
      </c>
      <c r="D1985" s="1" t="str">
        <f>IFERROR(__xludf.DUMMYFUNCTION("""COMPUTED_VALUE"""),"")</f>
        <v/>
      </c>
      <c r="E1985" s="1" t="str">
        <f>IFERROR(__xludf.DUMMYFUNCTION("""COMPUTED_VALUE"""),"")</f>
        <v/>
      </c>
    </row>
    <row r="1986">
      <c r="A1986" s="1"/>
      <c r="B1986" s="1" t="str">
        <f>IFERROR(__xludf.DUMMYFUNCTION("""COMPUTED_VALUE"""),"")</f>
        <v/>
      </c>
      <c r="C1986" s="1" t="str">
        <f>IFERROR(__xludf.DUMMYFUNCTION("""COMPUTED_VALUE"""),"")</f>
        <v/>
      </c>
      <c r="D1986" s="1" t="str">
        <f>IFERROR(__xludf.DUMMYFUNCTION("""COMPUTED_VALUE"""),"")</f>
        <v/>
      </c>
      <c r="E1986" s="1" t="str">
        <f>IFERROR(__xludf.DUMMYFUNCTION("""COMPUTED_VALUE"""),"")</f>
        <v/>
      </c>
    </row>
    <row r="1987">
      <c r="A1987" s="1"/>
      <c r="B1987" s="1" t="str">
        <f>IFERROR(__xludf.DUMMYFUNCTION("""COMPUTED_VALUE"""),"")</f>
        <v/>
      </c>
      <c r="C1987" s="1" t="str">
        <f>IFERROR(__xludf.DUMMYFUNCTION("""COMPUTED_VALUE"""),"")</f>
        <v/>
      </c>
      <c r="D1987" s="1" t="str">
        <f>IFERROR(__xludf.DUMMYFUNCTION("""COMPUTED_VALUE"""),"")</f>
        <v/>
      </c>
      <c r="E1987" s="1" t="str">
        <f>IFERROR(__xludf.DUMMYFUNCTION("""COMPUTED_VALUE"""),"")</f>
        <v/>
      </c>
    </row>
    <row r="1988">
      <c r="A1988" s="1"/>
      <c r="B1988" s="1" t="str">
        <f>IFERROR(__xludf.DUMMYFUNCTION("""COMPUTED_VALUE"""),"")</f>
        <v/>
      </c>
      <c r="C1988" s="1" t="str">
        <f>IFERROR(__xludf.DUMMYFUNCTION("""COMPUTED_VALUE"""),"")</f>
        <v/>
      </c>
      <c r="D1988" s="1" t="str">
        <f>IFERROR(__xludf.DUMMYFUNCTION("""COMPUTED_VALUE"""),"")</f>
        <v/>
      </c>
      <c r="E1988" s="1" t="str">
        <f>IFERROR(__xludf.DUMMYFUNCTION("""COMPUTED_VALUE"""),"")</f>
        <v/>
      </c>
    </row>
    <row r="1989">
      <c r="A1989" s="1"/>
      <c r="B1989" s="1" t="str">
        <f>IFERROR(__xludf.DUMMYFUNCTION("""COMPUTED_VALUE"""),"")</f>
        <v/>
      </c>
      <c r="C1989" s="1" t="str">
        <f>IFERROR(__xludf.DUMMYFUNCTION("""COMPUTED_VALUE"""),"")</f>
        <v/>
      </c>
      <c r="D1989" s="1" t="str">
        <f>IFERROR(__xludf.DUMMYFUNCTION("""COMPUTED_VALUE"""),"")</f>
        <v/>
      </c>
      <c r="E1989" s="1" t="str">
        <f>IFERROR(__xludf.DUMMYFUNCTION("""COMPUTED_VALUE"""),"")</f>
        <v/>
      </c>
    </row>
    <row r="1990">
      <c r="A1990" s="1"/>
      <c r="B1990" s="1" t="str">
        <f>IFERROR(__xludf.DUMMYFUNCTION("""COMPUTED_VALUE"""),"")</f>
        <v/>
      </c>
      <c r="C1990" s="1" t="str">
        <f>IFERROR(__xludf.DUMMYFUNCTION("""COMPUTED_VALUE"""),"")</f>
        <v/>
      </c>
      <c r="D1990" s="1" t="str">
        <f>IFERROR(__xludf.DUMMYFUNCTION("""COMPUTED_VALUE"""),"")</f>
        <v/>
      </c>
      <c r="E1990" s="1" t="str">
        <f>IFERROR(__xludf.DUMMYFUNCTION("""COMPUTED_VALUE"""),"")</f>
        <v/>
      </c>
    </row>
    <row r="1991">
      <c r="A1991" s="1"/>
      <c r="B1991" s="1" t="str">
        <f>IFERROR(__xludf.DUMMYFUNCTION("""COMPUTED_VALUE"""),"")</f>
        <v/>
      </c>
      <c r="C1991" s="1" t="str">
        <f>IFERROR(__xludf.DUMMYFUNCTION("""COMPUTED_VALUE"""),"")</f>
        <v/>
      </c>
      <c r="D1991" s="1" t="str">
        <f>IFERROR(__xludf.DUMMYFUNCTION("""COMPUTED_VALUE"""),"")</f>
        <v/>
      </c>
      <c r="E1991" s="1" t="str">
        <f>IFERROR(__xludf.DUMMYFUNCTION("""COMPUTED_VALUE"""),"")</f>
        <v/>
      </c>
    </row>
    <row r="1992">
      <c r="A1992" s="1"/>
      <c r="B1992" s="1" t="str">
        <f>IFERROR(__xludf.DUMMYFUNCTION("""COMPUTED_VALUE"""),"")</f>
        <v/>
      </c>
      <c r="C1992" s="1" t="str">
        <f>IFERROR(__xludf.DUMMYFUNCTION("""COMPUTED_VALUE"""),"")</f>
        <v/>
      </c>
      <c r="D1992" s="1" t="str">
        <f>IFERROR(__xludf.DUMMYFUNCTION("""COMPUTED_VALUE"""),"")</f>
        <v/>
      </c>
      <c r="E1992" s="1" t="str">
        <f>IFERROR(__xludf.DUMMYFUNCTION("""COMPUTED_VALUE"""),"")</f>
        <v/>
      </c>
    </row>
    <row r="1993">
      <c r="A1993" s="1"/>
      <c r="B1993" s="1" t="str">
        <f>IFERROR(__xludf.DUMMYFUNCTION("""COMPUTED_VALUE"""),"")</f>
        <v/>
      </c>
      <c r="C1993" s="1" t="str">
        <f>IFERROR(__xludf.DUMMYFUNCTION("""COMPUTED_VALUE"""),"")</f>
        <v/>
      </c>
      <c r="D1993" s="1" t="str">
        <f>IFERROR(__xludf.DUMMYFUNCTION("""COMPUTED_VALUE"""),"")</f>
        <v/>
      </c>
      <c r="E1993" s="1" t="str">
        <f>IFERROR(__xludf.DUMMYFUNCTION("""COMPUTED_VALUE"""),"")</f>
        <v/>
      </c>
    </row>
    <row r="1994">
      <c r="A1994" s="1"/>
      <c r="B1994" s="1" t="str">
        <f>IFERROR(__xludf.DUMMYFUNCTION("""COMPUTED_VALUE"""),"")</f>
        <v/>
      </c>
      <c r="C1994" s="1" t="str">
        <f>IFERROR(__xludf.DUMMYFUNCTION("""COMPUTED_VALUE"""),"")</f>
        <v/>
      </c>
      <c r="D1994" s="1" t="str">
        <f>IFERROR(__xludf.DUMMYFUNCTION("""COMPUTED_VALUE"""),"")</f>
        <v/>
      </c>
      <c r="E1994" s="1" t="str">
        <f>IFERROR(__xludf.DUMMYFUNCTION("""COMPUTED_VALUE"""),"")</f>
        <v/>
      </c>
    </row>
    <row r="1995">
      <c r="A1995" s="1"/>
      <c r="B1995" s="1" t="str">
        <f>IFERROR(__xludf.DUMMYFUNCTION("""COMPUTED_VALUE"""),"")</f>
        <v/>
      </c>
      <c r="C1995" s="1" t="str">
        <f>IFERROR(__xludf.DUMMYFUNCTION("""COMPUTED_VALUE"""),"")</f>
        <v/>
      </c>
      <c r="D1995" s="1" t="str">
        <f>IFERROR(__xludf.DUMMYFUNCTION("""COMPUTED_VALUE"""),"")</f>
        <v/>
      </c>
      <c r="E1995" s="1" t="str">
        <f>IFERROR(__xludf.DUMMYFUNCTION("""COMPUTED_VALUE"""),"")</f>
        <v/>
      </c>
    </row>
    <row r="1996">
      <c r="A1996" s="1"/>
      <c r="B1996" s="1" t="str">
        <f>IFERROR(__xludf.DUMMYFUNCTION("""COMPUTED_VALUE"""),"")</f>
        <v/>
      </c>
      <c r="C1996" s="1" t="str">
        <f>IFERROR(__xludf.DUMMYFUNCTION("""COMPUTED_VALUE"""),"")</f>
        <v/>
      </c>
      <c r="D1996" s="1" t="str">
        <f>IFERROR(__xludf.DUMMYFUNCTION("""COMPUTED_VALUE"""),"")</f>
        <v/>
      </c>
      <c r="E1996" s="1" t="str">
        <f>IFERROR(__xludf.DUMMYFUNCTION("""COMPUTED_VALUE"""),"")</f>
        <v/>
      </c>
    </row>
    <row r="1997">
      <c r="A1997" s="1"/>
      <c r="B1997" s="1" t="str">
        <f>IFERROR(__xludf.DUMMYFUNCTION("""COMPUTED_VALUE"""),"")</f>
        <v/>
      </c>
      <c r="C1997" s="1" t="str">
        <f>IFERROR(__xludf.DUMMYFUNCTION("""COMPUTED_VALUE"""),"")</f>
        <v/>
      </c>
      <c r="D1997" s="1" t="str">
        <f>IFERROR(__xludf.DUMMYFUNCTION("""COMPUTED_VALUE"""),"")</f>
        <v/>
      </c>
      <c r="E1997" s="1" t="str">
        <f>IFERROR(__xludf.DUMMYFUNCTION("""COMPUTED_VALUE"""),"")</f>
        <v/>
      </c>
    </row>
    <row r="1998">
      <c r="A1998" s="1"/>
      <c r="B1998" s="1" t="str">
        <f>IFERROR(__xludf.DUMMYFUNCTION("""COMPUTED_VALUE"""),"")</f>
        <v/>
      </c>
      <c r="C1998" s="1" t="str">
        <f>IFERROR(__xludf.DUMMYFUNCTION("""COMPUTED_VALUE"""),"")</f>
        <v/>
      </c>
      <c r="D1998" s="1" t="str">
        <f>IFERROR(__xludf.DUMMYFUNCTION("""COMPUTED_VALUE"""),"")</f>
        <v/>
      </c>
      <c r="E1998" s="1" t="str">
        <f>IFERROR(__xludf.DUMMYFUNCTION("""COMPUTED_VALUE"""),"")</f>
        <v/>
      </c>
    </row>
    <row r="1999">
      <c r="A1999" s="1"/>
      <c r="B1999" s="1" t="str">
        <f>IFERROR(__xludf.DUMMYFUNCTION("""COMPUTED_VALUE"""),"")</f>
        <v/>
      </c>
      <c r="C1999" s="1" t="str">
        <f>IFERROR(__xludf.DUMMYFUNCTION("""COMPUTED_VALUE"""),"")</f>
        <v/>
      </c>
      <c r="D1999" s="1" t="str">
        <f>IFERROR(__xludf.DUMMYFUNCTION("""COMPUTED_VALUE"""),"")</f>
        <v/>
      </c>
      <c r="E1999" s="1" t="str">
        <f>IFERROR(__xludf.DUMMYFUNCTION("""COMPUTED_VALUE"""),"")</f>
        <v/>
      </c>
    </row>
    <row r="2000">
      <c r="A2000" s="1"/>
      <c r="B2000" s="1" t="str">
        <f>IFERROR(__xludf.DUMMYFUNCTION("""COMPUTED_VALUE"""),"")</f>
        <v/>
      </c>
      <c r="C2000" s="1" t="str">
        <f>IFERROR(__xludf.DUMMYFUNCTION("""COMPUTED_VALUE"""),"")</f>
        <v/>
      </c>
      <c r="D2000" s="1" t="str">
        <f>IFERROR(__xludf.DUMMYFUNCTION("""COMPUTED_VALUE"""),"")</f>
        <v/>
      </c>
      <c r="E2000" s="1" t="str">
        <f>IFERROR(__xludf.DUMMYFUNCTION("""COMPUTED_VALUE"""),"")</f>
        <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63"/>
    <col customWidth="1" min="10" max="10" width="8.75"/>
    <col customWidth="1" min="11" max="11" width="9.25"/>
    <col customWidth="1" min="12" max="12" width="8.38"/>
    <col customWidth="1" min="13" max="13" width="8.63"/>
    <col customWidth="1" min="14" max="14" width="9.25"/>
    <col customWidth="1" min="15" max="15" width="8.38"/>
    <col customWidth="1" min="16" max="16" width="8.63"/>
    <col customWidth="1" min="17" max="17" width="14.75"/>
    <col customWidth="1" min="18" max="18" width="8.38"/>
  </cols>
  <sheetData>
    <row r="1">
      <c r="A1" s="2"/>
      <c r="B1" s="2" t="s">
        <v>0</v>
      </c>
      <c r="I1" s="2"/>
      <c r="J1" s="3" t="s">
        <v>1</v>
      </c>
      <c r="S1" s="4"/>
      <c r="T1" s="4"/>
      <c r="U1" s="4"/>
      <c r="V1" s="4"/>
      <c r="W1" s="4"/>
      <c r="X1" s="4"/>
      <c r="Y1" s="4"/>
      <c r="Z1" s="4"/>
    </row>
    <row r="2">
      <c r="A2" s="5" t="s">
        <v>2</v>
      </c>
      <c r="B2" s="6" t="s">
        <v>3</v>
      </c>
      <c r="C2" s="6" t="s">
        <v>4</v>
      </c>
      <c r="D2" s="6" t="s">
        <v>5</v>
      </c>
      <c r="E2" s="6" t="s">
        <v>6</v>
      </c>
      <c r="F2" s="6" t="s">
        <v>7</v>
      </c>
      <c r="G2" s="6" t="s">
        <v>8</v>
      </c>
      <c r="H2" s="6" t="s">
        <v>9</v>
      </c>
      <c r="I2" s="7"/>
      <c r="J2" s="8" t="s">
        <v>10</v>
      </c>
      <c r="K2" s="9"/>
      <c r="L2" s="10"/>
      <c r="M2" s="8" t="s">
        <v>11</v>
      </c>
      <c r="N2" s="9"/>
      <c r="O2" s="10"/>
      <c r="P2" s="8" t="s">
        <v>12</v>
      </c>
      <c r="Q2" s="9"/>
      <c r="R2" s="10"/>
      <c r="S2" s="4"/>
      <c r="T2" s="4"/>
      <c r="U2" s="4"/>
      <c r="V2" s="4"/>
      <c r="W2" s="4"/>
      <c r="X2" s="4"/>
      <c r="Y2" s="4"/>
      <c r="Z2" s="4"/>
    </row>
    <row r="3">
      <c r="A3" s="11" t="s">
        <v>13</v>
      </c>
      <c r="B3" s="12" t="s">
        <v>14</v>
      </c>
      <c r="C3" s="13"/>
      <c r="D3" s="13"/>
      <c r="E3" s="14"/>
      <c r="F3" s="13"/>
      <c r="G3" s="13"/>
      <c r="H3" s="13"/>
      <c r="I3" s="15"/>
      <c r="J3" s="16" t="s">
        <v>15</v>
      </c>
      <c r="K3" s="16" t="s">
        <v>16</v>
      </c>
      <c r="L3" s="16" t="s">
        <v>17</v>
      </c>
      <c r="M3" s="16" t="s">
        <v>15</v>
      </c>
      <c r="N3" s="16" t="s">
        <v>16</v>
      </c>
      <c r="O3" s="16" t="s">
        <v>17</v>
      </c>
      <c r="P3" s="16" t="s">
        <v>15</v>
      </c>
      <c r="Q3" s="16" t="s">
        <v>16</v>
      </c>
      <c r="R3" s="16" t="s">
        <v>17</v>
      </c>
      <c r="S3" s="4"/>
      <c r="T3" s="4"/>
      <c r="U3" s="4"/>
      <c r="V3" s="4"/>
      <c r="W3" s="4"/>
      <c r="X3" s="4"/>
      <c r="Y3" s="4"/>
      <c r="Z3" s="4"/>
    </row>
    <row r="4">
      <c r="A4" s="17"/>
      <c r="B4" s="12" t="s">
        <v>18</v>
      </c>
      <c r="C4" s="13"/>
      <c r="D4" s="13"/>
      <c r="E4" s="14"/>
      <c r="F4" s="13"/>
      <c r="G4" s="13"/>
      <c r="H4" s="13"/>
      <c r="I4" s="15"/>
      <c r="J4" s="18"/>
      <c r="K4" s="18"/>
      <c r="L4" s="18"/>
      <c r="M4" s="18"/>
      <c r="N4" s="18"/>
      <c r="O4" s="18"/>
      <c r="P4" s="18"/>
      <c r="Q4" s="18" t="s">
        <v>19</v>
      </c>
      <c r="R4" s="18"/>
      <c r="S4" s="4"/>
      <c r="T4" s="4"/>
      <c r="U4" s="4"/>
      <c r="V4" s="4"/>
      <c r="W4" s="4"/>
      <c r="X4" s="4"/>
      <c r="Y4" s="4"/>
      <c r="Z4" s="4"/>
    </row>
    <row r="5">
      <c r="A5" s="19" t="s">
        <v>20</v>
      </c>
      <c r="B5" s="20" t="s">
        <v>21</v>
      </c>
      <c r="C5" s="21"/>
      <c r="D5" s="21"/>
      <c r="E5" s="22"/>
      <c r="F5" s="21"/>
      <c r="G5" s="21"/>
      <c r="H5" s="21"/>
      <c r="I5" s="15"/>
      <c r="J5" s="18"/>
      <c r="K5" s="18"/>
      <c r="L5" s="18"/>
      <c r="M5" s="18"/>
      <c r="N5" s="18"/>
      <c r="O5" s="18"/>
      <c r="P5" s="18"/>
      <c r="Q5" s="18" t="s">
        <v>22</v>
      </c>
      <c r="R5" s="18"/>
      <c r="S5" s="4"/>
      <c r="T5" s="4"/>
      <c r="U5" s="4"/>
      <c r="V5" s="4"/>
      <c r="W5" s="4"/>
      <c r="X5" s="4"/>
      <c r="Y5" s="4"/>
      <c r="Z5" s="4"/>
    </row>
    <row r="6">
      <c r="A6" s="23"/>
      <c r="B6" s="20" t="s">
        <v>23</v>
      </c>
      <c r="C6" s="21"/>
      <c r="D6" s="21"/>
      <c r="E6" s="22"/>
      <c r="F6" s="21"/>
      <c r="G6" s="21"/>
      <c r="H6" s="21"/>
      <c r="I6" s="15"/>
      <c r="J6" s="18"/>
      <c r="K6" s="18"/>
      <c r="L6" s="18"/>
      <c r="M6" s="18"/>
      <c r="N6" s="18"/>
      <c r="O6" s="18"/>
      <c r="P6" s="18"/>
      <c r="Q6" s="18" t="s">
        <v>24</v>
      </c>
      <c r="R6" s="18"/>
      <c r="S6" s="4"/>
      <c r="T6" s="4"/>
      <c r="U6" s="4"/>
      <c r="V6" s="4"/>
      <c r="W6" s="4"/>
      <c r="X6" s="4"/>
      <c r="Y6" s="4"/>
      <c r="Z6" s="4"/>
    </row>
    <row r="7">
      <c r="A7" s="23"/>
      <c r="B7" s="20" t="s">
        <v>25</v>
      </c>
      <c r="C7" s="21"/>
      <c r="D7" s="21"/>
      <c r="E7" s="22"/>
      <c r="F7" s="21"/>
      <c r="G7" s="21"/>
      <c r="H7" s="21"/>
      <c r="I7" s="15"/>
      <c r="J7" s="18"/>
      <c r="K7" s="18"/>
      <c r="L7" s="18"/>
      <c r="M7" s="18"/>
      <c r="N7" s="18"/>
      <c r="O7" s="18"/>
      <c r="P7" s="18"/>
      <c r="Q7" s="18"/>
      <c r="R7" s="18"/>
      <c r="S7" s="4"/>
      <c r="T7" s="4"/>
      <c r="U7" s="4"/>
      <c r="V7" s="4"/>
      <c r="W7" s="4"/>
      <c r="X7" s="4"/>
      <c r="Y7" s="4"/>
      <c r="Z7" s="4"/>
    </row>
    <row r="8">
      <c r="A8" s="23"/>
      <c r="B8" s="20" t="s">
        <v>26</v>
      </c>
      <c r="C8" s="21"/>
      <c r="D8" s="21"/>
      <c r="E8" s="22"/>
      <c r="F8" s="21"/>
      <c r="G8" s="21"/>
      <c r="H8" s="21"/>
      <c r="I8" s="15"/>
      <c r="J8" s="18"/>
      <c r="K8" s="18"/>
      <c r="L8" s="18"/>
      <c r="M8" s="18"/>
      <c r="N8" s="18"/>
      <c r="O8" s="18"/>
      <c r="P8" s="18"/>
      <c r="Q8" s="18"/>
      <c r="R8" s="18"/>
      <c r="S8" s="4"/>
      <c r="T8" s="4"/>
      <c r="U8" s="4"/>
      <c r="V8" s="4"/>
      <c r="W8" s="4"/>
      <c r="X8" s="4"/>
      <c r="Y8" s="4"/>
      <c r="Z8" s="4"/>
    </row>
    <row r="9">
      <c r="A9" s="23"/>
      <c r="B9" s="20" t="s">
        <v>27</v>
      </c>
      <c r="C9" s="21"/>
      <c r="D9" s="21"/>
      <c r="E9" s="22"/>
      <c r="F9" s="21"/>
      <c r="G9" s="21"/>
      <c r="H9" s="21"/>
      <c r="I9" s="15"/>
      <c r="J9" s="18"/>
      <c r="K9" s="18"/>
      <c r="L9" s="18"/>
      <c r="M9" s="18"/>
      <c r="N9" s="18"/>
      <c r="O9" s="18"/>
      <c r="P9" s="18"/>
      <c r="Q9" s="18"/>
      <c r="R9" s="18"/>
      <c r="S9" s="4"/>
      <c r="T9" s="4"/>
      <c r="U9" s="4"/>
      <c r="V9" s="4"/>
      <c r="W9" s="4"/>
      <c r="X9" s="4"/>
      <c r="Y9" s="4"/>
      <c r="Z9" s="4"/>
    </row>
    <row r="10">
      <c r="A10" s="23"/>
      <c r="B10" s="20" t="s">
        <v>28</v>
      </c>
      <c r="C10" s="21"/>
      <c r="D10" s="21"/>
      <c r="E10" s="22"/>
      <c r="F10" s="21"/>
      <c r="G10" s="21"/>
      <c r="H10" s="21"/>
      <c r="I10" s="15"/>
      <c r="J10" s="18"/>
      <c r="K10" s="18"/>
      <c r="L10" s="18"/>
      <c r="M10" s="18"/>
      <c r="N10" s="18"/>
      <c r="O10" s="18"/>
      <c r="P10" s="18"/>
      <c r="Q10" s="18"/>
      <c r="R10" s="18"/>
      <c r="S10" s="4"/>
      <c r="T10" s="4"/>
      <c r="U10" s="4"/>
      <c r="V10" s="4"/>
      <c r="W10" s="4"/>
      <c r="X10" s="4"/>
      <c r="Y10" s="4"/>
      <c r="Z10" s="4"/>
    </row>
    <row r="11">
      <c r="A11" s="23"/>
      <c r="B11" s="20" t="s">
        <v>29</v>
      </c>
      <c r="C11" s="21"/>
      <c r="D11" s="21"/>
      <c r="E11" s="22"/>
      <c r="F11" s="21"/>
      <c r="G11" s="21"/>
      <c r="H11" s="21"/>
      <c r="I11" s="15"/>
      <c r="J11" s="18"/>
      <c r="K11" s="18"/>
      <c r="L11" s="18"/>
      <c r="M11" s="18"/>
      <c r="N11" s="18"/>
      <c r="O11" s="18"/>
      <c r="P11" s="18"/>
      <c r="Q11" s="18"/>
      <c r="R11" s="18"/>
      <c r="S11" s="4"/>
      <c r="T11" s="4"/>
      <c r="U11" s="4"/>
      <c r="V11" s="4"/>
      <c r="W11" s="4"/>
      <c r="X11" s="4"/>
      <c r="Y11" s="4"/>
      <c r="Z11" s="4"/>
    </row>
    <row r="12">
      <c r="A12" s="23"/>
      <c r="B12" s="20" t="s">
        <v>30</v>
      </c>
      <c r="C12" s="21"/>
      <c r="D12" s="21"/>
      <c r="E12" s="22"/>
      <c r="F12" s="21"/>
      <c r="G12" s="21"/>
      <c r="H12" s="21"/>
      <c r="I12" s="15"/>
      <c r="J12" s="18"/>
      <c r="K12" s="18"/>
      <c r="L12" s="18"/>
      <c r="M12" s="18"/>
      <c r="N12" s="18"/>
      <c r="O12" s="18"/>
      <c r="P12" s="18"/>
      <c r="Q12" s="18"/>
      <c r="R12" s="18"/>
      <c r="S12" s="4"/>
      <c r="T12" s="4"/>
      <c r="U12" s="4"/>
      <c r="V12" s="4"/>
      <c r="W12" s="4"/>
      <c r="X12" s="4"/>
      <c r="Y12" s="4"/>
      <c r="Z12" s="4"/>
    </row>
    <row r="13">
      <c r="A13" s="23"/>
      <c r="B13" s="20" t="s">
        <v>31</v>
      </c>
      <c r="C13" s="21"/>
      <c r="D13" s="21"/>
      <c r="E13" s="22"/>
      <c r="F13" s="21"/>
      <c r="G13" s="21"/>
      <c r="H13" s="21"/>
      <c r="I13" s="15"/>
      <c r="J13" s="18"/>
      <c r="K13" s="18"/>
      <c r="L13" s="18"/>
      <c r="M13" s="18"/>
      <c r="N13" s="18"/>
      <c r="O13" s="18"/>
      <c r="P13" s="18"/>
      <c r="Q13" s="18"/>
      <c r="R13" s="18"/>
      <c r="S13" s="4"/>
      <c r="T13" s="4"/>
      <c r="U13" s="4"/>
      <c r="V13" s="4"/>
      <c r="W13" s="4"/>
      <c r="X13" s="4"/>
      <c r="Y13" s="4"/>
      <c r="Z13" s="4"/>
    </row>
    <row r="14">
      <c r="A14" s="23"/>
      <c r="B14" s="20" t="s">
        <v>32</v>
      </c>
      <c r="C14" s="21"/>
      <c r="D14" s="21"/>
      <c r="E14" s="22"/>
      <c r="F14" s="21"/>
      <c r="G14" s="21"/>
      <c r="H14" s="21"/>
      <c r="I14" s="15"/>
      <c r="J14" s="18"/>
      <c r="K14" s="18"/>
      <c r="L14" s="18"/>
      <c r="M14" s="18"/>
      <c r="N14" s="18"/>
      <c r="O14" s="18"/>
      <c r="P14" s="18"/>
      <c r="Q14" s="18"/>
      <c r="R14" s="18"/>
      <c r="S14" s="4"/>
      <c r="T14" s="4"/>
      <c r="U14" s="4"/>
      <c r="V14" s="4"/>
      <c r="W14" s="4"/>
      <c r="X14" s="4"/>
      <c r="Y14" s="4"/>
      <c r="Z14" s="4"/>
    </row>
    <row r="15">
      <c r="A15" s="23"/>
      <c r="B15" s="20" t="s">
        <v>33</v>
      </c>
      <c r="C15" s="21"/>
      <c r="D15" s="21"/>
      <c r="E15" s="22"/>
      <c r="F15" s="21"/>
      <c r="G15" s="21"/>
      <c r="H15" s="21"/>
      <c r="I15" s="15"/>
      <c r="J15" s="18"/>
      <c r="K15" s="18"/>
      <c r="L15" s="18"/>
      <c r="M15" s="18"/>
      <c r="N15" s="18"/>
      <c r="O15" s="18"/>
      <c r="P15" s="18"/>
      <c r="Q15" s="18"/>
      <c r="R15" s="18"/>
      <c r="S15" s="4"/>
      <c r="T15" s="4"/>
      <c r="U15" s="4"/>
      <c r="V15" s="4"/>
      <c r="W15" s="4"/>
      <c r="X15" s="4"/>
      <c r="Y15" s="4"/>
      <c r="Z15" s="4"/>
    </row>
    <row r="16">
      <c r="A16" s="23"/>
      <c r="B16" s="20" t="s">
        <v>34</v>
      </c>
      <c r="C16" s="21"/>
      <c r="D16" s="21"/>
      <c r="E16" s="22"/>
      <c r="F16" s="21"/>
      <c r="G16" s="21"/>
      <c r="H16" s="21"/>
      <c r="I16" s="15"/>
      <c r="J16" s="18"/>
      <c r="K16" s="18"/>
      <c r="L16" s="18"/>
      <c r="M16" s="18"/>
      <c r="N16" s="18"/>
      <c r="O16" s="18"/>
      <c r="P16" s="18"/>
      <c r="Q16" s="18"/>
      <c r="R16" s="18"/>
      <c r="S16" s="4"/>
      <c r="T16" s="4"/>
      <c r="U16" s="4"/>
      <c r="V16" s="4"/>
      <c r="W16" s="4"/>
      <c r="X16" s="4"/>
      <c r="Y16" s="4"/>
      <c r="Z16" s="4"/>
    </row>
    <row r="17">
      <c r="A17" s="17"/>
      <c r="B17" s="20" t="s">
        <v>35</v>
      </c>
      <c r="C17" s="21"/>
      <c r="D17" s="21"/>
      <c r="E17" s="22"/>
      <c r="F17" s="21"/>
      <c r="G17" s="21"/>
      <c r="H17" s="21"/>
      <c r="I17" s="15"/>
      <c r="J17" s="18"/>
      <c r="K17" s="18"/>
      <c r="L17" s="18"/>
      <c r="M17" s="18"/>
      <c r="N17" s="18"/>
      <c r="O17" s="18"/>
      <c r="P17" s="18"/>
      <c r="Q17" s="18"/>
      <c r="R17" s="18"/>
      <c r="S17" s="4"/>
      <c r="T17" s="4"/>
      <c r="U17" s="4"/>
      <c r="V17" s="4"/>
      <c r="W17" s="4"/>
      <c r="X17" s="4"/>
      <c r="Y17" s="4"/>
      <c r="Z17" s="4"/>
    </row>
    <row r="18">
      <c r="A18" s="24" t="s">
        <v>36</v>
      </c>
      <c r="B18" s="25" t="s">
        <v>37</v>
      </c>
      <c r="C18" s="26"/>
      <c r="D18" s="26"/>
      <c r="E18" s="27"/>
      <c r="F18" s="26"/>
      <c r="G18" s="26"/>
      <c r="H18" s="26"/>
      <c r="I18" s="15"/>
      <c r="J18" s="18"/>
      <c r="K18" s="18"/>
      <c r="L18" s="18"/>
      <c r="M18" s="18"/>
      <c r="N18" s="18"/>
      <c r="O18" s="18"/>
      <c r="P18" s="18"/>
      <c r="Q18" s="18"/>
      <c r="R18" s="18"/>
      <c r="S18" s="4"/>
      <c r="T18" s="4"/>
      <c r="U18" s="4"/>
      <c r="V18" s="4"/>
      <c r="W18" s="4"/>
      <c r="X18" s="4"/>
      <c r="Y18" s="4"/>
      <c r="Z18" s="4"/>
    </row>
    <row r="19">
      <c r="A19" s="23"/>
      <c r="B19" s="25" t="s">
        <v>38</v>
      </c>
      <c r="C19" s="26"/>
      <c r="D19" s="26"/>
      <c r="E19" s="27"/>
      <c r="F19" s="26"/>
      <c r="G19" s="26"/>
      <c r="H19" s="26"/>
      <c r="I19" s="15"/>
      <c r="J19" s="18"/>
      <c r="K19" s="18"/>
      <c r="L19" s="18"/>
      <c r="M19" s="18"/>
      <c r="N19" s="18"/>
      <c r="O19" s="18"/>
      <c r="P19" s="18"/>
      <c r="Q19" s="18"/>
      <c r="R19" s="18"/>
      <c r="S19" s="4"/>
      <c r="T19" s="4"/>
      <c r="U19" s="4"/>
      <c r="V19" s="4"/>
      <c r="W19" s="4"/>
      <c r="X19" s="4"/>
      <c r="Y19" s="4"/>
      <c r="Z19" s="4"/>
    </row>
    <row r="20">
      <c r="A20" s="23"/>
      <c r="B20" s="25" t="s">
        <v>39</v>
      </c>
      <c r="C20" s="26"/>
      <c r="D20" s="26"/>
      <c r="E20" s="27"/>
      <c r="F20" s="26"/>
      <c r="G20" s="26"/>
      <c r="H20" s="26"/>
      <c r="I20" s="15"/>
      <c r="J20" s="18"/>
      <c r="K20" s="18"/>
      <c r="L20" s="18"/>
      <c r="M20" s="18"/>
      <c r="N20" s="18"/>
      <c r="O20" s="18"/>
      <c r="P20" s="18"/>
      <c r="Q20" s="18"/>
      <c r="R20" s="18"/>
      <c r="S20" s="4"/>
      <c r="T20" s="4"/>
      <c r="U20" s="4"/>
      <c r="V20" s="4"/>
      <c r="W20" s="4"/>
      <c r="X20" s="4"/>
      <c r="Y20" s="4"/>
      <c r="Z20" s="4"/>
    </row>
    <row r="21">
      <c r="A21" s="17"/>
      <c r="B21" s="25" t="s">
        <v>40</v>
      </c>
      <c r="C21" s="26"/>
      <c r="D21" s="26"/>
      <c r="E21" s="27"/>
      <c r="F21" s="26"/>
      <c r="G21" s="26"/>
      <c r="H21" s="26"/>
      <c r="I21" s="15"/>
      <c r="J21" s="18"/>
      <c r="K21" s="18"/>
      <c r="L21" s="18"/>
      <c r="M21" s="18"/>
      <c r="N21" s="18"/>
      <c r="O21" s="18"/>
      <c r="P21" s="18"/>
      <c r="Q21" s="18"/>
      <c r="R21" s="18"/>
      <c r="S21" s="4"/>
      <c r="T21" s="4"/>
      <c r="U21" s="4"/>
      <c r="V21" s="4"/>
      <c r="W21" s="4"/>
      <c r="X21" s="4"/>
      <c r="Y21" s="4"/>
      <c r="Z21" s="4"/>
    </row>
    <row r="22">
      <c r="A22" s="28" t="s">
        <v>41</v>
      </c>
      <c r="B22" s="29" t="s">
        <v>42</v>
      </c>
      <c r="C22" s="30"/>
      <c r="D22" s="30"/>
      <c r="E22" s="31"/>
      <c r="F22" s="30"/>
      <c r="G22" s="30"/>
      <c r="H22" s="30"/>
      <c r="I22" s="15"/>
      <c r="J22" s="18"/>
      <c r="K22" s="18"/>
      <c r="L22" s="18"/>
      <c r="M22" s="18"/>
      <c r="N22" s="18"/>
      <c r="O22" s="18"/>
      <c r="P22" s="18"/>
      <c r="Q22" s="18"/>
      <c r="R22" s="18"/>
      <c r="S22" s="4"/>
      <c r="T22" s="4"/>
      <c r="U22" s="4"/>
      <c r="V22" s="4"/>
      <c r="W22" s="4"/>
      <c r="X22" s="4"/>
      <c r="Y22" s="4"/>
      <c r="Z22" s="4"/>
    </row>
    <row r="23">
      <c r="A23" s="23"/>
      <c r="B23" s="29" t="s">
        <v>43</v>
      </c>
      <c r="C23" s="30"/>
      <c r="D23" s="30"/>
      <c r="E23" s="31"/>
      <c r="F23" s="30"/>
      <c r="G23" s="30"/>
      <c r="H23" s="30"/>
      <c r="I23" s="15"/>
      <c r="J23" s="18"/>
      <c r="K23" s="18"/>
      <c r="L23" s="18"/>
      <c r="M23" s="18"/>
      <c r="N23" s="18"/>
      <c r="O23" s="18"/>
      <c r="P23" s="18"/>
      <c r="Q23" s="18"/>
      <c r="R23" s="18"/>
      <c r="S23" s="4"/>
      <c r="T23" s="4"/>
      <c r="U23" s="4"/>
      <c r="V23" s="4"/>
      <c r="W23" s="4"/>
      <c r="X23" s="4"/>
      <c r="Y23" s="4"/>
      <c r="Z23" s="4"/>
    </row>
    <row r="24">
      <c r="A24" s="23"/>
      <c r="B24" s="29" t="s">
        <v>44</v>
      </c>
      <c r="C24" s="30"/>
      <c r="D24" s="30"/>
      <c r="E24" s="31"/>
      <c r="F24" s="30"/>
      <c r="G24" s="30"/>
      <c r="H24" s="30"/>
      <c r="I24" s="15"/>
      <c r="J24" s="18"/>
      <c r="K24" s="18"/>
      <c r="L24" s="18"/>
      <c r="M24" s="18"/>
      <c r="N24" s="18"/>
      <c r="O24" s="18"/>
      <c r="P24" s="18"/>
      <c r="Q24" s="18"/>
      <c r="R24" s="18"/>
      <c r="S24" s="4"/>
      <c r="T24" s="4"/>
      <c r="U24" s="4"/>
      <c r="V24" s="4"/>
      <c r="W24" s="4"/>
      <c r="X24" s="4"/>
      <c r="Y24" s="4"/>
      <c r="Z24" s="4"/>
    </row>
    <row r="25">
      <c r="A25" s="23"/>
      <c r="B25" s="29" t="s">
        <v>45</v>
      </c>
      <c r="C25" s="30"/>
      <c r="D25" s="30"/>
      <c r="E25" s="31"/>
      <c r="F25" s="30"/>
      <c r="G25" s="30"/>
      <c r="H25" s="30"/>
      <c r="I25" s="15"/>
      <c r="J25" s="18"/>
      <c r="K25" s="18"/>
      <c r="L25" s="18"/>
      <c r="M25" s="18"/>
      <c r="N25" s="18"/>
      <c r="O25" s="18"/>
      <c r="P25" s="18"/>
      <c r="Q25" s="18"/>
      <c r="R25" s="18"/>
      <c r="S25" s="4"/>
      <c r="T25" s="4"/>
      <c r="U25" s="4"/>
      <c r="V25" s="4"/>
      <c r="W25" s="4"/>
      <c r="X25" s="4"/>
      <c r="Y25" s="4"/>
      <c r="Z25" s="4"/>
    </row>
    <row r="26">
      <c r="A26" s="17"/>
      <c r="B26" s="29" t="s">
        <v>46</v>
      </c>
      <c r="C26" s="30"/>
      <c r="D26" s="30"/>
      <c r="E26" s="31"/>
      <c r="F26" s="30"/>
      <c r="G26" s="30"/>
      <c r="H26" s="30"/>
      <c r="I26" s="15"/>
      <c r="J26" s="18"/>
      <c r="K26" s="18"/>
      <c r="L26" s="18"/>
      <c r="M26" s="18"/>
      <c r="N26" s="18"/>
      <c r="O26" s="18"/>
      <c r="P26" s="18"/>
      <c r="Q26" s="18"/>
      <c r="R26" s="18"/>
      <c r="S26" s="4"/>
      <c r="T26" s="4"/>
      <c r="U26" s="4"/>
      <c r="V26" s="4"/>
      <c r="W26" s="4"/>
      <c r="X26" s="4"/>
      <c r="Y26" s="4"/>
      <c r="Z26" s="4"/>
    </row>
    <row r="27">
      <c r="A27" s="32" t="s">
        <v>47</v>
      </c>
      <c r="B27" s="33" t="s">
        <v>48</v>
      </c>
      <c r="C27" s="34"/>
      <c r="D27" s="34"/>
      <c r="E27" s="35"/>
      <c r="F27" s="34"/>
      <c r="G27" s="34"/>
      <c r="H27" s="34"/>
      <c r="I27" s="15"/>
      <c r="J27" s="18"/>
      <c r="K27" s="18"/>
      <c r="L27" s="18"/>
      <c r="M27" s="18"/>
      <c r="N27" s="18"/>
      <c r="O27" s="18"/>
      <c r="P27" s="18"/>
      <c r="Q27" s="18"/>
      <c r="R27" s="18"/>
      <c r="S27" s="4"/>
      <c r="T27" s="4"/>
      <c r="U27" s="4"/>
      <c r="V27" s="4"/>
      <c r="W27" s="4"/>
      <c r="X27" s="4"/>
      <c r="Y27" s="4"/>
      <c r="Z27" s="4"/>
    </row>
    <row r="28">
      <c r="A28" s="23"/>
      <c r="B28" s="33" t="s">
        <v>49</v>
      </c>
      <c r="C28" s="34"/>
      <c r="D28" s="34"/>
      <c r="E28" s="35"/>
      <c r="F28" s="34"/>
      <c r="G28" s="34"/>
      <c r="H28" s="34"/>
      <c r="I28" s="15"/>
      <c r="J28" s="18"/>
      <c r="K28" s="18"/>
      <c r="L28" s="18"/>
      <c r="M28" s="18"/>
      <c r="N28" s="18"/>
      <c r="O28" s="18"/>
      <c r="P28" s="18"/>
      <c r="Q28" s="18"/>
      <c r="R28" s="18"/>
      <c r="S28" s="4"/>
      <c r="T28" s="4"/>
      <c r="U28" s="4"/>
      <c r="V28" s="4"/>
      <c r="W28" s="4"/>
      <c r="X28" s="4"/>
      <c r="Y28" s="4"/>
      <c r="Z28" s="4"/>
    </row>
    <row r="29">
      <c r="A29" s="23"/>
      <c r="B29" s="33" t="s">
        <v>50</v>
      </c>
      <c r="C29" s="34"/>
      <c r="D29" s="34"/>
      <c r="E29" s="35"/>
      <c r="F29" s="34"/>
      <c r="G29" s="34"/>
      <c r="H29" s="34"/>
      <c r="I29" s="15"/>
      <c r="J29" s="18"/>
      <c r="K29" s="18"/>
      <c r="L29" s="18"/>
      <c r="M29" s="18"/>
      <c r="N29" s="18"/>
      <c r="O29" s="18"/>
      <c r="P29" s="18"/>
      <c r="Q29" s="18"/>
      <c r="R29" s="18"/>
      <c r="S29" s="4"/>
      <c r="T29" s="4"/>
      <c r="U29" s="4"/>
      <c r="V29" s="4"/>
      <c r="W29" s="4"/>
      <c r="X29" s="4"/>
      <c r="Y29" s="4"/>
      <c r="Z29" s="4"/>
    </row>
    <row r="30">
      <c r="A30" s="23"/>
      <c r="B30" s="33" t="s">
        <v>51</v>
      </c>
      <c r="C30" s="34"/>
      <c r="D30" s="34"/>
      <c r="E30" s="35"/>
      <c r="F30" s="34"/>
      <c r="G30" s="34"/>
      <c r="H30" s="34"/>
      <c r="I30" s="15"/>
      <c r="J30" s="18"/>
      <c r="K30" s="18"/>
      <c r="L30" s="18"/>
      <c r="M30" s="18"/>
      <c r="N30" s="18"/>
      <c r="O30" s="18"/>
      <c r="P30" s="18"/>
      <c r="Q30" s="18"/>
      <c r="R30" s="18"/>
      <c r="S30" s="4"/>
      <c r="T30" s="4"/>
      <c r="U30" s="4"/>
      <c r="V30" s="4"/>
      <c r="W30" s="4"/>
      <c r="X30" s="4"/>
      <c r="Y30" s="4"/>
      <c r="Z30" s="4"/>
    </row>
    <row r="31">
      <c r="A31" s="17"/>
      <c r="B31" s="33" t="s">
        <v>52</v>
      </c>
      <c r="C31" s="34"/>
      <c r="D31" s="34"/>
      <c r="E31" s="35"/>
      <c r="F31" s="34"/>
      <c r="G31" s="34"/>
      <c r="H31" s="34"/>
      <c r="I31" s="15"/>
      <c r="J31" s="18"/>
      <c r="K31" s="18"/>
      <c r="L31" s="18"/>
      <c r="M31" s="18"/>
      <c r="N31" s="18"/>
      <c r="O31" s="18"/>
      <c r="P31" s="18"/>
      <c r="Q31" s="18"/>
      <c r="R31" s="18"/>
      <c r="S31" s="4"/>
      <c r="T31" s="4"/>
      <c r="U31" s="4"/>
      <c r="V31" s="4"/>
      <c r="W31" s="4"/>
      <c r="X31" s="4"/>
      <c r="Y31" s="4"/>
      <c r="Z31" s="4"/>
    </row>
    <row r="32">
      <c r="A32" s="15"/>
      <c r="B32" s="15"/>
      <c r="C32" s="36" t="s">
        <v>53</v>
      </c>
      <c r="I32" s="15"/>
      <c r="J32" s="18"/>
      <c r="K32" s="18"/>
      <c r="L32" s="18"/>
      <c r="M32" s="18"/>
      <c r="N32" s="18"/>
      <c r="O32" s="18"/>
      <c r="P32" s="18"/>
      <c r="Q32" s="18"/>
      <c r="R32" s="18"/>
      <c r="S32" s="4"/>
      <c r="T32" s="4"/>
      <c r="U32" s="4"/>
      <c r="V32" s="4"/>
      <c r="W32" s="4"/>
      <c r="X32" s="4"/>
      <c r="Y32" s="4"/>
      <c r="Z32" s="4"/>
    </row>
    <row r="33">
      <c r="A33" s="15"/>
      <c r="B33" s="15"/>
      <c r="C33" s="15"/>
      <c r="D33" s="15"/>
      <c r="E33" s="15"/>
      <c r="F33" s="15"/>
      <c r="G33" s="15"/>
      <c r="H33" s="15"/>
      <c r="I33" s="15"/>
      <c r="J33" s="18"/>
      <c r="K33" s="18"/>
      <c r="L33" s="18"/>
      <c r="M33" s="18"/>
      <c r="N33" s="18"/>
      <c r="O33" s="18"/>
      <c r="P33" s="18"/>
      <c r="Q33" s="18"/>
      <c r="R33" s="18"/>
      <c r="S33" s="4"/>
      <c r="T33" s="4"/>
      <c r="U33" s="4"/>
      <c r="V33" s="4"/>
      <c r="W33" s="4"/>
      <c r="X33" s="4"/>
      <c r="Y33" s="4"/>
      <c r="Z33" s="4"/>
    </row>
    <row r="34">
      <c r="A34" s="37" t="s">
        <v>54</v>
      </c>
      <c r="B34" s="38" t="s">
        <v>55</v>
      </c>
      <c r="C34" s="9"/>
      <c r="D34" s="9"/>
      <c r="E34" s="10"/>
      <c r="F34" s="39" t="s">
        <v>56</v>
      </c>
      <c r="G34" s="39" t="s">
        <v>57</v>
      </c>
      <c r="H34" s="40" t="s">
        <v>58</v>
      </c>
      <c r="J34" s="15"/>
      <c r="K34" s="15"/>
      <c r="L34" s="15"/>
      <c r="M34" s="15"/>
      <c r="N34" s="15"/>
      <c r="O34" s="15"/>
      <c r="P34" s="15"/>
      <c r="Q34" s="15"/>
      <c r="R34" s="15"/>
      <c r="S34" s="4"/>
      <c r="T34" s="4"/>
      <c r="U34" s="4"/>
      <c r="V34" s="4"/>
      <c r="W34" s="4"/>
      <c r="X34" s="4"/>
      <c r="Y34" s="4"/>
      <c r="Z34" s="4"/>
    </row>
    <row r="35">
      <c r="A35" s="41" t="s">
        <v>13</v>
      </c>
      <c r="B35" s="42" t="s">
        <v>59</v>
      </c>
      <c r="C35" s="9"/>
      <c r="D35" s="9"/>
      <c r="E35" s="10"/>
      <c r="F35" s="43" t="s">
        <v>60</v>
      </c>
      <c r="G35" s="44"/>
      <c r="H35" s="45"/>
      <c r="J35" s="15"/>
      <c r="K35" s="15"/>
      <c r="L35" s="15"/>
      <c r="M35" s="15"/>
      <c r="N35" s="15"/>
      <c r="O35" s="15"/>
      <c r="P35" s="15"/>
      <c r="Q35" s="15"/>
      <c r="R35" s="15"/>
      <c r="S35" s="4"/>
      <c r="T35" s="4"/>
      <c r="U35" s="4"/>
      <c r="V35" s="4"/>
      <c r="W35" s="4"/>
      <c r="X35" s="4"/>
      <c r="Y35" s="4"/>
      <c r="Z35" s="4"/>
    </row>
    <row r="36">
      <c r="A36" s="41" t="s">
        <v>20</v>
      </c>
      <c r="B36" s="42" t="s">
        <v>61</v>
      </c>
      <c r="C36" s="9"/>
      <c r="D36" s="9"/>
      <c r="E36" s="10"/>
      <c r="F36" s="43" t="s">
        <v>60</v>
      </c>
      <c r="G36" s="44"/>
      <c r="H36" s="45"/>
      <c r="J36" s="15"/>
      <c r="K36" s="15"/>
      <c r="L36" s="15"/>
      <c r="M36" s="15"/>
      <c r="N36" s="15"/>
      <c r="O36" s="15"/>
      <c r="P36" s="15"/>
      <c r="Q36" s="15"/>
      <c r="R36" s="15"/>
      <c r="S36" s="4"/>
      <c r="T36" s="4"/>
      <c r="U36" s="4"/>
      <c r="V36" s="4"/>
      <c r="W36" s="4"/>
      <c r="X36" s="4"/>
      <c r="Y36" s="4"/>
      <c r="Z36" s="4"/>
    </row>
    <row r="37">
      <c r="A37" s="41" t="s">
        <v>36</v>
      </c>
      <c r="B37" s="42" t="s">
        <v>62</v>
      </c>
      <c r="C37" s="9"/>
      <c r="D37" s="9"/>
      <c r="E37" s="10"/>
      <c r="F37" s="43" t="s">
        <v>60</v>
      </c>
      <c r="G37" s="44"/>
      <c r="H37" s="45"/>
      <c r="J37" s="15"/>
      <c r="K37" s="15"/>
      <c r="L37" s="15"/>
      <c r="M37" s="15"/>
      <c r="N37" s="15"/>
      <c r="O37" s="15"/>
      <c r="P37" s="15"/>
      <c r="Q37" s="15"/>
      <c r="R37" s="15"/>
      <c r="S37" s="4"/>
      <c r="T37" s="4"/>
      <c r="U37" s="4"/>
      <c r="V37" s="4"/>
      <c r="W37" s="4"/>
      <c r="X37" s="4"/>
      <c r="Y37" s="4"/>
      <c r="Z37" s="4"/>
    </row>
    <row r="38">
      <c r="A38" s="41" t="s">
        <v>41</v>
      </c>
      <c r="B38" s="42" t="s">
        <v>63</v>
      </c>
      <c r="C38" s="9"/>
      <c r="D38" s="9"/>
      <c r="E38" s="10"/>
      <c r="F38" s="43" t="s">
        <v>60</v>
      </c>
      <c r="G38" s="44"/>
      <c r="H38" s="45"/>
      <c r="J38" s="15"/>
      <c r="K38" s="15"/>
      <c r="L38" s="15"/>
      <c r="M38" s="15"/>
      <c r="N38" s="15"/>
      <c r="O38" s="15"/>
      <c r="P38" s="15"/>
      <c r="Q38" s="15"/>
      <c r="R38" s="15"/>
      <c r="S38" s="4"/>
      <c r="T38" s="4"/>
      <c r="U38" s="4"/>
      <c r="V38" s="4"/>
      <c r="W38" s="4"/>
      <c r="X38" s="4"/>
      <c r="Y38" s="4"/>
      <c r="Z38" s="4"/>
    </row>
    <row r="39">
      <c r="A39" s="41" t="s">
        <v>47</v>
      </c>
      <c r="B39" s="42" t="s">
        <v>64</v>
      </c>
      <c r="C39" s="9"/>
      <c r="D39" s="9"/>
      <c r="E39" s="10"/>
      <c r="F39" s="43" t="s">
        <v>60</v>
      </c>
      <c r="G39" s="44"/>
      <c r="H39" s="45"/>
      <c r="J39" s="15"/>
      <c r="K39" s="15"/>
      <c r="L39" s="15"/>
      <c r="M39" s="15"/>
      <c r="N39" s="15"/>
      <c r="O39" s="15"/>
      <c r="P39" s="15"/>
      <c r="Q39" s="15"/>
      <c r="R39" s="15"/>
      <c r="S39" s="4"/>
      <c r="T39" s="4"/>
      <c r="U39" s="4"/>
      <c r="V39" s="4"/>
      <c r="W39" s="4"/>
      <c r="X39" s="4"/>
      <c r="Y39" s="4"/>
      <c r="Z39" s="4"/>
    </row>
    <row r="40">
      <c r="A40" s="46"/>
      <c r="B40" s="47"/>
      <c r="C40" s="9"/>
      <c r="D40" s="9"/>
      <c r="E40" s="10"/>
      <c r="F40" s="44"/>
      <c r="G40" s="44"/>
      <c r="H40" s="45"/>
      <c r="J40" s="15"/>
      <c r="K40" s="15"/>
      <c r="L40" s="15"/>
      <c r="M40" s="15"/>
      <c r="N40" s="15"/>
      <c r="O40" s="15"/>
      <c r="P40" s="15"/>
      <c r="Q40" s="15"/>
      <c r="R40" s="15"/>
      <c r="S40" s="4"/>
      <c r="T40" s="4"/>
      <c r="U40" s="4"/>
      <c r="V40" s="4"/>
      <c r="W40" s="4"/>
      <c r="X40" s="4"/>
      <c r="Y40" s="4"/>
      <c r="Z40" s="4"/>
    </row>
    <row r="41">
      <c r="A41" s="46"/>
      <c r="B41" s="47"/>
      <c r="C41" s="9"/>
      <c r="D41" s="9"/>
      <c r="E41" s="10"/>
      <c r="F41" s="44"/>
      <c r="G41" s="44"/>
      <c r="H41" s="45"/>
      <c r="J41" s="15"/>
      <c r="K41" s="15"/>
      <c r="L41" s="15"/>
      <c r="M41" s="15"/>
      <c r="N41" s="15"/>
      <c r="O41" s="15"/>
      <c r="P41" s="15"/>
      <c r="Q41" s="15"/>
      <c r="R41" s="15"/>
      <c r="S41" s="4"/>
      <c r="T41" s="4"/>
      <c r="U41" s="4"/>
      <c r="V41" s="4"/>
      <c r="W41" s="4"/>
      <c r="X41" s="4"/>
      <c r="Y41" s="4"/>
      <c r="Z41" s="4"/>
    </row>
    <row r="42">
      <c r="A42" s="46"/>
      <c r="B42" s="47"/>
      <c r="C42" s="9"/>
      <c r="D42" s="9"/>
      <c r="E42" s="10"/>
      <c r="F42" s="44"/>
      <c r="G42" s="44"/>
      <c r="H42" s="45"/>
      <c r="J42" s="15"/>
      <c r="K42" s="15"/>
      <c r="L42" s="15"/>
      <c r="M42" s="15"/>
      <c r="N42" s="15"/>
      <c r="O42" s="15"/>
      <c r="P42" s="15"/>
      <c r="Q42" s="15"/>
      <c r="R42" s="15"/>
      <c r="S42" s="4"/>
      <c r="T42" s="4"/>
      <c r="U42" s="4"/>
      <c r="V42" s="4"/>
      <c r="W42" s="4"/>
      <c r="X42" s="4"/>
      <c r="Y42" s="4"/>
      <c r="Z42" s="4"/>
    </row>
    <row r="43">
      <c r="A43" s="46"/>
      <c r="B43" s="47"/>
      <c r="C43" s="9"/>
      <c r="D43" s="9"/>
      <c r="E43" s="10"/>
      <c r="F43" s="44"/>
      <c r="G43" s="44"/>
      <c r="H43" s="45"/>
      <c r="J43" s="15"/>
      <c r="K43" s="15"/>
      <c r="L43" s="15"/>
      <c r="M43" s="15"/>
      <c r="N43" s="15"/>
      <c r="O43" s="15"/>
      <c r="P43" s="15"/>
      <c r="Q43" s="15"/>
      <c r="R43" s="15"/>
      <c r="S43" s="4"/>
      <c r="T43" s="4"/>
      <c r="U43" s="4"/>
      <c r="V43" s="4"/>
      <c r="W43" s="4"/>
      <c r="X43" s="4"/>
      <c r="Y43" s="4"/>
      <c r="Z43" s="4"/>
    </row>
    <row r="44">
      <c r="A44" s="46"/>
      <c r="B44" s="47"/>
      <c r="C44" s="9"/>
      <c r="D44" s="9"/>
      <c r="E44" s="10"/>
      <c r="F44" s="44"/>
      <c r="G44" s="44"/>
      <c r="H44" s="45"/>
      <c r="J44" s="15"/>
      <c r="K44" s="15"/>
      <c r="L44" s="15"/>
      <c r="M44" s="15"/>
      <c r="N44" s="15"/>
      <c r="O44" s="15"/>
      <c r="P44" s="15"/>
      <c r="Q44" s="15"/>
      <c r="R44" s="15"/>
      <c r="S44" s="4"/>
      <c r="T44" s="4"/>
      <c r="U44" s="4"/>
      <c r="V44" s="4"/>
      <c r="W44" s="4"/>
      <c r="X44" s="4"/>
      <c r="Y44" s="4"/>
      <c r="Z44" s="4"/>
    </row>
    <row r="45">
      <c r="A45" s="46"/>
      <c r="B45" s="47"/>
      <c r="C45" s="9"/>
      <c r="D45" s="9"/>
      <c r="E45" s="10"/>
      <c r="F45" s="44"/>
      <c r="G45" s="44"/>
      <c r="H45" s="45"/>
      <c r="J45" s="15"/>
      <c r="K45" s="15"/>
      <c r="L45" s="15"/>
      <c r="M45" s="15"/>
      <c r="N45" s="15"/>
      <c r="O45" s="15"/>
      <c r="P45" s="15"/>
      <c r="Q45" s="15"/>
      <c r="R45" s="15"/>
      <c r="S45" s="4"/>
      <c r="T45" s="4"/>
      <c r="U45" s="4"/>
      <c r="V45" s="4"/>
      <c r="W45" s="4"/>
      <c r="X45" s="4"/>
      <c r="Y45" s="4"/>
      <c r="Z45" s="4"/>
    </row>
    <row r="46">
      <c r="A46" s="46"/>
      <c r="B46" s="47"/>
      <c r="C46" s="9"/>
      <c r="D46" s="9"/>
      <c r="E46" s="10"/>
      <c r="F46" s="44"/>
      <c r="G46" s="44"/>
      <c r="H46" s="45"/>
      <c r="J46" s="15"/>
      <c r="K46" s="15"/>
      <c r="L46" s="15"/>
      <c r="M46" s="15"/>
      <c r="N46" s="15"/>
      <c r="O46" s="15"/>
      <c r="P46" s="15"/>
      <c r="Q46" s="15"/>
      <c r="R46" s="15"/>
      <c r="S46" s="4"/>
      <c r="T46" s="4"/>
      <c r="U46" s="4"/>
      <c r="V46" s="4"/>
      <c r="W46" s="4"/>
      <c r="X46" s="4"/>
      <c r="Y46" s="4"/>
      <c r="Z46" s="4"/>
    </row>
    <row r="47">
      <c r="A47" s="46"/>
      <c r="B47" s="47"/>
      <c r="C47" s="9"/>
      <c r="D47" s="9"/>
      <c r="E47" s="10"/>
      <c r="F47" s="44"/>
      <c r="G47" s="44"/>
      <c r="H47" s="45"/>
      <c r="J47" s="15"/>
      <c r="K47" s="15"/>
      <c r="L47" s="15"/>
      <c r="M47" s="15"/>
      <c r="N47" s="15"/>
      <c r="O47" s="15"/>
      <c r="P47" s="15"/>
      <c r="Q47" s="15"/>
      <c r="R47" s="15"/>
      <c r="S47" s="4"/>
      <c r="T47" s="4"/>
      <c r="U47" s="4"/>
      <c r="V47" s="4"/>
      <c r="W47" s="4"/>
      <c r="X47" s="4"/>
      <c r="Y47" s="4"/>
      <c r="Z47" s="4"/>
    </row>
    <row r="48">
      <c r="A48" s="15"/>
      <c r="B48" s="15"/>
      <c r="C48" s="15"/>
      <c r="D48" s="15"/>
      <c r="E48" s="15"/>
      <c r="F48" s="15"/>
      <c r="G48" s="15"/>
      <c r="H48" s="15"/>
      <c r="I48" s="15"/>
      <c r="J48" s="15"/>
      <c r="K48" s="15"/>
      <c r="L48" s="15"/>
      <c r="M48" s="15"/>
      <c r="N48" s="15"/>
      <c r="O48" s="15"/>
      <c r="P48" s="15"/>
      <c r="Q48" s="15"/>
      <c r="R48" s="15"/>
      <c r="S48" s="4"/>
      <c r="T48" s="4"/>
      <c r="U48" s="4"/>
      <c r="V48" s="4"/>
      <c r="W48" s="4"/>
      <c r="X48" s="4"/>
      <c r="Y48" s="4"/>
      <c r="Z48" s="4"/>
    </row>
    <row r="49">
      <c r="A49" s="15"/>
      <c r="B49" s="15"/>
      <c r="C49" s="15"/>
      <c r="D49" s="15"/>
      <c r="E49" s="15"/>
      <c r="F49" s="15"/>
      <c r="G49" s="15"/>
      <c r="H49" s="15"/>
      <c r="I49" s="15"/>
      <c r="J49" s="15"/>
      <c r="K49" s="15"/>
      <c r="L49" s="15"/>
      <c r="M49" s="15"/>
      <c r="N49" s="15"/>
      <c r="O49" s="15"/>
      <c r="P49" s="15"/>
      <c r="Q49" s="15"/>
      <c r="R49" s="15"/>
      <c r="S49" s="4"/>
      <c r="T49" s="4"/>
      <c r="U49" s="4"/>
      <c r="V49" s="4"/>
      <c r="W49" s="4"/>
      <c r="X49" s="4"/>
      <c r="Y49" s="4"/>
      <c r="Z49" s="4"/>
    </row>
    <row r="50">
      <c r="A50" s="15"/>
      <c r="B50" s="15"/>
      <c r="C50" s="15"/>
      <c r="D50" s="15"/>
      <c r="E50" s="15"/>
      <c r="F50" s="15"/>
      <c r="G50" s="15"/>
      <c r="H50" s="15"/>
      <c r="I50" s="15"/>
      <c r="J50" s="15"/>
      <c r="K50" s="15"/>
      <c r="L50" s="15"/>
      <c r="M50" s="15"/>
      <c r="N50" s="15"/>
      <c r="O50" s="15"/>
      <c r="P50" s="15"/>
      <c r="Q50" s="15"/>
      <c r="R50" s="15"/>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5">
    <mergeCell ref="B1:H1"/>
    <mergeCell ref="J1:R1"/>
    <mergeCell ref="J2:L2"/>
    <mergeCell ref="M2:O2"/>
    <mergeCell ref="P2:R2"/>
    <mergeCell ref="A3:A4"/>
    <mergeCell ref="A5:A17"/>
    <mergeCell ref="A18:A21"/>
    <mergeCell ref="A22:A26"/>
    <mergeCell ref="A27:A31"/>
    <mergeCell ref="C32:H32"/>
    <mergeCell ref="B34:E34"/>
    <mergeCell ref="B35:E35"/>
    <mergeCell ref="B36:E36"/>
    <mergeCell ref="B44:E44"/>
    <mergeCell ref="B45:E45"/>
    <mergeCell ref="B46:E46"/>
    <mergeCell ref="B47:E47"/>
    <mergeCell ref="B37:E37"/>
    <mergeCell ref="B38:E38"/>
    <mergeCell ref="B39:E39"/>
    <mergeCell ref="B40:E40"/>
    <mergeCell ref="B41:E41"/>
    <mergeCell ref="B42:E42"/>
    <mergeCell ref="B43:E4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fitToPage="1"/>
  </sheetPr>
  <sheetViews>
    <sheetView showGridLines="0" workbookViewId="0"/>
  </sheetViews>
  <sheetFormatPr customHeight="1" defaultColWidth="12.63" defaultRowHeight="15.75"/>
  <cols>
    <col customWidth="1" min="1" max="1" width="3.5"/>
    <col customWidth="1" min="2" max="2" width="3.88"/>
    <col customWidth="1" min="3" max="3" width="8.38"/>
    <col customWidth="1" min="4" max="4" width="9.25"/>
    <col customWidth="1" min="5" max="5" width="5.25"/>
    <col customWidth="1" min="6" max="6" width="7.75"/>
    <col customWidth="1" min="7" max="7" width="5.75"/>
    <col customWidth="1" min="8" max="8" width="6.25"/>
    <col customWidth="1" min="9" max="9" width="11.5"/>
    <col customWidth="1" min="10" max="10" width="14.75"/>
    <col customWidth="1" min="11" max="12" width="13.0"/>
    <col customWidth="1" min="13" max="13" width="13.75"/>
    <col customWidth="1" min="14" max="14" width="10.13"/>
    <col customWidth="1" min="15" max="17" width="14.75"/>
    <col customWidth="1" min="18" max="18" width="10.5"/>
    <col customWidth="1" min="19" max="21" width="14.75"/>
    <col customWidth="1" min="22" max="22" width="9.38"/>
    <col customWidth="1" hidden="1" min="23" max="23" width="9.38"/>
    <col customWidth="1" min="24" max="25" width="9.38"/>
  </cols>
  <sheetData>
    <row r="1">
      <c r="A1" s="48"/>
      <c r="B1" s="48"/>
      <c r="C1" s="48"/>
      <c r="D1" s="48"/>
      <c r="N1" s="48"/>
      <c r="O1" s="49"/>
      <c r="P1" s="49"/>
      <c r="Q1" s="49"/>
      <c r="R1" s="49"/>
      <c r="S1" s="49"/>
      <c r="T1" s="49"/>
      <c r="U1" s="49"/>
      <c r="V1" s="49"/>
      <c r="W1" s="50"/>
      <c r="X1" s="50"/>
      <c r="Y1" s="50"/>
    </row>
    <row r="2">
      <c r="A2" s="51"/>
      <c r="B2" s="51"/>
      <c r="C2" s="51"/>
      <c r="D2" s="52"/>
      <c r="E2" s="52"/>
      <c r="F2" s="52"/>
      <c r="G2" s="52"/>
      <c r="H2" s="51"/>
      <c r="I2" s="53" t="s">
        <v>65</v>
      </c>
      <c r="Q2" s="53"/>
      <c r="R2" s="51"/>
      <c r="S2" s="51"/>
      <c r="T2" s="51"/>
      <c r="U2" s="51"/>
      <c r="V2" s="51"/>
      <c r="W2" s="50"/>
      <c r="X2" s="50"/>
      <c r="Y2" s="50"/>
    </row>
    <row r="3">
      <c r="A3" s="49"/>
      <c r="B3" s="48"/>
      <c r="C3" s="48"/>
      <c r="D3" s="48"/>
      <c r="E3" s="52"/>
      <c r="Q3" s="53"/>
      <c r="R3" s="49"/>
      <c r="S3" s="49"/>
      <c r="T3" s="49"/>
      <c r="U3" s="49"/>
      <c r="V3" s="49"/>
      <c r="W3" s="50"/>
      <c r="X3" s="50"/>
      <c r="Y3" s="50"/>
    </row>
    <row r="4" ht="1.5" customHeight="1">
      <c r="A4" s="48"/>
      <c r="B4" s="48"/>
      <c r="C4" s="48"/>
      <c r="D4" s="48"/>
      <c r="E4" s="48"/>
      <c r="F4" s="48"/>
      <c r="G4" s="48"/>
      <c r="H4" s="48"/>
      <c r="I4" s="48"/>
      <c r="J4" s="48"/>
      <c r="K4" s="48"/>
      <c r="L4" s="48"/>
      <c r="M4" s="48"/>
      <c r="N4" s="48"/>
      <c r="O4" s="49"/>
      <c r="P4" s="49"/>
      <c r="Q4" s="49"/>
      <c r="R4" s="49"/>
      <c r="S4" s="49"/>
      <c r="T4" s="49"/>
      <c r="U4" s="49"/>
      <c r="V4" s="49"/>
      <c r="W4" s="50"/>
      <c r="X4" s="50"/>
      <c r="Y4" s="50"/>
    </row>
    <row r="5">
      <c r="A5" s="54" t="s">
        <v>66</v>
      </c>
      <c r="B5" s="55"/>
      <c r="C5" s="55"/>
      <c r="D5" s="55"/>
      <c r="E5" s="55"/>
      <c r="F5" s="55"/>
      <c r="G5" s="56"/>
      <c r="H5" s="57" t="s">
        <v>67</v>
      </c>
      <c r="I5" s="54" t="s">
        <v>68</v>
      </c>
      <c r="J5" s="55"/>
      <c r="K5" s="55"/>
      <c r="L5" s="56"/>
      <c r="M5" s="58" t="s">
        <v>69</v>
      </c>
      <c r="N5" s="59" t="s">
        <v>70</v>
      </c>
      <c r="O5" s="55"/>
      <c r="P5" s="55"/>
      <c r="Q5" s="60"/>
      <c r="R5" s="61" t="s">
        <v>71</v>
      </c>
      <c r="S5" s="55"/>
      <c r="T5" s="55"/>
      <c r="U5" s="60"/>
      <c r="V5" s="62"/>
      <c r="W5" s="63"/>
      <c r="X5" s="63"/>
      <c r="Y5" s="63"/>
    </row>
    <row r="6">
      <c r="A6" s="64" t="s">
        <v>72</v>
      </c>
      <c r="B6" s="65"/>
      <c r="C6" s="65"/>
      <c r="D6" s="65"/>
      <c r="E6" s="65"/>
      <c r="F6" s="65"/>
      <c r="G6" s="65"/>
      <c r="H6" s="66"/>
      <c r="I6" s="67" t="s">
        <v>73</v>
      </c>
      <c r="J6" s="68" t="s">
        <v>74</v>
      </c>
      <c r="K6" s="69" t="s">
        <v>75</v>
      </c>
      <c r="L6" s="70" t="s">
        <v>76</v>
      </c>
      <c r="M6" s="71">
        <f>SUM(M7:M21)</f>
        <v>965505000</v>
      </c>
      <c r="N6" s="72" t="str">
        <f t="array" ref="N6:Q6">I6:L6</f>
        <v>Bán lẻ</v>
      </c>
      <c r="O6" s="73" t="s">
        <v>74</v>
      </c>
      <c r="P6" s="73" t="s">
        <v>75</v>
      </c>
      <c r="Q6" s="74" t="s">
        <v>76</v>
      </c>
      <c r="R6" s="75" t="str">
        <f t="array" ref="R6:U6">I6:L6</f>
        <v>Bán lẻ</v>
      </c>
      <c r="S6" s="76" t="s">
        <v>74</v>
      </c>
      <c r="T6" s="76" t="s">
        <v>75</v>
      </c>
      <c r="U6" s="77" t="s">
        <v>76</v>
      </c>
      <c r="V6" s="78"/>
      <c r="W6" s="50"/>
      <c r="X6" s="50"/>
      <c r="Y6" s="50"/>
    </row>
    <row r="7">
      <c r="A7" s="79">
        <v>1.0</v>
      </c>
      <c r="B7" s="80" t="s">
        <v>77</v>
      </c>
      <c r="C7" s="81" t="s">
        <v>78</v>
      </c>
      <c r="D7" s="81" t="s">
        <v>79</v>
      </c>
      <c r="E7" s="81" t="s">
        <v>80</v>
      </c>
      <c r="F7" s="81" t="s">
        <v>81</v>
      </c>
      <c r="G7" s="81" t="s">
        <v>82</v>
      </c>
      <c r="H7" s="82">
        <f>iferror(vlookup(B7,'TỒN'!$A:$E,5,false),)</f>
        <v>259</v>
      </c>
      <c r="I7" s="83">
        <f t="shared" ref="I7:L7" si="1">round(R7/(1-$W7),-3)</f>
        <v>510000</v>
      </c>
      <c r="J7" s="84">
        <f t="shared" si="1"/>
        <v>499000</v>
      </c>
      <c r="K7" s="85">
        <f t="shared" si="1"/>
        <v>489000</v>
      </c>
      <c r="L7" s="86">
        <f t="shared" si="1"/>
        <v>474000</v>
      </c>
      <c r="M7" s="87">
        <f t="shared" ref="M7:M21" si="4">K7*H7</f>
        <v>126651000</v>
      </c>
      <c r="N7" s="88">
        <f t="shared" ref="N7:Q7" si="2">IF(ISBLANK(I7),,ROUND(I7/1.1,-1))</f>
        <v>463640</v>
      </c>
      <c r="O7" s="89">
        <f t="shared" si="2"/>
        <v>453640</v>
      </c>
      <c r="P7" s="89">
        <f t="shared" si="2"/>
        <v>444550</v>
      </c>
      <c r="Q7" s="90">
        <f t="shared" si="2"/>
        <v>430910</v>
      </c>
      <c r="R7" s="88">
        <f t="shared" ref="R7:R21" si="6">round(U7/0.93,-3)</f>
        <v>495000</v>
      </c>
      <c r="S7" s="89">
        <f t="shared" ref="S7:S21" si="7">round(U7/0.95,-3)</f>
        <v>484000</v>
      </c>
      <c r="T7" s="89">
        <f t="shared" ref="T7:T21" si="8">round(U7/0.97,-3)</f>
        <v>474000</v>
      </c>
      <c r="U7" s="91">
        <v>460000.0</v>
      </c>
      <c r="V7" s="92">
        <v>45041.0</v>
      </c>
      <c r="W7" s="50">
        <v>0.03</v>
      </c>
      <c r="Y7" s="50"/>
    </row>
    <row r="8">
      <c r="A8" s="93">
        <v>2.0</v>
      </c>
      <c r="B8" s="94" t="s">
        <v>83</v>
      </c>
      <c r="C8" s="95" t="s">
        <v>78</v>
      </c>
      <c r="D8" s="95" t="s">
        <v>79</v>
      </c>
      <c r="E8" s="95" t="s">
        <v>80</v>
      </c>
      <c r="F8" s="95" t="s">
        <v>84</v>
      </c>
      <c r="G8" s="95" t="s">
        <v>82</v>
      </c>
      <c r="H8" s="96">
        <f>iferror(vlookup(B8,'TỒN'!$A:$E,5,false),)</f>
        <v>0</v>
      </c>
      <c r="I8" s="97">
        <f t="shared" ref="I8:L8" si="3">round(R8/(1-$W8),-3)</f>
        <v>1865000</v>
      </c>
      <c r="J8" s="98">
        <f t="shared" si="3"/>
        <v>1826000</v>
      </c>
      <c r="K8" s="99">
        <f t="shared" si="3"/>
        <v>1789000</v>
      </c>
      <c r="L8" s="100">
        <f t="shared" si="3"/>
        <v>1735000</v>
      </c>
      <c r="M8" s="101">
        <f t="shared" si="4"/>
        <v>0</v>
      </c>
      <c r="N8" s="102">
        <f t="shared" ref="N8:Q8" si="5">IF(ISBLANK(I8),,ROUND(I8/1.1,-1))</f>
        <v>1695450</v>
      </c>
      <c r="O8" s="103">
        <f t="shared" si="5"/>
        <v>1660000</v>
      </c>
      <c r="P8" s="103">
        <f t="shared" si="5"/>
        <v>1626360</v>
      </c>
      <c r="Q8" s="104">
        <f t="shared" si="5"/>
        <v>1577270</v>
      </c>
      <c r="R8" s="105">
        <f t="shared" si="6"/>
        <v>1828000</v>
      </c>
      <c r="S8" s="106">
        <f t="shared" si="7"/>
        <v>1789000</v>
      </c>
      <c r="T8" s="106">
        <f t="shared" si="8"/>
        <v>1753000</v>
      </c>
      <c r="U8" s="107">
        <v>1700000.0</v>
      </c>
      <c r="V8" s="92">
        <v>45035.0</v>
      </c>
      <c r="W8" s="108">
        <v>0.02</v>
      </c>
      <c r="Y8" s="50"/>
    </row>
    <row r="9">
      <c r="A9" s="109">
        <v>3.0</v>
      </c>
      <c r="B9" s="110" t="s">
        <v>85</v>
      </c>
      <c r="C9" s="111" t="s">
        <v>78</v>
      </c>
      <c r="D9" s="111" t="s">
        <v>79</v>
      </c>
      <c r="E9" s="111" t="s">
        <v>86</v>
      </c>
      <c r="F9" s="111" t="s">
        <v>81</v>
      </c>
      <c r="G9" s="111" t="s">
        <v>82</v>
      </c>
      <c r="H9" s="112">
        <f>iferror(vlookup(B9,'TỒN'!$A:$E,5,false),)</f>
        <v>432</v>
      </c>
      <c r="I9" s="113">
        <f t="shared" ref="I9:L9" si="9">round(R9/(1-$W9),-3)</f>
        <v>338000</v>
      </c>
      <c r="J9" s="114">
        <f t="shared" si="9"/>
        <v>331000</v>
      </c>
      <c r="K9" s="115">
        <f t="shared" si="9"/>
        <v>324000</v>
      </c>
      <c r="L9" s="116">
        <f t="shared" si="9"/>
        <v>314000</v>
      </c>
      <c r="M9" s="117">
        <f t="shared" si="4"/>
        <v>139968000</v>
      </c>
      <c r="N9" s="118">
        <f t="shared" ref="N9:Q9" si="10">IF(ISBLANK(I9),,ROUND(I9/1.1,-1))</f>
        <v>307270</v>
      </c>
      <c r="O9" s="119">
        <f t="shared" si="10"/>
        <v>300910</v>
      </c>
      <c r="P9" s="119">
        <f t="shared" si="10"/>
        <v>294550</v>
      </c>
      <c r="Q9" s="120">
        <f t="shared" si="10"/>
        <v>285450</v>
      </c>
      <c r="R9" s="118">
        <f t="shared" si="6"/>
        <v>328000</v>
      </c>
      <c r="S9" s="119">
        <f t="shared" si="7"/>
        <v>321000</v>
      </c>
      <c r="T9" s="119">
        <f t="shared" si="8"/>
        <v>314000</v>
      </c>
      <c r="U9" s="121">
        <v>305000.0</v>
      </c>
      <c r="V9" s="92">
        <v>45036.0</v>
      </c>
      <c r="W9" s="50">
        <v>0.03</v>
      </c>
      <c r="Y9" s="50"/>
    </row>
    <row r="10">
      <c r="A10" s="93">
        <v>4.0</v>
      </c>
      <c r="B10" s="122" t="s">
        <v>87</v>
      </c>
      <c r="C10" s="123" t="s">
        <v>78</v>
      </c>
      <c r="D10" s="123" t="s">
        <v>79</v>
      </c>
      <c r="E10" s="123" t="s">
        <v>86</v>
      </c>
      <c r="F10" s="123" t="s">
        <v>88</v>
      </c>
      <c r="G10" s="123" t="s">
        <v>82</v>
      </c>
      <c r="H10" s="96">
        <f>iferror(vlookup(B10,'TỒN'!$A:$E,5,false),)</f>
        <v>20</v>
      </c>
      <c r="I10" s="124">
        <f t="shared" ref="I10:L10" si="11">round(R10/(1-$W10),-3)</f>
        <v>691000</v>
      </c>
      <c r="J10" s="125">
        <f t="shared" si="11"/>
        <v>677000</v>
      </c>
      <c r="K10" s="99">
        <f t="shared" si="11"/>
        <v>662000</v>
      </c>
      <c r="L10" s="100">
        <f t="shared" si="11"/>
        <v>643000</v>
      </c>
      <c r="M10" s="101">
        <f t="shared" si="4"/>
        <v>13240000</v>
      </c>
      <c r="N10" s="102">
        <f t="shared" ref="N10:Q10" si="12">IF(ISBLANK(I10),,ROUND(I10/1.1,-1))</f>
        <v>628180</v>
      </c>
      <c r="O10" s="103">
        <f t="shared" si="12"/>
        <v>615450</v>
      </c>
      <c r="P10" s="103">
        <f t="shared" si="12"/>
        <v>601820</v>
      </c>
      <c r="Q10" s="104">
        <f t="shared" si="12"/>
        <v>584550</v>
      </c>
      <c r="R10" s="105">
        <f t="shared" si="6"/>
        <v>677000</v>
      </c>
      <c r="S10" s="106">
        <f t="shared" si="7"/>
        <v>663000</v>
      </c>
      <c r="T10" s="106">
        <f t="shared" si="8"/>
        <v>649000</v>
      </c>
      <c r="U10" s="107">
        <v>630000.0</v>
      </c>
      <c r="V10" s="92">
        <v>45041.0</v>
      </c>
      <c r="W10" s="50">
        <v>0.02</v>
      </c>
      <c r="Y10" s="50"/>
    </row>
    <row r="11">
      <c r="A11" s="109">
        <v>5.0</v>
      </c>
      <c r="B11" s="110" t="s">
        <v>89</v>
      </c>
      <c r="C11" s="111" t="s">
        <v>78</v>
      </c>
      <c r="D11" s="111" t="s">
        <v>79</v>
      </c>
      <c r="E11" s="111" t="s">
        <v>86</v>
      </c>
      <c r="F11" s="111" t="s">
        <v>90</v>
      </c>
      <c r="G11" s="111" t="s">
        <v>82</v>
      </c>
      <c r="H11" s="112">
        <f>iferror(vlookup(B11,'TỒN'!$A:$E,5,false),)</f>
        <v>0</v>
      </c>
      <c r="I11" s="113">
        <f t="shared" ref="I11:L11" si="13">round(R11/(1-$W11),-3)</f>
        <v>845000</v>
      </c>
      <c r="J11" s="114">
        <f t="shared" si="13"/>
        <v>828000</v>
      </c>
      <c r="K11" s="115">
        <f t="shared" si="13"/>
        <v>810000</v>
      </c>
      <c r="L11" s="116">
        <f t="shared" si="13"/>
        <v>786000</v>
      </c>
      <c r="M11" s="117">
        <f t="shared" si="4"/>
        <v>0</v>
      </c>
      <c r="N11" s="118">
        <f t="shared" ref="N11:Q11" si="14">IF(ISBLANK(I11),,ROUND(I11/1.1,-1))</f>
        <v>768180</v>
      </c>
      <c r="O11" s="119">
        <f t="shared" si="14"/>
        <v>752730</v>
      </c>
      <c r="P11" s="119">
        <f t="shared" si="14"/>
        <v>736360</v>
      </c>
      <c r="Q11" s="120">
        <f t="shared" si="14"/>
        <v>714550</v>
      </c>
      <c r="R11" s="118">
        <f t="shared" si="6"/>
        <v>828000</v>
      </c>
      <c r="S11" s="119">
        <f t="shared" si="7"/>
        <v>811000</v>
      </c>
      <c r="T11" s="119">
        <f t="shared" si="8"/>
        <v>794000</v>
      </c>
      <c r="U11" s="121">
        <v>770000.0</v>
      </c>
      <c r="V11" s="92">
        <v>45035.0</v>
      </c>
      <c r="W11" s="50">
        <v>0.02</v>
      </c>
      <c r="Y11" s="50"/>
    </row>
    <row r="12">
      <c r="A12" s="93">
        <v>6.0</v>
      </c>
      <c r="B12" s="122" t="s">
        <v>91</v>
      </c>
      <c r="C12" s="123" t="s">
        <v>78</v>
      </c>
      <c r="D12" s="123" t="s">
        <v>79</v>
      </c>
      <c r="E12" s="123" t="s">
        <v>86</v>
      </c>
      <c r="F12" s="123" t="s">
        <v>92</v>
      </c>
      <c r="G12" s="123" t="s">
        <v>82</v>
      </c>
      <c r="H12" s="96">
        <f>iferror(vlookup(B12,'TỒN'!$A:$E,5,false),)</f>
        <v>1</v>
      </c>
      <c r="I12" s="124">
        <f t="shared" ref="I12:L12" si="15">round(R12/(1-$W12),-3)</f>
        <v>872000</v>
      </c>
      <c r="J12" s="125">
        <f t="shared" si="15"/>
        <v>854000</v>
      </c>
      <c r="K12" s="99">
        <f t="shared" si="15"/>
        <v>837000</v>
      </c>
      <c r="L12" s="100">
        <f t="shared" si="15"/>
        <v>811000</v>
      </c>
      <c r="M12" s="101">
        <f t="shared" si="4"/>
        <v>837000</v>
      </c>
      <c r="N12" s="102">
        <f t="shared" ref="N12:Q12" si="16">IF(ISBLANK(I12),,ROUND(I12/1.1,-1))</f>
        <v>792730</v>
      </c>
      <c r="O12" s="103">
        <f t="shared" si="16"/>
        <v>776360</v>
      </c>
      <c r="P12" s="103">
        <f t="shared" si="16"/>
        <v>760910</v>
      </c>
      <c r="Q12" s="104">
        <f t="shared" si="16"/>
        <v>737270</v>
      </c>
      <c r="R12" s="105">
        <f t="shared" si="6"/>
        <v>855000</v>
      </c>
      <c r="S12" s="106">
        <f t="shared" si="7"/>
        <v>837000</v>
      </c>
      <c r="T12" s="106">
        <f t="shared" si="8"/>
        <v>820000</v>
      </c>
      <c r="U12" s="107">
        <v>795000.0</v>
      </c>
      <c r="V12" s="92">
        <v>45035.0</v>
      </c>
      <c r="W12" s="50">
        <v>0.02</v>
      </c>
      <c r="Y12" s="50"/>
    </row>
    <row r="13">
      <c r="A13" s="109">
        <v>7.0</v>
      </c>
      <c r="B13" s="110" t="s">
        <v>93</v>
      </c>
      <c r="C13" s="111" t="s">
        <v>78</v>
      </c>
      <c r="D13" s="111" t="s">
        <v>79</v>
      </c>
      <c r="E13" s="111" t="s">
        <v>94</v>
      </c>
      <c r="F13" s="111" t="s">
        <v>81</v>
      </c>
      <c r="G13" s="111" t="s">
        <v>82</v>
      </c>
      <c r="H13" s="112">
        <f>iferror(vlookup(B13,'TỒN'!$A:$E,5,false),)</f>
        <v>87</v>
      </c>
      <c r="I13" s="126">
        <f t="shared" ref="I13:L13" si="17">round(R13/(1-$W13),-3)</f>
        <v>419000</v>
      </c>
      <c r="J13" s="127">
        <f t="shared" si="17"/>
        <v>410000</v>
      </c>
      <c r="K13" s="115">
        <f t="shared" si="17"/>
        <v>402000</v>
      </c>
      <c r="L13" s="116">
        <f t="shared" si="17"/>
        <v>390000</v>
      </c>
      <c r="M13" s="117">
        <f t="shared" si="4"/>
        <v>34974000</v>
      </c>
      <c r="N13" s="118">
        <f t="shared" ref="N13:Q13" si="18">IF(ISBLANK(I13),,ROUND(I13/1.1,-1))</f>
        <v>380910</v>
      </c>
      <c r="O13" s="119">
        <f t="shared" si="18"/>
        <v>372730</v>
      </c>
      <c r="P13" s="119">
        <f t="shared" si="18"/>
        <v>365450</v>
      </c>
      <c r="Q13" s="120">
        <f t="shared" si="18"/>
        <v>354550</v>
      </c>
      <c r="R13" s="118">
        <f t="shared" si="6"/>
        <v>406000</v>
      </c>
      <c r="S13" s="119">
        <f t="shared" si="7"/>
        <v>398000</v>
      </c>
      <c r="T13" s="119">
        <f t="shared" si="8"/>
        <v>390000</v>
      </c>
      <c r="U13" s="121">
        <v>378000.0</v>
      </c>
      <c r="V13" s="92">
        <v>45035.0</v>
      </c>
      <c r="W13" s="50">
        <v>0.03</v>
      </c>
      <c r="Y13" s="50"/>
    </row>
    <row r="14">
      <c r="A14" s="93">
        <v>8.0</v>
      </c>
      <c r="B14" s="122" t="s">
        <v>95</v>
      </c>
      <c r="C14" s="123" t="s">
        <v>78</v>
      </c>
      <c r="D14" s="123" t="s">
        <v>79</v>
      </c>
      <c r="E14" s="123" t="s">
        <v>94</v>
      </c>
      <c r="F14" s="123" t="s">
        <v>84</v>
      </c>
      <c r="G14" s="123" t="s">
        <v>82</v>
      </c>
      <c r="H14" s="96">
        <f>iferror(vlookup(B14,'TỒN'!$A:$E,5,false),)</f>
        <v>5</v>
      </c>
      <c r="I14" s="124">
        <f t="shared" ref="I14:L14" si="19">round(R14/(1-$W14),-3)</f>
        <v>1487000</v>
      </c>
      <c r="J14" s="125">
        <f t="shared" si="19"/>
        <v>1455000</v>
      </c>
      <c r="K14" s="99">
        <f t="shared" si="19"/>
        <v>1426000</v>
      </c>
      <c r="L14" s="100">
        <f t="shared" si="19"/>
        <v>1383000</v>
      </c>
      <c r="M14" s="101">
        <f t="shared" si="4"/>
        <v>7130000</v>
      </c>
      <c r="N14" s="102">
        <f t="shared" ref="N14:Q14" si="20">IF(ISBLANK(I14),,ROUND(I14/1.1,-1))</f>
        <v>1351820</v>
      </c>
      <c r="O14" s="103">
        <f t="shared" si="20"/>
        <v>1322730</v>
      </c>
      <c r="P14" s="103">
        <f t="shared" si="20"/>
        <v>1296360</v>
      </c>
      <c r="Q14" s="104">
        <f t="shared" si="20"/>
        <v>1257270</v>
      </c>
      <c r="R14" s="105">
        <f t="shared" si="6"/>
        <v>1457000</v>
      </c>
      <c r="S14" s="106">
        <f t="shared" si="7"/>
        <v>1426000</v>
      </c>
      <c r="T14" s="106">
        <f t="shared" si="8"/>
        <v>1397000</v>
      </c>
      <c r="U14" s="107">
        <v>1355000.0</v>
      </c>
      <c r="V14" s="92">
        <v>45041.0</v>
      </c>
      <c r="W14" s="50">
        <v>0.02</v>
      </c>
      <c r="Y14" s="50"/>
    </row>
    <row r="15">
      <c r="A15" s="109">
        <v>9.0</v>
      </c>
      <c r="B15" s="110" t="s">
        <v>96</v>
      </c>
      <c r="C15" s="111" t="s">
        <v>78</v>
      </c>
      <c r="D15" s="111" t="s">
        <v>79</v>
      </c>
      <c r="E15" s="111" t="s">
        <v>97</v>
      </c>
      <c r="F15" s="111" t="s">
        <v>98</v>
      </c>
      <c r="G15" s="111" t="s">
        <v>82</v>
      </c>
      <c r="H15" s="112">
        <f>iferror(vlookup(B15,'TỒN'!$A:$E,5,false),)</f>
        <v>477</v>
      </c>
      <c r="I15" s="126">
        <f t="shared" ref="I15:L15" si="21">round(R15/(1-$W15),-3)</f>
        <v>427000</v>
      </c>
      <c r="J15" s="127">
        <f t="shared" si="21"/>
        <v>418000</v>
      </c>
      <c r="K15" s="115">
        <f t="shared" si="21"/>
        <v>409000</v>
      </c>
      <c r="L15" s="116">
        <f t="shared" si="21"/>
        <v>397000</v>
      </c>
      <c r="M15" s="117">
        <f t="shared" si="4"/>
        <v>195093000</v>
      </c>
      <c r="N15" s="118">
        <f t="shared" ref="N15:Q15" si="22">IF(ISBLANK(I15),,ROUND(I15/1.1,-1))</f>
        <v>388180</v>
      </c>
      <c r="O15" s="119">
        <f t="shared" si="22"/>
        <v>380000</v>
      </c>
      <c r="P15" s="119">
        <f t="shared" si="22"/>
        <v>371820</v>
      </c>
      <c r="Q15" s="120">
        <f t="shared" si="22"/>
        <v>360910</v>
      </c>
      <c r="R15" s="118">
        <f t="shared" si="6"/>
        <v>414000</v>
      </c>
      <c r="S15" s="119">
        <f t="shared" si="7"/>
        <v>405000</v>
      </c>
      <c r="T15" s="119">
        <f t="shared" si="8"/>
        <v>397000</v>
      </c>
      <c r="U15" s="121">
        <v>385000.0</v>
      </c>
      <c r="V15" s="92">
        <v>45035.0</v>
      </c>
      <c r="W15" s="50">
        <v>0.03</v>
      </c>
      <c r="Y15" s="50"/>
    </row>
    <row r="16">
      <c r="A16" s="93">
        <v>10.0</v>
      </c>
      <c r="B16" s="122" t="s">
        <v>99</v>
      </c>
      <c r="C16" s="123" t="s">
        <v>78</v>
      </c>
      <c r="D16" s="123" t="s">
        <v>79</v>
      </c>
      <c r="E16" s="123" t="s">
        <v>97</v>
      </c>
      <c r="F16" s="123" t="s">
        <v>100</v>
      </c>
      <c r="G16" s="123" t="s">
        <v>82</v>
      </c>
      <c r="H16" s="96">
        <f>iferror(vlookup(B16,'TỒN'!$A:$E,5,false),)</f>
        <v>62</v>
      </c>
      <c r="I16" s="97">
        <f t="shared" ref="I16:L16" si="23">round(R16/(1-$W16),-3)</f>
        <v>1377000</v>
      </c>
      <c r="J16" s="98">
        <f t="shared" si="23"/>
        <v>1348000</v>
      </c>
      <c r="K16" s="99">
        <f t="shared" si="23"/>
        <v>1320000</v>
      </c>
      <c r="L16" s="100">
        <f t="shared" si="23"/>
        <v>1281000</v>
      </c>
      <c r="M16" s="101">
        <f t="shared" si="4"/>
        <v>81840000</v>
      </c>
      <c r="N16" s="102">
        <f t="shared" ref="N16:Q16" si="24">IF(ISBLANK(I16),,ROUND(I16/1.1,-1))</f>
        <v>1251820</v>
      </c>
      <c r="O16" s="103">
        <f t="shared" si="24"/>
        <v>1225450</v>
      </c>
      <c r="P16" s="103">
        <f t="shared" si="24"/>
        <v>1200000</v>
      </c>
      <c r="Q16" s="104">
        <f t="shared" si="24"/>
        <v>1164550</v>
      </c>
      <c r="R16" s="105">
        <f t="shared" si="6"/>
        <v>1349000</v>
      </c>
      <c r="S16" s="106">
        <f t="shared" si="7"/>
        <v>1321000</v>
      </c>
      <c r="T16" s="106">
        <f t="shared" si="8"/>
        <v>1294000</v>
      </c>
      <c r="U16" s="107">
        <v>1255000.0</v>
      </c>
      <c r="V16" s="92">
        <v>45038.0</v>
      </c>
      <c r="W16" s="50">
        <v>0.02</v>
      </c>
      <c r="Y16" s="50"/>
    </row>
    <row r="17">
      <c r="A17" s="109">
        <v>11.0</v>
      </c>
      <c r="B17" s="110" t="s">
        <v>101</v>
      </c>
      <c r="C17" s="111" t="s">
        <v>78</v>
      </c>
      <c r="D17" s="111" t="s">
        <v>79</v>
      </c>
      <c r="E17" s="111" t="s">
        <v>102</v>
      </c>
      <c r="F17" s="111" t="s">
        <v>103</v>
      </c>
      <c r="G17" s="111" t="s">
        <v>82</v>
      </c>
      <c r="H17" s="112">
        <f>iferror(vlookup(B17,'TỒN'!$A:$E,5,false),)</f>
        <v>221</v>
      </c>
      <c r="I17" s="126">
        <f t="shared" ref="I17:L17" si="25">round(R17/(1-$W17),-3)</f>
        <v>476000</v>
      </c>
      <c r="J17" s="127">
        <f t="shared" si="25"/>
        <v>467000</v>
      </c>
      <c r="K17" s="115">
        <f t="shared" si="25"/>
        <v>457000</v>
      </c>
      <c r="L17" s="116">
        <f t="shared" si="25"/>
        <v>443000</v>
      </c>
      <c r="M17" s="117">
        <f t="shared" si="4"/>
        <v>100997000</v>
      </c>
      <c r="N17" s="118">
        <f t="shared" ref="N17:Q17" si="26">IF(ISBLANK(I17),,ROUND(I17/1.1,-1))</f>
        <v>432730</v>
      </c>
      <c r="O17" s="119">
        <f t="shared" si="26"/>
        <v>424550</v>
      </c>
      <c r="P17" s="119">
        <f t="shared" si="26"/>
        <v>415450</v>
      </c>
      <c r="Q17" s="120">
        <f t="shared" si="26"/>
        <v>402730</v>
      </c>
      <c r="R17" s="118">
        <f t="shared" si="6"/>
        <v>462000</v>
      </c>
      <c r="S17" s="119">
        <f t="shared" si="7"/>
        <v>453000</v>
      </c>
      <c r="T17" s="119">
        <f t="shared" si="8"/>
        <v>443000</v>
      </c>
      <c r="U17" s="121">
        <v>430000.0</v>
      </c>
      <c r="V17" s="92">
        <v>45041.0</v>
      </c>
      <c r="W17" s="50">
        <v>0.03</v>
      </c>
      <c r="Y17" s="50"/>
    </row>
    <row r="18">
      <c r="A18" s="93">
        <v>12.0</v>
      </c>
      <c r="B18" s="122" t="s">
        <v>104</v>
      </c>
      <c r="C18" s="123" t="s">
        <v>78</v>
      </c>
      <c r="D18" s="123" t="s">
        <v>79</v>
      </c>
      <c r="E18" s="123" t="s">
        <v>102</v>
      </c>
      <c r="F18" s="123" t="s">
        <v>105</v>
      </c>
      <c r="G18" s="123" t="s">
        <v>82</v>
      </c>
      <c r="H18" s="96">
        <f>iferror(vlookup(B18,'TỒN'!$A:$E,5,false),)</f>
        <v>7</v>
      </c>
      <c r="I18" s="97">
        <f t="shared" ref="I18:L18" si="27">round(R18/(1-$W18),-3)</f>
        <v>1558000</v>
      </c>
      <c r="J18" s="98">
        <f t="shared" si="27"/>
        <v>1526000</v>
      </c>
      <c r="K18" s="99">
        <f t="shared" si="27"/>
        <v>1494000</v>
      </c>
      <c r="L18" s="100">
        <f t="shared" si="27"/>
        <v>1449000</v>
      </c>
      <c r="M18" s="101">
        <f t="shared" si="4"/>
        <v>10458000</v>
      </c>
      <c r="N18" s="102">
        <f t="shared" ref="N18:Q18" si="28">IF(ISBLANK(I18),,ROUND(I18/1.1,-1))</f>
        <v>1416360</v>
      </c>
      <c r="O18" s="103">
        <f t="shared" si="28"/>
        <v>1387270</v>
      </c>
      <c r="P18" s="103">
        <f t="shared" si="28"/>
        <v>1358180</v>
      </c>
      <c r="Q18" s="104">
        <f t="shared" si="28"/>
        <v>1317270</v>
      </c>
      <c r="R18" s="105">
        <f t="shared" si="6"/>
        <v>1527000</v>
      </c>
      <c r="S18" s="106">
        <f t="shared" si="7"/>
        <v>1495000</v>
      </c>
      <c r="T18" s="106">
        <f t="shared" si="8"/>
        <v>1464000</v>
      </c>
      <c r="U18" s="107">
        <v>1420000.0</v>
      </c>
      <c r="V18" s="92">
        <v>45035.0</v>
      </c>
      <c r="W18" s="50">
        <v>0.02</v>
      </c>
      <c r="Y18" s="50"/>
    </row>
    <row r="19">
      <c r="A19" s="109">
        <v>13.0</v>
      </c>
      <c r="B19" s="110" t="s">
        <v>106</v>
      </c>
      <c r="C19" s="111" t="s">
        <v>78</v>
      </c>
      <c r="D19" s="111" t="s">
        <v>79</v>
      </c>
      <c r="E19" s="111" t="s">
        <v>107</v>
      </c>
      <c r="F19" s="111" t="s">
        <v>98</v>
      </c>
      <c r="G19" s="111" t="s">
        <v>82</v>
      </c>
      <c r="H19" s="112">
        <f>iferror(vlookup(B19,'TỒN'!$A:$E,5,false),)</f>
        <v>405</v>
      </c>
      <c r="I19" s="126">
        <f t="shared" ref="I19:L19" si="29">round(R19/(1-$W19),-3)</f>
        <v>476000</v>
      </c>
      <c r="J19" s="127">
        <f t="shared" si="29"/>
        <v>467000</v>
      </c>
      <c r="K19" s="115">
        <f t="shared" si="29"/>
        <v>457000</v>
      </c>
      <c r="L19" s="116">
        <f t="shared" si="29"/>
        <v>443000</v>
      </c>
      <c r="M19" s="117">
        <f t="shared" si="4"/>
        <v>185085000</v>
      </c>
      <c r="N19" s="118">
        <f t="shared" ref="N19:Q19" si="30">IF(ISBLANK(I19),,ROUND(I19/1.1,-1))</f>
        <v>432730</v>
      </c>
      <c r="O19" s="119">
        <f t="shared" si="30"/>
        <v>424550</v>
      </c>
      <c r="P19" s="119">
        <f t="shared" si="30"/>
        <v>415450</v>
      </c>
      <c r="Q19" s="120">
        <f t="shared" si="30"/>
        <v>402730</v>
      </c>
      <c r="R19" s="118">
        <f t="shared" si="6"/>
        <v>462000</v>
      </c>
      <c r="S19" s="119">
        <f t="shared" si="7"/>
        <v>453000</v>
      </c>
      <c r="T19" s="119">
        <f t="shared" si="8"/>
        <v>443000</v>
      </c>
      <c r="U19" s="121">
        <v>430000.0</v>
      </c>
      <c r="V19" s="92">
        <v>45041.0</v>
      </c>
      <c r="W19" s="50">
        <v>0.03</v>
      </c>
      <c r="Y19" s="50"/>
    </row>
    <row r="20">
      <c r="A20" s="93">
        <v>14.0</v>
      </c>
      <c r="B20" s="122" t="s">
        <v>108</v>
      </c>
      <c r="C20" s="123" t="s">
        <v>78</v>
      </c>
      <c r="D20" s="123" t="s">
        <v>79</v>
      </c>
      <c r="E20" s="123" t="s">
        <v>109</v>
      </c>
      <c r="F20" s="123" t="s">
        <v>81</v>
      </c>
      <c r="G20" s="123" t="s">
        <v>82</v>
      </c>
      <c r="H20" s="96">
        <f>iferror(vlookup(B20,'TỒN'!$A:$E,5,false),)</f>
        <v>52</v>
      </c>
      <c r="I20" s="97">
        <f t="shared" ref="I20:L20" si="31">round(R20/(1-$W20),-3)</f>
        <v>355000</v>
      </c>
      <c r="J20" s="98">
        <f t="shared" si="31"/>
        <v>347000</v>
      </c>
      <c r="K20" s="99">
        <f t="shared" si="31"/>
        <v>340000</v>
      </c>
      <c r="L20" s="100">
        <f t="shared" si="31"/>
        <v>330000</v>
      </c>
      <c r="M20" s="101">
        <f t="shared" si="4"/>
        <v>17680000</v>
      </c>
      <c r="N20" s="102">
        <f t="shared" ref="N20:Q20" si="32">IF(ISBLANK(I20),,ROUND(I20/1.1,-1))</f>
        <v>322730</v>
      </c>
      <c r="O20" s="103">
        <f t="shared" si="32"/>
        <v>315450</v>
      </c>
      <c r="P20" s="103">
        <f t="shared" si="32"/>
        <v>309090</v>
      </c>
      <c r="Q20" s="104">
        <f t="shared" si="32"/>
        <v>300000</v>
      </c>
      <c r="R20" s="105">
        <f t="shared" si="6"/>
        <v>344000</v>
      </c>
      <c r="S20" s="106">
        <f t="shared" si="7"/>
        <v>337000</v>
      </c>
      <c r="T20" s="106">
        <f t="shared" si="8"/>
        <v>330000</v>
      </c>
      <c r="U20" s="107">
        <v>320000.0</v>
      </c>
      <c r="V20" s="92">
        <v>45035.0</v>
      </c>
      <c r="W20" s="50">
        <v>0.03</v>
      </c>
      <c r="Y20" s="50"/>
    </row>
    <row r="21">
      <c r="A21" s="109">
        <v>15.0</v>
      </c>
      <c r="B21" s="110" t="s">
        <v>110</v>
      </c>
      <c r="C21" s="111" t="s">
        <v>78</v>
      </c>
      <c r="D21" s="111" t="s">
        <v>79</v>
      </c>
      <c r="E21" s="111" t="s">
        <v>109</v>
      </c>
      <c r="F21" s="111" t="s">
        <v>111</v>
      </c>
      <c r="G21" s="111" t="s">
        <v>82</v>
      </c>
      <c r="H21" s="112">
        <f>iferror(vlookup(B21,'TỒN'!$A:$E,5,false),)</f>
        <v>96</v>
      </c>
      <c r="I21" s="126">
        <f t="shared" ref="I21:L21" si="33">round(R21/(1-$W21),-3)</f>
        <v>559000</v>
      </c>
      <c r="J21" s="127">
        <f t="shared" si="33"/>
        <v>548000</v>
      </c>
      <c r="K21" s="115">
        <f t="shared" si="33"/>
        <v>537000</v>
      </c>
      <c r="L21" s="116">
        <f t="shared" si="33"/>
        <v>520000</v>
      </c>
      <c r="M21" s="117">
        <f t="shared" si="4"/>
        <v>51552000</v>
      </c>
      <c r="N21" s="118">
        <f t="shared" ref="N21:Q21" si="34">IF(ISBLANK(I21),,ROUND(I21/1.1,-1))</f>
        <v>508180</v>
      </c>
      <c r="O21" s="119">
        <f t="shared" si="34"/>
        <v>498180</v>
      </c>
      <c r="P21" s="119">
        <f t="shared" si="34"/>
        <v>488180</v>
      </c>
      <c r="Q21" s="120">
        <f t="shared" si="34"/>
        <v>472730</v>
      </c>
      <c r="R21" s="118">
        <f t="shared" si="6"/>
        <v>548000</v>
      </c>
      <c r="S21" s="119">
        <f t="shared" si="7"/>
        <v>537000</v>
      </c>
      <c r="T21" s="119">
        <f t="shared" si="8"/>
        <v>526000</v>
      </c>
      <c r="U21" s="121">
        <v>510000.0</v>
      </c>
      <c r="V21" s="92">
        <v>45041.0</v>
      </c>
      <c r="W21" s="50">
        <v>0.02</v>
      </c>
      <c r="Y21" s="50"/>
    </row>
    <row r="22">
      <c r="A22" s="128" t="s">
        <v>112</v>
      </c>
      <c r="B22" s="129"/>
      <c r="C22" s="129"/>
      <c r="D22" s="129"/>
      <c r="E22" s="129"/>
      <c r="F22" s="129"/>
      <c r="G22" s="129"/>
      <c r="H22" s="130"/>
      <c r="I22" s="131" t="s">
        <v>73</v>
      </c>
      <c r="J22" s="132"/>
      <c r="K22" s="133"/>
      <c r="L22" s="134"/>
      <c r="M22" s="135">
        <f>SUM(M23:M25)</f>
        <v>188280000</v>
      </c>
      <c r="N22" s="136" t="str">
        <f t="array" ref="N22:P22">I22:K22</f>
        <v>Bán lẻ</v>
      </c>
      <c r="O22" s="137"/>
      <c r="P22" s="137"/>
      <c r="Q22" s="138"/>
      <c r="R22" s="139" t="str">
        <f t="array" ref="R22:T22">I22:K22</f>
        <v>Bán lẻ</v>
      </c>
      <c r="S22" s="140"/>
      <c r="T22" s="140"/>
      <c r="U22" s="141"/>
      <c r="V22" s="78"/>
      <c r="X22" s="50" t="str">
        <f t="shared" ref="X22:X30" si="37">IFERROR(XLOOKUP(B22,#REF!,#REF!))</f>
        <v/>
      </c>
    </row>
    <row r="23">
      <c r="A23" s="79">
        <v>1.0</v>
      </c>
      <c r="B23" s="80" t="s">
        <v>113</v>
      </c>
      <c r="C23" s="81" t="s">
        <v>78</v>
      </c>
      <c r="D23" s="81" t="s">
        <v>79</v>
      </c>
      <c r="E23" s="81" t="s">
        <v>80</v>
      </c>
      <c r="F23" s="81" t="s">
        <v>84</v>
      </c>
      <c r="G23" s="81" t="s">
        <v>114</v>
      </c>
      <c r="H23" s="82">
        <f>iferror(vlookup(B23,'TỒN'!$A:$E,5,false),)</f>
        <v>44</v>
      </c>
      <c r="I23" s="142">
        <v>1920000.0</v>
      </c>
      <c r="J23" s="143">
        <v>1910000.0</v>
      </c>
      <c r="K23" s="144">
        <v>1900000.0</v>
      </c>
      <c r="L23" s="86"/>
      <c r="M23" s="87">
        <f>I23*H23</f>
        <v>84480000</v>
      </c>
      <c r="N23" s="88">
        <f t="shared" ref="N23:Q23" si="35">IF(ISBLANK(I23),,ROUND(I23/1.1,-1))</f>
        <v>1745450</v>
      </c>
      <c r="O23" s="89">
        <f t="shared" si="35"/>
        <v>1736360</v>
      </c>
      <c r="P23" s="89">
        <f t="shared" si="35"/>
        <v>1727270</v>
      </c>
      <c r="Q23" s="90" t="str">
        <f t="shared" si="35"/>
        <v/>
      </c>
      <c r="R23" s="88">
        <f t="shared" ref="R23:U23" si="36">IF(ISBLANK(I23),,ROUND(I23*(1-$W23),-1))</f>
        <v>1881600</v>
      </c>
      <c r="S23" s="89">
        <f t="shared" si="36"/>
        <v>1871800</v>
      </c>
      <c r="T23" s="89">
        <f t="shared" si="36"/>
        <v>1862000</v>
      </c>
      <c r="U23" s="91" t="str">
        <f t="shared" si="36"/>
        <v/>
      </c>
      <c r="V23" s="145" t="s">
        <v>115</v>
      </c>
      <c r="W23" s="50">
        <v>0.02</v>
      </c>
      <c r="X23" s="50" t="str">
        <f t="shared" si="37"/>
        <v/>
      </c>
      <c r="Y23" s="50"/>
    </row>
    <row r="24">
      <c r="A24" s="93">
        <v>2.0</v>
      </c>
      <c r="B24" s="122" t="s">
        <v>116</v>
      </c>
      <c r="C24" s="123" t="s">
        <v>78</v>
      </c>
      <c r="D24" s="123" t="s">
        <v>117</v>
      </c>
      <c r="E24" s="123" t="s">
        <v>97</v>
      </c>
      <c r="F24" s="123" t="s">
        <v>100</v>
      </c>
      <c r="G24" s="123" t="s">
        <v>114</v>
      </c>
      <c r="H24" s="96">
        <f>iferror(vlookup(B24,'TỒN'!$A:$E,5,false),)</f>
        <v>50</v>
      </c>
      <c r="I24" s="124">
        <f t="shared" ref="I24:K24" si="38">J24+20000</f>
        <v>1770000</v>
      </c>
      <c r="J24" s="125">
        <f t="shared" si="38"/>
        <v>1750000</v>
      </c>
      <c r="K24" s="99">
        <f t="shared" si="38"/>
        <v>1730000</v>
      </c>
      <c r="L24" s="100">
        <v>1710000.0</v>
      </c>
      <c r="M24" s="101">
        <f t="shared" ref="M24:M25" si="42">K24*H24</f>
        <v>86500000</v>
      </c>
      <c r="N24" s="102">
        <f t="shared" ref="N24:Q24" si="39">IF(ISBLANK(I24),,ROUND(I24/1.1,-1))</f>
        <v>1609090</v>
      </c>
      <c r="O24" s="103">
        <f t="shared" si="39"/>
        <v>1590910</v>
      </c>
      <c r="P24" s="103">
        <f t="shared" si="39"/>
        <v>1572730</v>
      </c>
      <c r="Q24" s="104">
        <f t="shared" si="39"/>
        <v>1554550</v>
      </c>
      <c r="R24" s="105">
        <f t="shared" ref="R24:R26" si="44">S24+30000</f>
        <v>1750000</v>
      </c>
      <c r="S24" s="106">
        <f t="shared" ref="S24:T24" si="40">T24+20000</f>
        <v>1720000</v>
      </c>
      <c r="T24" s="106">
        <f t="shared" si="40"/>
        <v>1700000</v>
      </c>
      <c r="U24" s="107">
        <v>1680000.0</v>
      </c>
      <c r="V24" s="145" t="s">
        <v>118</v>
      </c>
      <c r="W24" s="108">
        <v>0.01</v>
      </c>
      <c r="X24" s="50" t="str">
        <f t="shared" si="37"/>
        <v/>
      </c>
      <c r="Y24" s="50"/>
    </row>
    <row r="25">
      <c r="A25" s="109">
        <v>3.0</v>
      </c>
      <c r="B25" s="110" t="s">
        <v>119</v>
      </c>
      <c r="C25" s="111" t="s">
        <v>78</v>
      </c>
      <c r="D25" s="111" t="s">
        <v>117</v>
      </c>
      <c r="E25" s="111" t="s">
        <v>107</v>
      </c>
      <c r="F25" s="111" t="s">
        <v>100</v>
      </c>
      <c r="G25" s="111" t="s">
        <v>114</v>
      </c>
      <c r="H25" s="112">
        <f>iferror(vlookup(B25,'TỒN'!$A:$E,5,false),)</f>
        <v>10</v>
      </c>
      <c r="I25" s="142">
        <f t="shared" ref="I25:K25" si="41">J25+20000</f>
        <v>1770000</v>
      </c>
      <c r="J25" s="143">
        <f t="shared" si="41"/>
        <v>1750000</v>
      </c>
      <c r="K25" s="144">
        <f t="shared" si="41"/>
        <v>1730000</v>
      </c>
      <c r="L25" s="86">
        <v>1710000.0</v>
      </c>
      <c r="M25" s="117">
        <f t="shared" si="42"/>
        <v>17300000</v>
      </c>
      <c r="N25" s="118">
        <f t="shared" ref="N25:Q25" si="43">IF(ISBLANK(I25),,ROUND(I25/1.1,-1))</f>
        <v>1609090</v>
      </c>
      <c r="O25" s="119">
        <f t="shared" si="43"/>
        <v>1590910</v>
      </c>
      <c r="P25" s="119">
        <f t="shared" si="43"/>
        <v>1572730</v>
      </c>
      <c r="Q25" s="120">
        <f t="shared" si="43"/>
        <v>1554550</v>
      </c>
      <c r="R25" s="118">
        <f t="shared" si="44"/>
        <v>1750000</v>
      </c>
      <c r="S25" s="119">
        <f t="shared" ref="S25:T25" si="45">T25+20000</f>
        <v>1720000</v>
      </c>
      <c r="T25" s="119">
        <f t="shared" si="45"/>
        <v>1700000</v>
      </c>
      <c r="U25" s="121">
        <v>1680000.0</v>
      </c>
      <c r="V25" s="78"/>
      <c r="W25" s="108">
        <v>0.01</v>
      </c>
      <c r="X25" s="50" t="str">
        <f t="shared" si="37"/>
        <v/>
      </c>
      <c r="Y25" s="50"/>
    </row>
    <row r="26">
      <c r="A26" s="93">
        <v>4.0</v>
      </c>
      <c r="B26" s="122" t="s">
        <v>120</v>
      </c>
      <c r="C26" s="123" t="s">
        <v>121</v>
      </c>
      <c r="D26" s="123" t="s">
        <v>122</v>
      </c>
      <c r="E26" s="123" t="s">
        <v>102</v>
      </c>
      <c r="F26" s="123" t="s">
        <v>105</v>
      </c>
      <c r="G26" s="123" t="s">
        <v>114</v>
      </c>
      <c r="H26" s="96">
        <f>iferror(vlookup(B26,'TỒN'!$A:$E,5,false),)</f>
        <v>0</v>
      </c>
      <c r="I26" s="124">
        <f t="shared" ref="I26:K26" si="46">J26+20000</f>
        <v>1770000</v>
      </c>
      <c r="J26" s="125">
        <f t="shared" si="46"/>
        <v>1750000</v>
      </c>
      <c r="K26" s="99">
        <f t="shared" si="46"/>
        <v>1730000</v>
      </c>
      <c r="L26" s="100">
        <v>1710000.0</v>
      </c>
      <c r="M26" s="101"/>
      <c r="N26" s="102">
        <f t="shared" ref="N26:Q26" si="47">IF(ISBLANK(I26),,ROUND(I26/1.1,-1))</f>
        <v>1609090</v>
      </c>
      <c r="O26" s="103">
        <f t="shared" si="47"/>
        <v>1590910</v>
      </c>
      <c r="P26" s="103">
        <f t="shared" si="47"/>
        <v>1572730</v>
      </c>
      <c r="Q26" s="104">
        <f t="shared" si="47"/>
        <v>1554550</v>
      </c>
      <c r="R26" s="105">
        <f t="shared" si="44"/>
        <v>1750000</v>
      </c>
      <c r="S26" s="106">
        <f t="shared" ref="S26:T26" si="48">T26+20000</f>
        <v>1720000</v>
      </c>
      <c r="T26" s="106">
        <f t="shared" si="48"/>
        <v>1700000</v>
      </c>
      <c r="U26" s="107">
        <v>1680000.0</v>
      </c>
      <c r="V26" s="78"/>
      <c r="W26" s="50">
        <v>0.0</v>
      </c>
      <c r="X26" s="50" t="str">
        <f t="shared" si="37"/>
        <v/>
      </c>
      <c r="Y26" s="50"/>
    </row>
    <row r="27">
      <c r="A27" s="146">
        <v>5.0</v>
      </c>
      <c r="B27" s="147" t="s">
        <v>123</v>
      </c>
      <c r="C27" s="148" t="s">
        <v>78</v>
      </c>
      <c r="D27" s="148" t="s">
        <v>117</v>
      </c>
      <c r="E27" s="148" t="s">
        <v>80</v>
      </c>
      <c r="F27" s="148" t="s">
        <v>84</v>
      </c>
      <c r="G27" s="148" t="s">
        <v>114</v>
      </c>
      <c r="H27" s="149">
        <f>iferror(vlookup(B27,'TỒN'!A:C,3,false),0)</f>
        <v>181</v>
      </c>
      <c r="I27" s="142">
        <v>1950000.0</v>
      </c>
      <c r="J27" s="143">
        <v>1940000.0</v>
      </c>
      <c r="K27" s="144">
        <v>1930000.0</v>
      </c>
      <c r="L27" s="150"/>
      <c r="M27" s="151">
        <f>I27*H27</f>
        <v>352950000</v>
      </c>
      <c r="N27" s="152">
        <f t="shared" ref="N27:Q27" si="49">IF(ISBLANK(I27),,ROUND(I27/1.1,-1))</f>
        <v>1772730</v>
      </c>
      <c r="O27" s="153">
        <f t="shared" si="49"/>
        <v>1763640</v>
      </c>
      <c r="P27" s="153">
        <f t="shared" si="49"/>
        <v>1754550</v>
      </c>
      <c r="Q27" s="154" t="str">
        <f t="shared" si="49"/>
        <v/>
      </c>
      <c r="R27" s="118">
        <f t="shared" ref="R27:U27" si="50">IF(ISBLANK(I27),,ROUND(I27*(1-$W27),-1))</f>
        <v>1930500</v>
      </c>
      <c r="S27" s="119">
        <f t="shared" si="50"/>
        <v>1920600</v>
      </c>
      <c r="T27" s="119">
        <f t="shared" si="50"/>
        <v>1910700</v>
      </c>
      <c r="U27" s="121" t="str">
        <f t="shared" si="50"/>
        <v/>
      </c>
      <c r="V27" s="155">
        <v>45019.0</v>
      </c>
      <c r="W27" s="108">
        <v>0.01</v>
      </c>
      <c r="X27" s="50" t="str">
        <f t="shared" si="37"/>
        <v/>
      </c>
      <c r="Y27" s="50"/>
    </row>
    <row r="28">
      <c r="A28" s="128" t="s">
        <v>124</v>
      </c>
      <c r="B28" s="129"/>
      <c r="C28" s="129"/>
      <c r="D28" s="129"/>
      <c r="E28" s="129"/>
      <c r="F28" s="129"/>
      <c r="G28" s="129"/>
      <c r="H28" s="130"/>
      <c r="I28" s="131" t="s">
        <v>73</v>
      </c>
      <c r="J28" s="132" t="s">
        <v>125</v>
      </c>
      <c r="K28" s="156" t="s">
        <v>126</v>
      </c>
      <c r="L28" s="157"/>
      <c r="M28" s="158">
        <f>SUM(M29:M30)</f>
        <v>796520000</v>
      </c>
      <c r="N28" s="136" t="str">
        <f t="array" ref="N28:P28">I28:K28</f>
        <v>Bán lẻ</v>
      </c>
      <c r="O28" s="137" t="s">
        <v>125</v>
      </c>
      <c r="P28" s="137" t="s">
        <v>126</v>
      </c>
      <c r="Q28" s="159"/>
      <c r="R28" s="139" t="str">
        <f t="array" ref="R28:T28">I28:K28</f>
        <v>Bán lẻ</v>
      </c>
      <c r="S28" s="140" t="s">
        <v>125</v>
      </c>
      <c r="T28" s="140" t="s">
        <v>126</v>
      </c>
      <c r="U28" s="160"/>
      <c r="V28" s="78"/>
      <c r="X28" s="50" t="str">
        <f t="shared" si="37"/>
        <v/>
      </c>
    </row>
    <row r="29">
      <c r="A29" s="79">
        <v>1.0</v>
      </c>
      <c r="B29" s="80" t="s">
        <v>127</v>
      </c>
      <c r="C29" s="81" t="s">
        <v>78</v>
      </c>
      <c r="D29" s="81" t="s">
        <v>128</v>
      </c>
      <c r="E29" s="81" t="s">
        <v>94</v>
      </c>
      <c r="F29" s="81" t="s">
        <v>84</v>
      </c>
      <c r="G29" s="81" t="s">
        <v>129</v>
      </c>
      <c r="H29" s="82">
        <f>iferror(vlookup(B29,'TỒN'!$A:$E,5,false),)</f>
        <v>301</v>
      </c>
      <c r="I29" s="142">
        <v>2650000.0</v>
      </c>
      <c r="J29" s="143">
        <v>2600000.0</v>
      </c>
      <c r="K29" s="144">
        <v>2450000.0</v>
      </c>
      <c r="L29" s="86"/>
      <c r="M29" s="87">
        <f>J29*H29</f>
        <v>782600000</v>
      </c>
      <c r="N29" s="88">
        <f t="shared" ref="N29:Q29" si="51">IF(ISBLANK(I29),,ROUND(I29/1.1,-1))</f>
        <v>2409090</v>
      </c>
      <c r="O29" s="89">
        <f t="shared" si="51"/>
        <v>2363640</v>
      </c>
      <c r="P29" s="89">
        <f t="shared" si="51"/>
        <v>2227270</v>
      </c>
      <c r="Q29" s="90" t="str">
        <f t="shared" si="51"/>
        <v/>
      </c>
      <c r="R29" s="88">
        <f t="shared" ref="R29:U29" si="52">IF(ISBLANK(I29),,ROUND(I29*(1-$W29),-1))</f>
        <v>2650000</v>
      </c>
      <c r="S29" s="89">
        <f t="shared" si="52"/>
        <v>2600000</v>
      </c>
      <c r="T29" s="89">
        <f t="shared" si="52"/>
        <v>2450000</v>
      </c>
      <c r="U29" s="91" t="str">
        <f t="shared" si="52"/>
        <v/>
      </c>
      <c r="V29" s="155">
        <v>45020.0</v>
      </c>
      <c r="W29" s="50">
        <v>0.0</v>
      </c>
      <c r="X29" s="50" t="str">
        <f t="shared" si="37"/>
        <v/>
      </c>
      <c r="Y29" s="50"/>
    </row>
    <row r="30">
      <c r="A30" s="93">
        <v>2.0</v>
      </c>
      <c r="B30" s="122" t="s">
        <v>130</v>
      </c>
      <c r="C30" s="123" t="s">
        <v>78</v>
      </c>
      <c r="D30" s="123" t="s">
        <v>128</v>
      </c>
      <c r="E30" s="123" t="s">
        <v>97</v>
      </c>
      <c r="F30" s="123" t="s">
        <v>100</v>
      </c>
      <c r="G30" s="123" t="s">
        <v>131</v>
      </c>
      <c r="H30" s="96">
        <f>iferror(vlookup(B30,'TỒN'!$A:$E,5,false),)</f>
        <v>6</v>
      </c>
      <c r="I30" s="97">
        <f t="shared" ref="I30:J30" si="53">J30+10000</f>
        <v>2320000</v>
      </c>
      <c r="J30" s="98">
        <f t="shared" si="53"/>
        <v>2310000</v>
      </c>
      <c r="K30" s="99">
        <v>2300000.0</v>
      </c>
      <c r="L30" s="161"/>
      <c r="M30" s="101">
        <f>I30*H30</f>
        <v>13920000</v>
      </c>
      <c r="N30" s="102">
        <f t="shared" ref="N30:Q30" si="54">IF(ISBLANK(I30),,ROUND(I30/1.1,-1))</f>
        <v>2109090</v>
      </c>
      <c r="O30" s="103">
        <f t="shared" si="54"/>
        <v>2100000</v>
      </c>
      <c r="P30" s="103">
        <f t="shared" si="54"/>
        <v>2090910</v>
      </c>
      <c r="Q30" s="104" t="str">
        <f t="shared" si="54"/>
        <v/>
      </c>
      <c r="R30" s="105">
        <f t="shared" ref="R30:U30" si="55">IF(ISBLANK(I30),,ROUND(I30*(1-$W30),-1))</f>
        <v>2320000</v>
      </c>
      <c r="S30" s="106">
        <f t="shared" si="55"/>
        <v>2310000</v>
      </c>
      <c r="T30" s="106">
        <f t="shared" si="55"/>
        <v>2300000</v>
      </c>
      <c r="U30" s="107" t="str">
        <f t="shared" si="55"/>
        <v/>
      </c>
      <c r="V30" s="78"/>
      <c r="W30" s="50">
        <v>0.0</v>
      </c>
      <c r="X30" s="50" t="str">
        <f t="shared" si="37"/>
        <v/>
      </c>
      <c r="Y30" s="50"/>
    </row>
    <row r="31">
      <c r="A31" s="79"/>
      <c r="B31" s="80"/>
      <c r="C31" s="81"/>
      <c r="D31" s="81" t="s">
        <v>128</v>
      </c>
      <c r="E31" s="81">
        <v>407.0</v>
      </c>
      <c r="F31" s="81">
        <v>10.98</v>
      </c>
      <c r="G31" s="81" t="s">
        <v>131</v>
      </c>
      <c r="H31" s="82"/>
      <c r="I31" s="142">
        <v>2650000.0</v>
      </c>
      <c r="J31" s="143">
        <v>2600000.0</v>
      </c>
      <c r="K31" s="144">
        <v>2550000.0</v>
      </c>
      <c r="L31" s="86"/>
      <c r="M31" s="87"/>
      <c r="N31" s="88"/>
      <c r="O31" s="89"/>
      <c r="P31" s="89"/>
      <c r="Q31" s="90"/>
      <c r="R31" s="88"/>
      <c r="S31" s="89"/>
      <c r="T31" s="89"/>
      <c r="U31" s="91"/>
      <c r="V31" s="155"/>
      <c r="W31" s="50"/>
      <c r="X31" s="50"/>
      <c r="Y31" s="50"/>
    </row>
    <row r="32">
      <c r="A32" s="93"/>
      <c r="B32" s="122"/>
      <c r="C32" s="123"/>
      <c r="D32" s="123" t="s">
        <v>128</v>
      </c>
      <c r="E32" s="123">
        <v>404.0</v>
      </c>
      <c r="F32" s="123">
        <v>11.3</v>
      </c>
      <c r="G32" s="123" t="s">
        <v>131</v>
      </c>
      <c r="H32" s="96"/>
      <c r="I32" s="97">
        <v>2650000.0</v>
      </c>
      <c r="J32" s="98">
        <v>2600000.0</v>
      </c>
      <c r="K32" s="99">
        <v>2550000.0</v>
      </c>
      <c r="L32" s="161"/>
      <c r="M32" s="101"/>
      <c r="N32" s="102"/>
      <c r="O32" s="103"/>
      <c r="P32" s="103"/>
      <c r="Q32" s="104"/>
      <c r="R32" s="105"/>
      <c r="S32" s="106"/>
      <c r="T32" s="106"/>
      <c r="U32" s="107"/>
      <c r="V32" s="78"/>
      <c r="W32" s="50"/>
      <c r="X32" s="50"/>
      <c r="Y32" s="50"/>
    </row>
    <row r="33">
      <c r="A33" s="128" t="s">
        <v>132</v>
      </c>
      <c r="B33" s="129"/>
      <c r="C33" s="129"/>
      <c r="D33" s="129"/>
      <c r="E33" s="129"/>
      <c r="F33" s="129"/>
      <c r="G33" s="129"/>
      <c r="H33" s="130"/>
      <c r="I33" s="131" t="s">
        <v>73</v>
      </c>
      <c r="J33" s="132"/>
      <c r="K33" s="156"/>
      <c r="L33" s="157"/>
      <c r="M33" s="135">
        <f>SUM(M34:M35)</f>
        <v>3816000</v>
      </c>
      <c r="N33" s="136" t="str">
        <f t="array" ref="N33:P33">I33:K33</f>
        <v>Bán lẻ</v>
      </c>
      <c r="O33" s="137"/>
      <c r="P33" s="137"/>
      <c r="Q33" s="159"/>
      <c r="R33" s="139" t="str">
        <f t="array" ref="R33:T33">I33:K33</f>
        <v>Bán lẻ</v>
      </c>
      <c r="S33" s="140"/>
      <c r="T33" s="140"/>
      <c r="U33" s="160"/>
      <c r="V33" s="78"/>
      <c r="X33" s="50" t="str">
        <f t="shared" ref="X33:X37" si="58">IFERROR(XLOOKUP(B33,#REF!,#REF!))</f>
        <v/>
      </c>
    </row>
    <row r="34">
      <c r="A34" s="79" t="s">
        <v>133</v>
      </c>
      <c r="B34" s="80" t="s">
        <v>134</v>
      </c>
      <c r="C34" s="81" t="s">
        <v>78</v>
      </c>
      <c r="D34" s="81" t="s">
        <v>79</v>
      </c>
      <c r="E34" s="81" t="s">
        <v>94</v>
      </c>
      <c r="F34" s="81" t="s">
        <v>84</v>
      </c>
      <c r="G34" s="81" t="s">
        <v>135</v>
      </c>
      <c r="H34" s="82">
        <f>iferror(vlookup(B34,'TỒN'!$A:$E,5,false),)</f>
        <v>2</v>
      </c>
      <c r="I34" s="162">
        <v>1908000.0</v>
      </c>
      <c r="J34" s="84"/>
      <c r="K34" s="163"/>
      <c r="L34" s="164"/>
      <c r="M34" s="87">
        <f t="shared" ref="M34:M35" si="59">I34*H34</f>
        <v>3816000</v>
      </c>
      <c r="N34" s="162">
        <f t="shared" ref="N34:Q34" si="56">IF(ISBLANK(I34),,ROUND(I34/1.1,-1))</f>
        <v>1734550</v>
      </c>
      <c r="O34" s="165" t="str">
        <f t="shared" si="56"/>
        <v/>
      </c>
      <c r="P34" s="165" t="str">
        <f t="shared" si="56"/>
        <v/>
      </c>
      <c r="Q34" s="166" t="str">
        <f t="shared" si="56"/>
        <v/>
      </c>
      <c r="R34" s="162">
        <f t="shared" ref="R34:U34" si="57">IF(ISBLANK(I34),,ROUND(I34*(1-$W34),-1))</f>
        <v>1869840</v>
      </c>
      <c r="S34" s="165" t="str">
        <f t="shared" si="57"/>
        <v/>
      </c>
      <c r="T34" s="165" t="str">
        <f t="shared" si="57"/>
        <v/>
      </c>
      <c r="U34" s="167" t="str">
        <f t="shared" si="57"/>
        <v/>
      </c>
      <c r="V34" s="78"/>
      <c r="W34" s="50">
        <v>0.02</v>
      </c>
      <c r="X34" s="50" t="str">
        <f t="shared" si="58"/>
        <v/>
      </c>
      <c r="Y34" s="50"/>
    </row>
    <row r="35">
      <c r="A35" s="93" t="s">
        <v>133</v>
      </c>
      <c r="B35" s="122" t="s">
        <v>136</v>
      </c>
      <c r="C35" s="123" t="s">
        <v>78</v>
      </c>
      <c r="D35" s="123" t="s">
        <v>137</v>
      </c>
      <c r="E35" s="123" t="s">
        <v>97</v>
      </c>
      <c r="F35" s="123" t="s">
        <v>100</v>
      </c>
      <c r="G35" s="123" t="s">
        <v>82</v>
      </c>
      <c r="H35" s="96" t="str">
        <f>iferror(vlookup(B35,'TỒN'!$A:$E,5,false),)</f>
        <v/>
      </c>
      <c r="I35" s="124">
        <v>1800000.0</v>
      </c>
      <c r="J35" s="125"/>
      <c r="K35" s="99"/>
      <c r="L35" s="100"/>
      <c r="M35" s="101">
        <f t="shared" si="59"/>
        <v>0</v>
      </c>
      <c r="N35" s="102">
        <f t="shared" ref="N35:Q35" si="60">IF(ISBLANK(I35),,ROUND(I35/1.1,-1))</f>
        <v>1636360</v>
      </c>
      <c r="O35" s="103" t="str">
        <f t="shared" si="60"/>
        <v/>
      </c>
      <c r="P35" s="103" t="str">
        <f t="shared" si="60"/>
        <v/>
      </c>
      <c r="Q35" s="104" t="str">
        <f t="shared" si="60"/>
        <v/>
      </c>
      <c r="R35" s="105">
        <f t="shared" ref="R35:U35" si="61">IF(ISBLANK(I35),,ROUND(I35*(1-$W35),-1))</f>
        <v>1800000</v>
      </c>
      <c r="S35" s="106" t="str">
        <f t="shared" si="61"/>
        <v/>
      </c>
      <c r="T35" s="106" t="str">
        <f t="shared" si="61"/>
        <v/>
      </c>
      <c r="U35" s="107" t="str">
        <f t="shared" si="61"/>
        <v/>
      </c>
      <c r="V35" s="78"/>
      <c r="W35" s="50">
        <v>0.0</v>
      </c>
      <c r="X35" s="50" t="str">
        <f t="shared" si="58"/>
        <v/>
      </c>
      <c r="Y35" s="50"/>
    </row>
    <row r="36">
      <c r="A36" s="168"/>
      <c r="B36" s="169"/>
      <c r="C36" s="169"/>
      <c r="D36" s="169"/>
      <c r="E36" s="169"/>
      <c r="F36" s="169"/>
      <c r="G36" s="169"/>
      <c r="H36" s="170"/>
      <c r="I36" s="171"/>
      <c r="J36" s="172"/>
      <c r="K36" s="173"/>
      <c r="L36" s="174"/>
      <c r="M36" s="175"/>
      <c r="N36" s="171" t="str">
        <f t="shared" ref="N36:Q36" si="62">IF(ISBLANK(I36),,ROUND(I36/1.1,-1))</f>
        <v/>
      </c>
      <c r="O36" s="172" t="str">
        <f t="shared" si="62"/>
        <v/>
      </c>
      <c r="P36" s="172" t="str">
        <f t="shared" si="62"/>
        <v/>
      </c>
      <c r="Q36" s="174" t="str">
        <f t="shared" si="62"/>
        <v/>
      </c>
      <c r="R36" s="171" t="str">
        <f t="shared" ref="R36:U36" si="63">IF(ISBLANK(I36),,ROUND(I36*(1-$W36),-1))</f>
        <v/>
      </c>
      <c r="S36" s="172" t="str">
        <f t="shared" si="63"/>
        <v/>
      </c>
      <c r="T36" s="172" t="str">
        <f t="shared" si="63"/>
        <v/>
      </c>
      <c r="U36" s="176" t="str">
        <f t="shared" si="63"/>
        <v/>
      </c>
      <c r="V36" s="177"/>
      <c r="X36" s="50" t="str">
        <f t="shared" si="58"/>
        <v/>
      </c>
    </row>
    <row r="37">
      <c r="A37" s="178"/>
      <c r="B37" s="179"/>
      <c r="C37" s="179"/>
      <c r="D37" s="179"/>
      <c r="E37" s="179"/>
      <c r="F37" s="179"/>
      <c r="G37" s="179"/>
      <c r="H37" s="180"/>
      <c r="I37" s="181" t="s">
        <v>138</v>
      </c>
      <c r="J37" s="182">
        <f>SUM(J34:J36)</f>
        <v>0</v>
      </c>
      <c r="K37" s="183"/>
      <c r="L37" s="184"/>
      <c r="M37" s="185"/>
      <c r="N37" s="186"/>
      <c r="O37" s="187"/>
      <c r="P37" s="187"/>
      <c r="Q37" s="188"/>
      <c r="R37" s="189"/>
      <c r="S37" s="190"/>
      <c r="T37" s="190"/>
      <c r="U37" s="191"/>
      <c r="V37" s="78"/>
      <c r="W37" s="50"/>
      <c r="X37" s="50" t="str">
        <f t="shared" si="58"/>
        <v/>
      </c>
      <c r="Y37" s="50"/>
    </row>
    <row r="38">
      <c r="A38" s="192"/>
      <c r="C38" s="193"/>
      <c r="D38" s="194"/>
      <c r="E38" s="193"/>
      <c r="F38" s="193"/>
      <c r="G38" s="193"/>
      <c r="H38" s="193"/>
      <c r="I38" s="193"/>
      <c r="J38" s="193"/>
      <c r="K38" s="193"/>
      <c r="L38" s="193"/>
      <c r="M38" s="193"/>
      <c r="N38" s="193"/>
      <c r="O38" s="193"/>
      <c r="P38" s="193"/>
      <c r="Q38" s="193"/>
      <c r="R38" s="193"/>
      <c r="S38" s="193"/>
      <c r="T38" s="193"/>
      <c r="U38" s="193"/>
      <c r="V38" s="193"/>
      <c r="W38" s="50"/>
      <c r="X38" s="50"/>
      <c r="Y38" s="50"/>
    </row>
    <row r="39">
      <c r="A39" s="192" t="s">
        <v>139</v>
      </c>
      <c r="B39" s="192"/>
      <c r="C39" s="193"/>
      <c r="D39" s="194" t="s">
        <v>140</v>
      </c>
      <c r="E39" s="194"/>
      <c r="F39" s="193"/>
      <c r="G39" s="193"/>
      <c r="H39" s="193"/>
      <c r="I39" s="193"/>
      <c r="J39" s="193"/>
      <c r="K39" s="193"/>
      <c r="L39" s="193"/>
      <c r="M39" s="193"/>
      <c r="N39" s="193"/>
      <c r="O39" s="193"/>
      <c r="P39" s="193"/>
      <c r="Q39" s="193"/>
      <c r="R39" s="193"/>
      <c r="S39" s="193"/>
      <c r="T39" s="193"/>
      <c r="U39" s="193"/>
      <c r="V39" s="193"/>
      <c r="W39" s="50"/>
      <c r="X39" s="50"/>
      <c r="Y39" s="50"/>
    </row>
    <row r="40">
      <c r="A40" s="193"/>
      <c r="B40" s="193"/>
      <c r="C40" s="193"/>
      <c r="D40" s="195" t="s">
        <v>141</v>
      </c>
      <c r="E40" s="195"/>
      <c r="F40" s="195"/>
      <c r="G40" s="195"/>
      <c r="H40" s="195"/>
      <c r="I40" s="195"/>
      <c r="J40" s="195"/>
      <c r="K40" s="193"/>
      <c r="L40" s="193"/>
      <c r="M40" s="193"/>
      <c r="N40" s="193"/>
      <c r="O40" s="193"/>
      <c r="P40" s="193"/>
      <c r="Q40" s="193"/>
      <c r="R40" s="193"/>
      <c r="S40" s="193"/>
      <c r="T40" s="193"/>
      <c r="U40" s="193"/>
      <c r="V40" s="193"/>
      <c r="W40" s="50"/>
      <c r="X40" s="50"/>
      <c r="Y40" s="50"/>
    </row>
    <row r="41">
      <c r="A41" s="193"/>
      <c r="B41" s="193"/>
      <c r="C41" s="193"/>
      <c r="D41" s="196" t="s">
        <v>142</v>
      </c>
      <c r="E41" s="196"/>
      <c r="F41" s="196"/>
      <c r="G41" s="196"/>
      <c r="H41" s="196"/>
      <c r="I41" s="196"/>
      <c r="J41" s="196"/>
      <c r="K41" s="196"/>
      <c r="L41" s="196"/>
      <c r="M41" s="196"/>
      <c r="N41" s="52"/>
      <c r="O41" s="52"/>
      <c r="P41" s="52"/>
      <c r="Q41" s="52"/>
      <c r="R41" s="52"/>
      <c r="S41" s="52"/>
      <c r="T41" s="52"/>
      <c r="U41" s="52"/>
      <c r="V41" s="52"/>
      <c r="W41" s="50"/>
      <c r="X41" s="50"/>
      <c r="Y41" s="50"/>
    </row>
    <row r="42">
      <c r="A42" s="51"/>
      <c r="B42" s="51"/>
      <c r="C42" s="51"/>
      <c r="D42" s="52" t="s">
        <v>143</v>
      </c>
      <c r="E42" s="52"/>
      <c r="F42" s="52"/>
      <c r="G42" s="52"/>
      <c r="H42" s="51"/>
      <c r="I42" s="51"/>
      <c r="J42" s="51"/>
      <c r="K42" s="51"/>
      <c r="L42" s="51"/>
      <c r="M42" s="51"/>
      <c r="N42" s="51"/>
      <c r="O42" s="51"/>
      <c r="P42" s="51"/>
      <c r="Q42" s="51"/>
      <c r="R42" s="51"/>
      <c r="S42" s="51"/>
      <c r="T42" s="51"/>
      <c r="U42" s="51"/>
      <c r="V42" s="51"/>
      <c r="W42" s="50"/>
      <c r="X42" s="50"/>
      <c r="Y42" s="50"/>
    </row>
    <row r="43">
      <c r="A43" s="51"/>
      <c r="B43" s="51"/>
      <c r="C43" s="51"/>
      <c r="D43" s="52" t="s">
        <v>144</v>
      </c>
      <c r="E43" s="52"/>
      <c r="F43" s="52"/>
      <c r="G43" s="52"/>
      <c r="H43" s="51"/>
      <c r="I43" s="51"/>
      <c r="J43" s="51"/>
      <c r="K43" s="51"/>
      <c r="L43" s="51"/>
      <c r="M43" s="51"/>
      <c r="N43" s="51"/>
      <c r="O43" s="51"/>
      <c r="P43" s="51"/>
      <c r="Q43" s="51"/>
      <c r="R43" s="51"/>
      <c r="S43" s="51"/>
      <c r="T43" s="51"/>
      <c r="U43" s="51"/>
      <c r="V43" s="51"/>
      <c r="W43" s="50"/>
      <c r="X43" s="50"/>
      <c r="Y43" s="50"/>
    </row>
    <row r="44">
      <c r="A44" s="51"/>
      <c r="B44" s="51"/>
      <c r="C44" s="51"/>
      <c r="D44" s="52"/>
      <c r="E44" s="52"/>
      <c r="F44" s="52"/>
      <c r="G44" s="52"/>
      <c r="H44" s="51"/>
      <c r="I44" s="51"/>
      <c r="J44" s="51"/>
      <c r="K44" s="51"/>
      <c r="L44" s="51"/>
      <c r="M44" s="51"/>
      <c r="N44" s="51"/>
      <c r="O44" s="51"/>
      <c r="P44" s="51"/>
      <c r="Q44" s="51"/>
      <c r="R44" s="51"/>
      <c r="S44" s="51"/>
      <c r="T44" s="51"/>
      <c r="U44" s="51"/>
      <c r="V44" s="51"/>
      <c r="W44" s="50"/>
      <c r="X44" s="50"/>
      <c r="Y44" s="50"/>
    </row>
    <row r="45">
      <c r="A45" s="51"/>
      <c r="B45" s="51"/>
      <c r="C45" s="51"/>
      <c r="D45" s="52"/>
      <c r="E45" s="52"/>
      <c r="F45" s="52"/>
      <c r="G45" s="52"/>
      <c r="H45" s="51"/>
      <c r="I45" s="51"/>
      <c r="J45" s="51"/>
      <c r="K45" s="51"/>
      <c r="L45" s="51"/>
      <c r="M45" s="51"/>
      <c r="N45" s="51"/>
      <c r="O45" s="51"/>
      <c r="P45" s="51"/>
      <c r="Q45" s="51"/>
      <c r="R45" s="51"/>
      <c r="S45" s="51"/>
      <c r="T45" s="51"/>
      <c r="U45" s="51"/>
      <c r="V45" s="51"/>
      <c r="W45" s="50"/>
      <c r="X45" s="50"/>
      <c r="Y45" s="50"/>
    </row>
    <row r="46">
      <c r="A46" s="51"/>
      <c r="B46" s="51"/>
      <c r="C46" s="51"/>
      <c r="D46" s="52"/>
      <c r="E46" s="52"/>
      <c r="F46" s="52"/>
      <c r="G46" s="52"/>
      <c r="H46" s="51"/>
      <c r="I46" s="51"/>
      <c r="J46" s="51"/>
      <c r="K46" s="51"/>
      <c r="L46" s="51"/>
      <c r="M46" s="51"/>
      <c r="N46" s="51"/>
      <c r="O46" s="51"/>
      <c r="P46" s="51"/>
      <c r="Q46" s="51"/>
      <c r="R46" s="51"/>
      <c r="S46" s="51"/>
      <c r="T46" s="51"/>
      <c r="U46" s="51"/>
      <c r="V46" s="51"/>
      <c r="W46" s="50"/>
      <c r="X46" s="50"/>
      <c r="Y46" s="50"/>
    </row>
    <row r="47">
      <c r="A47" s="197"/>
      <c r="B47" s="197"/>
      <c r="C47" s="197"/>
      <c r="D47" s="198"/>
      <c r="E47" s="198"/>
      <c r="F47" s="198"/>
      <c r="G47" s="198"/>
      <c r="H47" s="197"/>
      <c r="I47" s="197"/>
      <c r="J47" s="197"/>
      <c r="K47" s="197"/>
      <c r="L47" s="197"/>
      <c r="M47" s="197"/>
      <c r="N47" s="197"/>
      <c r="O47" s="197"/>
      <c r="P47" s="197"/>
      <c r="Q47" s="197"/>
      <c r="R47" s="197"/>
      <c r="S47" s="197"/>
      <c r="T47" s="197"/>
      <c r="U47" s="197"/>
      <c r="V47" s="197"/>
      <c r="W47" s="50"/>
      <c r="X47" s="50"/>
      <c r="Y47" s="50"/>
    </row>
    <row r="48">
      <c r="A48" s="48"/>
      <c r="B48" s="48"/>
      <c r="C48" s="48"/>
      <c r="D48" s="48"/>
      <c r="N48" s="48"/>
      <c r="O48" s="49"/>
      <c r="P48" s="49"/>
      <c r="Q48" s="49"/>
      <c r="R48" s="49"/>
      <c r="S48" s="49"/>
      <c r="T48" s="49"/>
      <c r="U48" s="49"/>
      <c r="V48" s="49"/>
      <c r="W48" s="50"/>
      <c r="X48" s="50"/>
      <c r="Y48" s="50"/>
    </row>
    <row r="49">
      <c r="A49" s="51"/>
      <c r="B49" s="51"/>
      <c r="C49" s="51"/>
      <c r="D49" s="52"/>
      <c r="E49" s="52"/>
      <c r="F49" s="52"/>
      <c r="G49" s="52"/>
      <c r="H49" s="51"/>
      <c r="I49" s="53" t="s">
        <v>145</v>
      </c>
      <c r="Q49" s="53"/>
      <c r="R49" s="51"/>
      <c r="S49" s="51"/>
      <c r="T49" s="51"/>
      <c r="U49" s="51"/>
      <c r="V49" s="51"/>
      <c r="W49" s="50"/>
      <c r="X49" s="50"/>
      <c r="Y49" s="50"/>
    </row>
    <row r="50">
      <c r="A50" s="49"/>
      <c r="B50" s="48"/>
      <c r="C50" s="48"/>
      <c r="D50" s="48"/>
      <c r="E50" s="52"/>
      <c r="Q50" s="53"/>
      <c r="R50" s="49"/>
      <c r="S50" s="49"/>
      <c r="T50" s="49"/>
      <c r="U50" s="49"/>
      <c r="V50" s="49"/>
      <c r="W50" s="50"/>
      <c r="X50" s="50"/>
      <c r="Y50" s="50"/>
    </row>
    <row r="51">
      <c r="A51" s="48"/>
      <c r="B51" s="48"/>
      <c r="C51" s="48"/>
      <c r="D51" s="48"/>
      <c r="E51" s="48"/>
      <c r="F51" s="48"/>
      <c r="G51" s="48"/>
      <c r="H51" s="48"/>
      <c r="I51" s="48"/>
      <c r="J51" s="48"/>
      <c r="K51" s="48"/>
      <c r="L51" s="48"/>
      <c r="M51" s="48"/>
      <c r="N51" s="48"/>
      <c r="O51" s="49"/>
      <c r="P51" s="49"/>
      <c r="Q51" s="49"/>
      <c r="R51" s="49"/>
      <c r="S51" s="49"/>
      <c r="T51" s="49"/>
      <c r="U51" s="49"/>
      <c r="V51" s="49"/>
      <c r="W51" s="50"/>
      <c r="X51" s="50"/>
      <c r="Y51" s="50"/>
    </row>
    <row r="52">
      <c r="A52" s="54" t="s">
        <v>66</v>
      </c>
      <c r="B52" s="55"/>
      <c r="C52" s="55"/>
      <c r="D52" s="55"/>
      <c r="E52" s="55"/>
      <c r="F52" s="55"/>
      <c r="G52" s="56"/>
      <c r="H52" s="57" t="s">
        <v>67</v>
      </c>
      <c r="I52" s="54" t="s">
        <v>68</v>
      </c>
      <c r="J52" s="55"/>
      <c r="K52" s="56"/>
      <c r="L52" s="54"/>
      <c r="M52" s="58" t="s">
        <v>69</v>
      </c>
      <c r="N52" s="59" t="s">
        <v>70</v>
      </c>
      <c r="O52" s="55"/>
      <c r="P52" s="60"/>
      <c r="Q52" s="199"/>
      <c r="R52" s="61" t="s">
        <v>71</v>
      </c>
      <c r="S52" s="55"/>
      <c r="T52" s="60"/>
      <c r="U52" s="200"/>
      <c r="V52" s="62"/>
      <c r="W52" s="63"/>
      <c r="X52" s="63"/>
      <c r="Y52" s="63"/>
    </row>
    <row r="53">
      <c r="A53" s="64" t="s">
        <v>72</v>
      </c>
      <c r="B53" s="65"/>
      <c r="C53" s="65"/>
      <c r="D53" s="65"/>
      <c r="E53" s="65"/>
      <c r="F53" s="65"/>
      <c r="G53" s="65"/>
      <c r="H53" s="66"/>
      <c r="I53" s="67" t="s">
        <v>73</v>
      </c>
      <c r="J53" s="68" t="s">
        <v>146</v>
      </c>
      <c r="K53" s="69" t="s">
        <v>147</v>
      </c>
      <c r="L53" s="70"/>
      <c r="M53" s="71">
        <v>1.498063E9</v>
      </c>
      <c r="N53" s="72" t="s">
        <v>73</v>
      </c>
      <c r="O53" s="73" t="s">
        <v>146</v>
      </c>
      <c r="P53" s="201" t="s">
        <v>147</v>
      </c>
      <c r="Q53" s="74"/>
      <c r="R53" s="75" t="s">
        <v>73</v>
      </c>
      <c r="S53" s="76" t="s">
        <v>146</v>
      </c>
      <c r="T53" s="77" t="s">
        <v>147</v>
      </c>
      <c r="U53" s="202"/>
      <c r="V53" s="78"/>
      <c r="W53" s="50"/>
      <c r="X53" s="50"/>
      <c r="Y53" s="50"/>
    </row>
    <row r="54">
      <c r="A54" s="79">
        <v>1.0</v>
      </c>
      <c r="B54" s="80" t="s">
        <v>77</v>
      </c>
      <c r="C54" s="81" t="s">
        <v>78</v>
      </c>
      <c r="D54" s="81" t="s">
        <v>79</v>
      </c>
      <c r="E54" s="81" t="s">
        <v>80</v>
      </c>
      <c r="F54" s="81" t="s">
        <v>81</v>
      </c>
      <c r="G54" s="81" t="s">
        <v>82</v>
      </c>
      <c r="H54" s="82">
        <v>437.0</v>
      </c>
      <c r="I54" s="142">
        <v>524000.0</v>
      </c>
      <c r="J54" s="143">
        <v>514000.0</v>
      </c>
      <c r="K54" s="144">
        <v>504000.0</v>
      </c>
      <c r="L54" s="86"/>
      <c r="M54" s="87">
        <v>2.20248E8</v>
      </c>
      <c r="N54" s="88">
        <v>476360.0</v>
      </c>
      <c r="O54" s="89">
        <v>467270.0</v>
      </c>
      <c r="P54" s="91">
        <v>458180.0</v>
      </c>
      <c r="Q54" s="90"/>
      <c r="R54" s="88">
        <v>508280.0</v>
      </c>
      <c r="S54" s="89">
        <v>498580.0</v>
      </c>
      <c r="T54" s="91">
        <v>488880.0</v>
      </c>
      <c r="U54" s="203"/>
      <c r="V54" s="145" t="s">
        <v>148</v>
      </c>
      <c r="W54" s="50">
        <v>0.03</v>
      </c>
      <c r="X54" s="50"/>
      <c r="Y54" s="50"/>
    </row>
    <row r="55">
      <c r="A55" s="93">
        <v>2.0</v>
      </c>
      <c r="B55" s="94" t="s">
        <v>83</v>
      </c>
      <c r="C55" s="95" t="s">
        <v>78</v>
      </c>
      <c r="D55" s="95" t="s">
        <v>79</v>
      </c>
      <c r="E55" s="95" t="s">
        <v>80</v>
      </c>
      <c r="F55" s="95" t="s">
        <v>84</v>
      </c>
      <c r="G55" s="95" t="s">
        <v>82</v>
      </c>
      <c r="H55" s="96">
        <v>0.0</v>
      </c>
      <c r="I55" s="97">
        <v>1780000.0</v>
      </c>
      <c r="J55" s="98">
        <v>1760000.0</v>
      </c>
      <c r="K55" s="99">
        <v>1740000.0</v>
      </c>
      <c r="L55" s="100"/>
      <c r="M55" s="101">
        <v>0.0</v>
      </c>
      <c r="N55" s="102">
        <v>1618180.0</v>
      </c>
      <c r="O55" s="103">
        <v>1600000.0</v>
      </c>
      <c r="P55" s="204">
        <v>1581820.0</v>
      </c>
      <c r="Q55" s="104"/>
      <c r="R55" s="105">
        <v>1744400.0</v>
      </c>
      <c r="S55" s="106">
        <v>1724800.0</v>
      </c>
      <c r="T55" s="107">
        <v>1705200.0</v>
      </c>
      <c r="U55" s="205"/>
      <c r="V55" s="145" t="s">
        <v>148</v>
      </c>
      <c r="W55" s="108">
        <v>0.02</v>
      </c>
      <c r="X55" s="50"/>
      <c r="Y55" s="50"/>
    </row>
    <row r="56">
      <c r="A56" s="109">
        <v>3.0</v>
      </c>
      <c r="B56" s="110" t="s">
        <v>85</v>
      </c>
      <c r="C56" s="111" t="s">
        <v>78</v>
      </c>
      <c r="D56" s="111" t="s">
        <v>79</v>
      </c>
      <c r="E56" s="111" t="s">
        <v>86</v>
      </c>
      <c r="F56" s="111" t="s">
        <v>81</v>
      </c>
      <c r="G56" s="111" t="s">
        <v>82</v>
      </c>
      <c r="H56" s="112">
        <v>531.0</v>
      </c>
      <c r="I56" s="126">
        <v>335000.0</v>
      </c>
      <c r="J56" s="127">
        <v>325000.0</v>
      </c>
      <c r="K56" s="115">
        <v>315000.0</v>
      </c>
      <c r="L56" s="116"/>
      <c r="M56" s="117">
        <v>1.67265E8</v>
      </c>
      <c r="N56" s="118">
        <v>304550.0</v>
      </c>
      <c r="O56" s="119">
        <v>295450.0</v>
      </c>
      <c r="P56" s="121">
        <v>286360.0</v>
      </c>
      <c r="Q56" s="120"/>
      <c r="R56" s="118">
        <v>324950.0</v>
      </c>
      <c r="S56" s="119">
        <v>315250.0</v>
      </c>
      <c r="T56" s="121">
        <v>305550.0</v>
      </c>
      <c r="U56" s="203"/>
      <c r="V56" s="78"/>
      <c r="W56" s="50">
        <v>0.03</v>
      </c>
      <c r="X56" s="50"/>
      <c r="Y56" s="50"/>
    </row>
    <row r="57">
      <c r="A57" s="93">
        <v>4.0</v>
      </c>
      <c r="B57" s="122" t="s">
        <v>87</v>
      </c>
      <c r="C57" s="123" t="s">
        <v>78</v>
      </c>
      <c r="D57" s="123" t="s">
        <v>79</v>
      </c>
      <c r="E57" s="123" t="s">
        <v>86</v>
      </c>
      <c r="F57" s="123" t="s">
        <v>88</v>
      </c>
      <c r="G57" s="123" t="s">
        <v>82</v>
      </c>
      <c r="H57" s="96">
        <v>217.0</v>
      </c>
      <c r="I57" s="124">
        <v>610000.0</v>
      </c>
      <c r="J57" s="125">
        <v>600000.0</v>
      </c>
      <c r="K57" s="99">
        <v>590000.0</v>
      </c>
      <c r="L57" s="100"/>
      <c r="M57" s="101">
        <v>1.2803E8</v>
      </c>
      <c r="N57" s="102">
        <v>554550.0</v>
      </c>
      <c r="O57" s="103">
        <v>545450.0</v>
      </c>
      <c r="P57" s="204">
        <v>536360.0</v>
      </c>
      <c r="Q57" s="104"/>
      <c r="R57" s="105">
        <v>597800.0</v>
      </c>
      <c r="S57" s="106">
        <v>588000.0</v>
      </c>
      <c r="T57" s="107">
        <v>578200.0</v>
      </c>
      <c r="U57" s="205"/>
      <c r="V57" s="145" t="s">
        <v>148</v>
      </c>
      <c r="W57" s="50">
        <v>0.02</v>
      </c>
      <c r="X57" s="50"/>
      <c r="Y57" s="50"/>
    </row>
    <row r="58">
      <c r="A58" s="109">
        <v>5.0</v>
      </c>
      <c r="B58" s="110" t="s">
        <v>89</v>
      </c>
      <c r="C58" s="111" t="s">
        <v>78</v>
      </c>
      <c r="D58" s="111" t="s">
        <v>79</v>
      </c>
      <c r="E58" s="111" t="s">
        <v>86</v>
      </c>
      <c r="F58" s="111" t="s">
        <v>90</v>
      </c>
      <c r="G58" s="111" t="s">
        <v>82</v>
      </c>
      <c r="H58" s="112">
        <v>63.0</v>
      </c>
      <c r="I58" s="126">
        <v>820000.0</v>
      </c>
      <c r="J58" s="127">
        <v>810000.0</v>
      </c>
      <c r="K58" s="115">
        <v>800000.0</v>
      </c>
      <c r="L58" s="116"/>
      <c r="M58" s="117">
        <v>5.04E7</v>
      </c>
      <c r="N58" s="118">
        <v>745450.0</v>
      </c>
      <c r="O58" s="119">
        <v>736360.0</v>
      </c>
      <c r="P58" s="121">
        <v>727270.0</v>
      </c>
      <c r="Q58" s="120"/>
      <c r="R58" s="118">
        <v>803600.0</v>
      </c>
      <c r="S58" s="119">
        <v>793800.0</v>
      </c>
      <c r="T58" s="121">
        <v>784000.0</v>
      </c>
      <c r="U58" s="203"/>
      <c r="V58" s="78"/>
      <c r="W58" s="50">
        <v>0.02</v>
      </c>
      <c r="X58" s="50"/>
      <c r="Y58" s="50"/>
    </row>
    <row r="59">
      <c r="A59" s="93">
        <v>6.0</v>
      </c>
      <c r="B59" s="122" t="s">
        <v>91</v>
      </c>
      <c r="C59" s="123" t="s">
        <v>78</v>
      </c>
      <c r="D59" s="123" t="s">
        <v>79</v>
      </c>
      <c r="E59" s="123" t="s">
        <v>86</v>
      </c>
      <c r="F59" s="123" t="s">
        <v>92</v>
      </c>
      <c r="G59" s="123" t="s">
        <v>82</v>
      </c>
      <c r="H59" s="96">
        <v>1.0</v>
      </c>
      <c r="I59" s="124">
        <v>970000.0</v>
      </c>
      <c r="J59" s="125">
        <v>970000.0</v>
      </c>
      <c r="K59" s="99">
        <v>820000.0</v>
      </c>
      <c r="L59" s="100"/>
      <c r="M59" s="101">
        <v>820000.0</v>
      </c>
      <c r="N59" s="102">
        <v>881820.0</v>
      </c>
      <c r="O59" s="103">
        <v>881820.0</v>
      </c>
      <c r="P59" s="204">
        <v>745450.0</v>
      </c>
      <c r="Q59" s="104"/>
      <c r="R59" s="105">
        <v>950600.0</v>
      </c>
      <c r="S59" s="106">
        <v>950600.0</v>
      </c>
      <c r="T59" s="107">
        <v>803600.0</v>
      </c>
      <c r="U59" s="205"/>
      <c r="V59" s="78"/>
      <c r="W59" s="50">
        <v>0.02</v>
      </c>
      <c r="X59" s="50"/>
      <c r="Y59" s="50"/>
    </row>
    <row r="60">
      <c r="A60" s="109">
        <v>7.0</v>
      </c>
      <c r="B60" s="110" t="s">
        <v>93</v>
      </c>
      <c r="C60" s="111" t="s">
        <v>78</v>
      </c>
      <c r="D60" s="111" t="s">
        <v>79</v>
      </c>
      <c r="E60" s="111" t="s">
        <v>94</v>
      </c>
      <c r="F60" s="111" t="s">
        <v>81</v>
      </c>
      <c r="G60" s="111" t="s">
        <v>82</v>
      </c>
      <c r="H60" s="112">
        <v>78.0</v>
      </c>
      <c r="I60" s="126">
        <v>395000.0</v>
      </c>
      <c r="J60" s="127">
        <v>385000.0</v>
      </c>
      <c r="K60" s="115">
        <v>375000.0</v>
      </c>
      <c r="L60" s="116"/>
      <c r="M60" s="117">
        <v>2.925E7</v>
      </c>
      <c r="N60" s="118">
        <v>359090.0</v>
      </c>
      <c r="O60" s="119">
        <v>350000.0</v>
      </c>
      <c r="P60" s="121">
        <v>340910.0</v>
      </c>
      <c r="Q60" s="120"/>
      <c r="R60" s="118">
        <v>383150.0</v>
      </c>
      <c r="S60" s="119">
        <v>373450.0</v>
      </c>
      <c r="T60" s="121">
        <v>363750.0</v>
      </c>
      <c r="U60" s="203"/>
      <c r="V60" s="78"/>
      <c r="W60" s="50">
        <v>0.03</v>
      </c>
      <c r="X60" s="50"/>
      <c r="Y60" s="50"/>
    </row>
    <row r="61">
      <c r="A61" s="93">
        <v>8.0</v>
      </c>
      <c r="B61" s="122" t="s">
        <v>95</v>
      </c>
      <c r="C61" s="123" t="s">
        <v>78</v>
      </c>
      <c r="D61" s="123" t="s">
        <v>79</v>
      </c>
      <c r="E61" s="123" t="s">
        <v>94</v>
      </c>
      <c r="F61" s="123" t="s">
        <v>84</v>
      </c>
      <c r="G61" s="123" t="s">
        <v>82</v>
      </c>
      <c r="H61" s="96">
        <v>87.0</v>
      </c>
      <c r="I61" s="124">
        <v>1550000.0</v>
      </c>
      <c r="J61" s="125">
        <v>1530000.0</v>
      </c>
      <c r="K61" s="99">
        <v>1450000.0</v>
      </c>
      <c r="L61" s="100"/>
      <c r="M61" s="101">
        <v>1.2615E8</v>
      </c>
      <c r="N61" s="102">
        <v>1409090.0</v>
      </c>
      <c r="O61" s="103">
        <v>1390910.0</v>
      </c>
      <c r="P61" s="204">
        <v>1318180.0</v>
      </c>
      <c r="Q61" s="104"/>
      <c r="R61" s="105">
        <v>1519000.0</v>
      </c>
      <c r="S61" s="106">
        <v>1499400.0</v>
      </c>
      <c r="T61" s="107">
        <v>1421000.0</v>
      </c>
      <c r="U61" s="205"/>
      <c r="V61" s="78"/>
      <c r="W61" s="50">
        <v>0.02</v>
      </c>
      <c r="X61" s="50"/>
      <c r="Y61" s="50"/>
    </row>
    <row r="62">
      <c r="A62" s="109">
        <v>9.0</v>
      </c>
      <c r="B62" s="110" t="s">
        <v>96</v>
      </c>
      <c r="C62" s="111" t="s">
        <v>78</v>
      </c>
      <c r="D62" s="111" t="s">
        <v>79</v>
      </c>
      <c r="E62" s="111" t="s">
        <v>97</v>
      </c>
      <c r="F62" s="111" t="s">
        <v>98</v>
      </c>
      <c r="G62" s="111" t="s">
        <v>82</v>
      </c>
      <c r="H62" s="112">
        <v>244.0</v>
      </c>
      <c r="I62" s="126">
        <v>430000.0</v>
      </c>
      <c r="J62" s="127">
        <v>420000.0</v>
      </c>
      <c r="K62" s="115">
        <v>410000.0</v>
      </c>
      <c r="L62" s="116"/>
      <c r="M62" s="117">
        <v>1.0004E8</v>
      </c>
      <c r="N62" s="118">
        <v>390910.0</v>
      </c>
      <c r="O62" s="119">
        <v>381820.0</v>
      </c>
      <c r="P62" s="121">
        <v>372730.0</v>
      </c>
      <c r="Q62" s="120"/>
      <c r="R62" s="118">
        <v>417100.0</v>
      </c>
      <c r="S62" s="119">
        <v>407400.0</v>
      </c>
      <c r="T62" s="121">
        <v>397700.0</v>
      </c>
      <c r="U62" s="203"/>
      <c r="V62" s="78"/>
      <c r="W62" s="50">
        <v>0.03</v>
      </c>
      <c r="X62" s="50"/>
      <c r="Y62" s="50"/>
    </row>
    <row r="63">
      <c r="A63" s="93">
        <v>10.0</v>
      </c>
      <c r="B63" s="122" t="s">
        <v>99</v>
      </c>
      <c r="C63" s="123" t="s">
        <v>78</v>
      </c>
      <c r="D63" s="123" t="s">
        <v>79</v>
      </c>
      <c r="E63" s="123" t="s">
        <v>97</v>
      </c>
      <c r="F63" s="123" t="s">
        <v>100</v>
      </c>
      <c r="G63" s="123" t="s">
        <v>82</v>
      </c>
      <c r="H63" s="96">
        <v>39.0</v>
      </c>
      <c r="I63" s="124">
        <v>1410000.0</v>
      </c>
      <c r="J63" s="125">
        <v>1395000.0</v>
      </c>
      <c r="K63" s="99">
        <v>1380000.0</v>
      </c>
      <c r="L63" s="100"/>
      <c r="M63" s="101">
        <v>5.382E7</v>
      </c>
      <c r="N63" s="102">
        <v>1281820.0</v>
      </c>
      <c r="O63" s="103">
        <v>1268180.0</v>
      </c>
      <c r="P63" s="204">
        <v>1254550.0</v>
      </c>
      <c r="Q63" s="104"/>
      <c r="R63" s="105">
        <v>1381800.0</v>
      </c>
      <c r="S63" s="106">
        <v>1367100.0</v>
      </c>
      <c r="T63" s="107">
        <v>1352400.0</v>
      </c>
      <c r="U63" s="205"/>
      <c r="V63" s="145" t="s">
        <v>118</v>
      </c>
      <c r="W63" s="50">
        <v>0.02</v>
      </c>
      <c r="X63" s="50"/>
      <c r="Y63" s="50"/>
    </row>
    <row r="64">
      <c r="A64" s="109">
        <v>11.0</v>
      </c>
      <c r="B64" s="110" t="s">
        <v>101</v>
      </c>
      <c r="C64" s="111" t="s">
        <v>78</v>
      </c>
      <c r="D64" s="111" t="s">
        <v>79</v>
      </c>
      <c r="E64" s="111" t="s">
        <v>102</v>
      </c>
      <c r="F64" s="111" t="s">
        <v>103</v>
      </c>
      <c r="G64" s="111" t="s">
        <v>82</v>
      </c>
      <c r="H64" s="112">
        <v>134.0</v>
      </c>
      <c r="I64" s="126">
        <v>500000.0</v>
      </c>
      <c r="J64" s="127">
        <v>490000.0</v>
      </c>
      <c r="K64" s="115">
        <v>480000.0</v>
      </c>
      <c r="L64" s="116"/>
      <c r="M64" s="117">
        <v>6.432E7</v>
      </c>
      <c r="N64" s="118">
        <v>454550.0</v>
      </c>
      <c r="O64" s="119">
        <v>445450.0</v>
      </c>
      <c r="P64" s="121">
        <v>436360.0</v>
      </c>
      <c r="Q64" s="120"/>
      <c r="R64" s="118">
        <v>485000.0</v>
      </c>
      <c r="S64" s="119">
        <v>475300.0</v>
      </c>
      <c r="T64" s="121">
        <v>465600.0</v>
      </c>
      <c r="U64" s="203"/>
      <c r="V64" s="78"/>
      <c r="W64" s="50">
        <v>0.03</v>
      </c>
      <c r="X64" s="50"/>
      <c r="Y64" s="50"/>
    </row>
    <row r="65">
      <c r="A65" s="93">
        <v>12.0</v>
      </c>
      <c r="B65" s="122" t="s">
        <v>104</v>
      </c>
      <c r="C65" s="123" t="s">
        <v>78</v>
      </c>
      <c r="D65" s="123" t="s">
        <v>79</v>
      </c>
      <c r="E65" s="123" t="s">
        <v>102</v>
      </c>
      <c r="F65" s="123" t="s">
        <v>105</v>
      </c>
      <c r="G65" s="123" t="s">
        <v>82</v>
      </c>
      <c r="H65" s="96">
        <v>202.0</v>
      </c>
      <c r="I65" s="124">
        <v>1430000.0</v>
      </c>
      <c r="J65" s="125">
        <v>1380000.0</v>
      </c>
      <c r="K65" s="99">
        <v>1350000.0</v>
      </c>
      <c r="L65" s="100"/>
      <c r="M65" s="101">
        <v>2.727E8</v>
      </c>
      <c r="N65" s="102">
        <v>1300000.0</v>
      </c>
      <c r="O65" s="103">
        <v>1254550.0</v>
      </c>
      <c r="P65" s="204">
        <v>1227270.0</v>
      </c>
      <c r="Q65" s="104"/>
      <c r="R65" s="105">
        <v>1401400.0</v>
      </c>
      <c r="S65" s="106">
        <v>1352400.0</v>
      </c>
      <c r="T65" s="107">
        <v>1323000.0</v>
      </c>
      <c r="U65" s="205"/>
      <c r="V65" s="78"/>
      <c r="W65" s="50">
        <v>0.02</v>
      </c>
      <c r="X65" s="50"/>
      <c r="Y65" s="50"/>
    </row>
    <row r="66">
      <c r="A66" s="109">
        <v>13.0</v>
      </c>
      <c r="B66" s="110" t="s">
        <v>106</v>
      </c>
      <c r="C66" s="111" t="s">
        <v>78</v>
      </c>
      <c r="D66" s="111" t="s">
        <v>79</v>
      </c>
      <c r="E66" s="111" t="s">
        <v>107</v>
      </c>
      <c r="F66" s="111" t="s">
        <v>98</v>
      </c>
      <c r="G66" s="111" t="s">
        <v>82</v>
      </c>
      <c r="H66" s="112">
        <v>416.0</v>
      </c>
      <c r="I66" s="126">
        <v>450000.0</v>
      </c>
      <c r="J66" s="127">
        <v>440000.0</v>
      </c>
      <c r="K66" s="115">
        <v>430000.0</v>
      </c>
      <c r="L66" s="116"/>
      <c r="M66" s="117">
        <v>1.7888E8</v>
      </c>
      <c r="N66" s="118">
        <v>409090.0</v>
      </c>
      <c r="O66" s="119">
        <v>400000.0</v>
      </c>
      <c r="P66" s="121">
        <v>390910.0</v>
      </c>
      <c r="Q66" s="120"/>
      <c r="R66" s="118">
        <v>436500.0</v>
      </c>
      <c r="S66" s="119">
        <v>426800.0</v>
      </c>
      <c r="T66" s="121">
        <v>417100.0</v>
      </c>
      <c r="U66" s="203"/>
      <c r="V66" s="78"/>
      <c r="W66" s="50">
        <v>0.03</v>
      </c>
      <c r="X66" s="50"/>
      <c r="Y66" s="50"/>
    </row>
    <row r="67">
      <c r="A67" s="93">
        <v>14.0</v>
      </c>
      <c r="B67" s="122" t="s">
        <v>108</v>
      </c>
      <c r="C67" s="123" t="s">
        <v>78</v>
      </c>
      <c r="D67" s="123" t="s">
        <v>79</v>
      </c>
      <c r="E67" s="123" t="s">
        <v>109</v>
      </c>
      <c r="F67" s="123" t="s">
        <v>81</v>
      </c>
      <c r="G67" s="123" t="s">
        <v>82</v>
      </c>
      <c r="H67" s="96">
        <v>144.0</v>
      </c>
      <c r="I67" s="124">
        <v>330000.0</v>
      </c>
      <c r="J67" s="125">
        <v>320000.0</v>
      </c>
      <c r="K67" s="99">
        <v>310000.0</v>
      </c>
      <c r="L67" s="100"/>
      <c r="M67" s="101">
        <v>4.464E7</v>
      </c>
      <c r="N67" s="102">
        <v>300000.0</v>
      </c>
      <c r="O67" s="103">
        <v>290910.0</v>
      </c>
      <c r="P67" s="204">
        <v>281820.0</v>
      </c>
      <c r="Q67" s="104"/>
      <c r="R67" s="105">
        <v>320100.0</v>
      </c>
      <c r="S67" s="106">
        <v>310400.0</v>
      </c>
      <c r="T67" s="107">
        <v>300700.0</v>
      </c>
      <c r="U67" s="205"/>
      <c r="V67" s="78"/>
      <c r="W67" s="50">
        <v>0.03</v>
      </c>
      <c r="X67" s="50"/>
      <c r="Y67" s="50"/>
    </row>
    <row r="68">
      <c r="A68" s="109">
        <v>15.0</v>
      </c>
      <c r="B68" s="110" t="s">
        <v>110</v>
      </c>
      <c r="C68" s="111" t="s">
        <v>78</v>
      </c>
      <c r="D68" s="111" t="s">
        <v>79</v>
      </c>
      <c r="E68" s="111" t="s">
        <v>109</v>
      </c>
      <c r="F68" s="111" t="s">
        <v>111</v>
      </c>
      <c r="G68" s="111" t="s">
        <v>82</v>
      </c>
      <c r="H68" s="112">
        <v>123.0</v>
      </c>
      <c r="I68" s="126">
        <v>520000.0</v>
      </c>
      <c r="J68" s="127">
        <v>510000.0</v>
      </c>
      <c r="K68" s="115">
        <v>500000.0</v>
      </c>
      <c r="L68" s="116"/>
      <c r="M68" s="117">
        <v>6.15E7</v>
      </c>
      <c r="N68" s="118">
        <v>472730.0</v>
      </c>
      <c r="O68" s="119">
        <v>463640.0</v>
      </c>
      <c r="P68" s="121">
        <v>454550.0</v>
      </c>
      <c r="Q68" s="120"/>
      <c r="R68" s="118">
        <v>509600.0</v>
      </c>
      <c r="S68" s="119">
        <v>499800.0</v>
      </c>
      <c r="T68" s="121">
        <v>490000.0</v>
      </c>
      <c r="U68" s="203"/>
      <c r="V68" s="78"/>
      <c r="W68" s="50">
        <v>0.02</v>
      </c>
      <c r="X68" s="50"/>
      <c r="Y68" s="50"/>
    </row>
    <row r="69">
      <c r="A69" s="128" t="s">
        <v>112</v>
      </c>
      <c r="B69" s="129"/>
      <c r="C69" s="129"/>
      <c r="D69" s="129"/>
      <c r="E69" s="129"/>
      <c r="F69" s="129"/>
      <c r="G69" s="129"/>
      <c r="H69" s="130"/>
      <c r="I69" s="131" t="s">
        <v>73</v>
      </c>
      <c r="J69" s="132"/>
      <c r="K69" s="133"/>
      <c r="L69" s="134"/>
      <c r="M69" s="206">
        <v>2.8476E8</v>
      </c>
      <c r="N69" s="136" t="s">
        <v>73</v>
      </c>
      <c r="O69" s="137"/>
      <c r="P69" s="207"/>
      <c r="Q69" s="138"/>
      <c r="R69" s="139" t="s">
        <v>73</v>
      </c>
      <c r="S69" s="140"/>
      <c r="T69" s="141"/>
      <c r="U69" s="208"/>
      <c r="V69" s="78"/>
    </row>
    <row r="70">
      <c r="A70" s="79">
        <v>1.0</v>
      </c>
      <c r="B70" s="80" t="s">
        <v>113</v>
      </c>
      <c r="C70" s="81" t="s">
        <v>78</v>
      </c>
      <c r="D70" s="81" t="s">
        <v>79</v>
      </c>
      <c r="E70" s="81" t="s">
        <v>80</v>
      </c>
      <c r="F70" s="81" t="s">
        <v>84</v>
      </c>
      <c r="G70" s="81" t="s">
        <v>114</v>
      </c>
      <c r="H70" s="82">
        <v>84.0</v>
      </c>
      <c r="I70" s="142">
        <v>1870000.0</v>
      </c>
      <c r="J70" s="143">
        <v>1840000.0</v>
      </c>
      <c r="K70" s="144">
        <v>1820000.0</v>
      </c>
      <c r="L70" s="86"/>
      <c r="M70" s="87">
        <v>1.5708E8</v>
      </c>
      <c r="N70" s="88">
        <v>1700000.0</v>
      </c>
      <c r="O70" s="89">
        <v>1672730.0</v>
      </c>
      <c r="P70" s="91">
        <v>1654550.0</v>
      </c>
      <c r="Q70" s="90"/>
      <c r="R70" s="88">
        <v>1832600.0</v>
      </c>
      <c r="S70" s="89">
        <v>1803200.0</v>
      </c>
      <c r="T70" s="91">
        <v>1783600.0</v>
      </c>
      <c r="U70" s="203"/>
      <c r="V70" s="145" t="s">
        <v>115</v>
      </c>
      <c r="W70" s="50">
        <v>0.02</v>
      </c>
      <c r="X70" s="50"/>
      <c r="Y70" s="50"/>
    </row>
    <row r="71">
      <c r="A71" s="93">
        <v>2.0</v>
      </c>
      <c r="B71" s="122" t="s">
        <v>116</v>
      </c>
      <c r="C71" s="123" t="s">
        <v>78</v>
      </c>
      <c r="D71" s="123" t="s">
        <v>117</v>
      </c>
      <c r="E71" s="123" t="s">
        <v>97</v>
      </c>
      <c r="F71" s="123" t="s">
        <v>100</v>
      </c>
      <c r="G71" s="123" t="s">
        <v>114</v>
      </c>
      <c r="H71" s="96">
        <v>63.0</v>
      </c>
      <c r="I71" s="124">
        <v>1880000.0</v>
      </c>
      <c r="J71" s="125">
        <v>1850000.0</v>
      </c>
      <c r="K71" s="99">
        <v>1820000.0</v>
      </c>
      <c r="L71" s="100"/>
      <c r="M71" s="101">
        <v>1.1466E8</v>
      </c>
      <c r="N71" s="102">
        <v>1709090.0</v>
      </c>
      <c r="O71" s="103">
        <v>1681820.0</v>
      </c>
      <c r="P71" s="204">
        <v>1654550.0</v>
      </c>
      <c r="Q71" s="104"/>
      <c r="R71" s="105">
        <v>1861200.0</v>
      </c>
      <c r="S71" s="106">
        <v>1831500.0</v>
      </c>
      <c r="T71" s="107">
        <v>1801800.0</v>
      </c>
      <c r="U71" s="205"/>
      <c r="V71" s="145" t="s">
        <v>118</v>
      </c>
      <c r="W71" s="108">
        <v>0.01</v>
      </c>
      <c r="X71" s="50"/>
      <c r="Y71" s="50"/>
    </row>
    <row r="72">
      <c r="A72" s="109">
        <v>3.0</v>
      </c>
      <c r="B72" s="110" t="s">
        <v>119</v>
      </c>
      <c r="C72" s="111" t="s">
        <v>78</v>
      </c>
      <c r="D72" s="111" t="s">
        <v>117</v>
      </c>
      <c r="E72" s="111" t="s">
        <v>107</v>
      </c>
      <c r="F72" s="111" t="s">
        <v>100</v>
      </c>
      <c r="G72" s="111" t="s">
        <v>114</v>
      </c>
      <c r="H72" s="112">
        <v>7.0</v>
      </c>
      <c r="I72" s="126">
        <v>1920000.0</v>
      </c>
      <c r="J72" s="127">
        <v>1890000.0</v>
      </c>
      <c r="K72" s="115">
        <v>1860000.0</v>
      </c>
      <c r="L72" s="116"/>
      <c r="M72" s="117">
        <v>1.302E7</v>
      </c>
      <c r="N72" s="118">
        <v>1745450.0</v>
      </c>
      <c r="O72" s="119">
        <v>1718180.0</v>
      </c>
      <c r="P72" s="121">
        <v>1690910.0</v>
      </c>
      <c r="Q72" s="120"/>
      <c r="R72" s="118">
        <v>1900800.0</v>
      </c>
      <c r="S72" s="119">
        <v>1871100.0</v>
      </c>
      <c r="T72" s="121">
        <v>1841400.0</v>
      </c>
      <c r="U72" s="203"/>
      <c r="V72" s="78"/>
      <c r="W72" s="108">
        <v>0.01</v>
      </c>
      <c r="X72" s="50"/>
      <c r="Y72" s="50"/>
    </row>
    <row r="73">
      <c r="A73" s="93">
        <v>4.0</v>
      </c>
      <c r="B73" s="122" t="s">
        <v>120</v>
      </c>
      <c r="C73" s="123" t="s">
        <v>121</v>
      </c>
      <c r="D73" s="123" t="s">
        <v>122</v>
      </c>
      <c r="E73" s="123" t="s">
        <v>102</v>
      </c>
      <c r="F73" s="123" t="s">
        <v>105</v>
      </c>
      <c r="G73" s="123" t="s">
        <v>114</v>
      </c>
      <c r="H73" s="96"/>
      <c r="I73" s="124"/>
      <c r="J73" s="125"/>
      <c r="K73" s="99"/>
      <c r="L73" s="100"/>
      <c r="M73" s="101"/>
      <c r="N73" s="102"/>
      <c r="O73" s="103"/>
      <c r="P73" s="204"/>
      <c r="Q73" s="104"/>
      <c r="R73" s="105"/>
      <c r="S73" s="106"/>
      <c r="T73" s="107"/>
      <c r="U73" s="205"/>
      <c r="V73" s="78"/>
      <c r="W73" s="50">
        <v>0.0</v>
      </c>
      <c r="X73" s="50"/>
      <c r="Y73" s="50"/>
    </row>
    <row r="74">
      <c r="A74" s="146">
        <v>5.0</v>
      </c>
      <c r="B74" s="147" t="s">
        <v>123</v>
      </c>
      <c r="C74" s="148" t="s">
        <v>78</v>
      </c>
      <c r="D74" s="148" t="s">
        <v>117</v>
      </c>
      <c r="E74" s="148" t="s">
        <v>80</v>
      </c>
      <c r="F74" s="148" t="s">
        <v>84</v>
      </c>
      <c r="G74" s="148" t="s">
        <v>114</v>
      </c>
      <c r="H74" s="149">
        <v>382.0</v>
      </c>
      <c r="I74" s="209">
        <v>2020000.0</v>
      </c>
      <c r="J74" s="210">
        <v>1960000.0</v>
      </c>
      <c r="K74" s="211"/>
      <c r="L74" s="150"/>
      <c r="M74" s="151">
        <v>7.7164E8</v>
      </c>
      <c r="N74" s="152">
        <v>1836360.0</v>
      </c>
      <c r="O74" s="153">
        <v>1781820.0</v>
      </c>
      <c r="P74" s="212"/>
      <c r="Q74" s="154"/>
      <c r="R74" s="152">
        <v>1999800.0</v>
      </c>
      <c r="S74" s="153">
        <v>1940400.0</v>
      </c>
      <c r="T74" s="212"/>
      <c r="U74" s="203"/>
      <c r="V74" s="145" t="s">
        <v>149</v>
      </c>
      <c r="W74" s="108">
        <v>0.01</v>
      </c>
      <c r="X74" s="50"/>
      <c r="Y74" s="50"/>
    </row>
    <row r="75">
      <c r="A75" s="128" t="s">
        <v>124</v>
      </c>
      <c r="B75" s="129"/>
      <c r="C75" s="129"/>
      <c r="D75" s="129"/>
      <c r="E75" s="129"/>
      <c r="F75" s="129"/>
      <c r="G75" s="129"/>
      <c r="H75" s="130"/>
      <c r="I75" s="131" t="s">
        <v>73</v>
      </c>
      <c r="J75" s="132" t="s">
        <v>125</v>
      </c>
      <c r="K75" s="156" t="s">
        <v>126</v>
      </c>
      <c r="L75" s="157"/>
      <c r="M75" s="213">
        <v>2.6205E8</v>
      </c>
      <c r="N75" s="136" t="s">
        <v>73</v>
      </c>
      <c r="O75" s="137" t="s">
        <v>125</v>
      </c>
      <c r="P75" s="214" t="s">
        <v>126</v>
      </c>
      <c r="Q75" s="159"/>
      <c r="R75" s="139" t="s">
        <v>73</v>
      </c>
      <c r="S75" s="140" t="s">
        <v>125</v>
      </c>
      <c r="T75" s="160" t="s">
        <v>126</v>
      </c>
      <c r="U75" s="200"/>
      <c r="V75" s="78"/>
    </row>
    <row r="76">
      <c r="A76" s="79">
        <v>1.0</v>
      </c>
      <c r="B76" s="80" t="s">
        <v>127</v>
      </c>
      <c r="C76" s="81" t="s">
        <v>78</v>
      </c>
      <c r="D76" s="81" t="s">
        <v>128</v>
      </c>
      <c r="E76" s="81" t="s">
        <v>94</v>
      </c>
      <c r="F76" s="81" t="s">
        <v>84</v>
      </c>
      <c r="G76" s="81" t="s">
        <v>129</v>
      </c>
      <c r="H76" s="82">
        <v>48.0</v>
      </c>
      <c r="I76" s="142">
        <v>2600000.0</v>
      </c>
      <c r="J76" s="143">
        <v>2550000.0</v>
      </c>
      <c r="K76" s="144">
        <v>2500000.0</v>
      </c>
      <c r="L76" s="86"/>
      <c r="M76" s="87">
        <v>1.224E8</v>
      </c>
      <c r="N76" s="88">
        <v>2363640.0</v>
      </c>
      <c r="O76" s="89">
        <v>2318180.0</v>
      </c>
      <c r="P76" s="91">
        <v>2272730.0</v>
      </c>
      <c r="Q76" s="90"/>
      <c r="R76" s="88">
        <v>2600000.0</v>
      </c>
      <c r="S76" s="89">
        <v>2550000.0</v>
      </c>
      <c r="T76" s="91">
        <v>2500000.0</v>
      </c>
      <c r="U76" s="203"/>
      <c r="V76" s="78"/>
      <c r="W76" s="50">
        <v>0.0</v>
      </c>
      <c r="X76" s="50"/>
      <c r="Y76" s="50"/>
    </row>
    <row r="77">
      <c r="A77" s="93">
        <v>2.0</v>
      </c>
      <c r="B77" s="122" t="s">
        <v>130</v>
      </c>
      <c r="C77" s="123" t="s">
        <v>78</v>
      </c>
      <c r="D77" s="123" t="s">
        <v>128</v>
      </c>
      <c r="E77" s="123" t="s">
        <v>97</v>
      </c>
      <c r="F77" s="123" t="s">
        <v>100</v>
      </c>
      <c r="G77" s="123" t="s">
        <v>131</v>
      </c>
      <c r="H77" s="96">
        <v>57.0</v>
      </c>
      <c r="I77" s="97">
        <v>2450000.0</v>
      </c>
      <c r="J77" s="98">
        <v>2430000.0</v>
      </c>
      <c r="K77" s="215">
        <v>2400000.0</v>
      </c>
      <c r="L77" s="161"/>
      <c r="M77" s="101">
        <v>1.3965E8</v>
      </c>
      <c r="N77" s="102">
        <v>2227270.0</v>
      </c>
      <c r="O77" s="103">
        <v>2209090.0</v>
      </c>
      <c r="P77" s="204">
        <v>2181820.0</v>
      </c>
      <c r="Q77" s="104"/>
      <c r="R77" s="105">
        <v>2450000.0</v>
      </c>
      <c r="S77" s="106">
        <v>2430000.0</v>
      </c>
      <c r="T77" s="107">
        <v>2400000.0</v>
      </c>
      <c r="U77" s="205"/>
      <c r="V77" s="78"/>
      <c r="W77" s="50">
        <v>0.0</v>
      </c>
      <c r="X77" s="50"/>
      <c r="Y77" s="50"/>
    </row>
    <row r="78">
      <c r="A78" s="128" t="s">
        <v>132</v>
      </c>
      <c r="B78" s="129"/>
      <c r="C78" s="129"/>
      <c r="D78" s="129"/>
      <c r="E78" s="129"/>
      <c r="F78" s="129"/>
      <c r="G78" s="129"/>
      <c r="H78" s="130"/>
      <c r="I78" s="131" t="s">
        <v>73</v>
      </c>
      <c r="J78" s="132"/>
      <c r="K78" s="156"/>
      <c r="L78" s="157"/>
      <c r="M78" s="135">
        <v>1.2924E7</v>
      </c>
      <c r="N78" s="136" t="s">
        <v>73</v>
      </c>
      <c r="O78" s="137"/>
      <c r="P78" s="214"/>
      <c r="Q78" s="159"/>
      <c r="R78" s="139" t="s">
        <v>73</v>
      </c>
      <c r="S78" s="140"/>
      <c r="T78" s="160"/>
      <c r="U78" s="200"/>
      <c r="V78" s="78"/>
    </row>
    <row r="79">
      <c r="A79" s="79" t="s">
        <v>133</v>
      </c>
      <c r="B79" s="80" t="s">
        <v>134</v>
      </c>
      <c r="C79" s="81" t="s">
        <v>78</v>
      </c>
      <c r="D79" s="81" t="s">
        <v>79</v>
      </c>
      <c r="E79" s="81" t="s">
        <v>94</v>
      </c>
      <c r="F79" s="81" t="s">
        <v>84</v>
      </c>
      <c r="G79" s="81" t="s">
        <v>135</v>
      </c>
      <c r="H79" s="82">
        <v>3.0</v>
      </c>
      <c r="I79" s="162">
        <v>1908000.0</v>
      </c>
      <c r="J79" s="84"/>
      <c r="K79" s="163"/>
      <c r="L79" s="164"/>
      <c r="M79" s="87">
        <v>5724000.0</v>
      </c>
      <c r="N79" s="162">
        <v>1734550.0</v>
      </c>
      <c r="O79" s="165"/>
      <c r="P79" s="167"/>
      <c r="Q79" s="166"/>
      <c r="R79" s="162">
        <v>1869840.0</v>
      </c>
      <c r="S79" s="165"/>
      <c r="T79" s="167"/>
      <c r="U79" s="216"/>
      <c r="V79" s="78"/>
      <c r="W79" s="50">
        <v>0.02</v>
      </c>
      <c r="X79" s="50"/>
      <c r="Y79" s="50"/>
    </row>
    <row r="80">
      <c r="A80" s="93" t="s">
        <v>133</v>
      </c>
      <c r="B80" s="122" t="s">
        <v>136</v>
      </c>
      <c r="C80" s="123" t="s">
        <v>78</v>
      </c>
      <c r="D80" s="123" t="s">
        <v>137</v>
      </c>
      <c r="E80" s="123" t="s">
        <v>97</v>
      </c>
      <c r="F80" s="123" t="s">
        <v>100</v>
      </c>
      <c r="G80" s="123" t="s">
        <v>82</v>
      </c>
      <c r="H80" s="96">
        <v>4.0</v>
      </c>
      <c r="I80" s="124">
        <v>1800000.0</v>
      </c>
      <c r="J80" s="125"/>
      <c r="K80" s="99"/>
      <c r="L80" s="100"/>
      <c r="M80" s="101">
        <v>7200000.0</v>
      </c>
      <c r="N80" s="102">
        <v>1636360.0</v>
      </c>
      <c r="O80" s="103"/>
      <c r="P80" s="204"/>
      <c r="Q80" s="104"/>
      <c r="R80" s="105">
        <v>1800000.0</v>
      </c>
      <c r="S80" s="106"/>
      <c r="T80" s="107"/>
      <c r="U80" s="205"/>
      <c r="V80" s="78"/>
      <c r="W80" s="50">
        <v>0.0</v>
      </c>
      <c r="X80" s="50"/>
      <c r="Y80" s="50"/>
    </row>
    <row r="81">
      <c r="A81" s="168"/>
      <c r="B81" s="169"/>
      <c r="C81" s="169"/>
      <c r="D81" s="169"/>
      <c r="E81" s="169"/>
      <c r="F81" s="169"/>
      <c r="G81" s="169"/>
      <c r="H81" s="170"/>
      <c r="I81" s="171"/>
      <c r="J81" s="172"/>
      <c r="K81" s="173"/>
      <c r="L81" s="174"/>
      <c r="M81" s="175"/>
      <c r="N81" s="171"/>
      <c r="O81" s="172"/>
      <c r="P81" s="176"/>
      <c r="Q81" s="174"/>
      <c r="R81" s="171"/>
      <c r="S81" s="172"/>
      <c r="T81" s="176"/>
      <c r="U81" s="217"/>
      <c r="V81" s="177"/>
    </row>
    <row r="82">
      <c r="A82" s="178"/>
      <c r="B82" s="179"/>
      <c r="C82" s="179"/>
      <c r="D82" s="179"/>
      <c r="E82" s="179"/>
      <c r="F82" s="179"/>
      <c r="G82" s="179"/>
      <c r="H82" s="180"/>
      <c r="I82" s="181" t="s">
        <v>138</v>
      </c>
      <c r="J82" s="182">
        <v>0.0</v>
      </c>
      <c r="K82" s="183"/>
      <c r="L82" s="184"/>
      <c r="M82" s="185"/>
      <c r="N82" s="186"/>
      <c r="O82" s="187"/>
      <c r="P82" s="218"/>
      <c r="Q82" s="188"/>
      <c r="R82" s="189"/>
      <c r="S82" s="190"/>
      <c r="T82" s="191"/>
      <c r="U82" s="219"/>
      <c r="V82" s="78"/>
      <c r="W82" s="50"/>
      <c r="X82" s="50"/>
      <c r="Y82" s="50"/>
    </row>
    <row r="83">
      <c r="A83" s="192"/>
      <c r="C83" s="193"/>
      <c r="D83" s="194"/>
      <c r="E83" s="193"/>
      <c r="F83" s="193"/>
      <c r="G83" s="193"/>
      <c r="H83" s="193"/>
      <c r="I83" s="193"/>
      <c r="J83" s="193"/>
      <c r="K83" s="193"/>
      <c r="L83" s="193"/>
      <c r="M83" s="193"/>
      <c r="N83" s="193"/>
      <c r="O83" s="193"/>
      <c r="P83" s="193"/>
      <c r="Q83" s="193"/>
      <c r="R83" s="193"/>
      <c r="S83" s="193"/>
      <c r="T83" s="193"/>
      <c r="U83" s="193"/>
      <c r="V83" s="193"/>
      <c r="W83" s="50"/>
      <c r="X83" s="50"/>
      <c r="Y83" s="50"/>
    </row>
    <row r="84">
      <c r="A84" s="192" t="s">
        <v>139</v>
      </c>
      <c r="B84" s="192"/>
      <c r="C84" s="193"/>
      <c r="D84" s="194" t="s">
        <v>140</v>
      </c>
      <c r="E84" s="194"/>
      <c r="F84" s="193"/>
      <c r="G84" s="193"/>
      <c r="H84" s="193"/>
      <c r="I84" s="193"/>
      <c r="J84" s="193"/>
      <c r="K84" s="193"/>
      <c r="L84" s="193"/>
      <c r="M84" s="193"/>
      <c r="N84" s="193"/>
      <c r="O84" s="193"/>
      <c r="P84" s="193"/>
      <c r="Q84" s="193"/>
      <c r="R84" s="193"/>
      <c r="S84" s="193"/>
      <c r="T84" s="193"/>
      <c r="U84" s="193"/>
      <c r="V84" s="193"/>
      <c r="W84" s="50"/>
      <c r="X84" s="50"/>
      <c r="Y84" s="50"/>
    </row>
    <row r="85">
      <c r="A85" s="193"/>
      <c r="B85" s="193"/>
      <c r="C85" s="193"/>
      <c r="D85" s="195" t="s">
        <v>141</v>
      </c>
      <c r="E85" s="195"/>
      <c r="F85" s="195"/>
      <c r="G85" s="195"/>
      <c r="H85" s="195"/>
      <c r="I85" s="195"/>
      <c r="J85" s="195"/>
      <c r="K85" s="193"/>
      <c r="L85" s="193"/>
      <c r="M85" s="193"/>
      <c r="N85" s="193"/>
      <c r="O85" s="193"/>
      <c r="P85" s="193"/>
      <c r="Q85" s="193"/>
      <c r="R85" s="193"/>
      <c r="S85" s="193"/>
      <c r="T85" s="193"/>
      <c r="U85" s="193"/>
      <c r="V85" s="193"/>
      <c r="W85" s="50"/>
      <c r="X85" s="50"/>
      <c r="Y85" s="50"/>
    </row>
    <row r="86">
      <c r="A86" s="193"/>
      <c r="B86" s="193"/>
      <c r="C86" s="193"/>
      <c r="D86" s="196" t="s">
        <v>142</v>
      </c>
      <c r="E86" s="196"/>
      <c r="F86" s="196"/>
      <c r="G86" s="196"/>
      <c r="H86" s="196"/>
      <c r="I86" s="196"/>
      <c r="J86" s="196"/>
      <c r="K86" s="196"/>
      <c r="L86" s="196"/>
      <c r="M86" s="196"/>
      <c r="N86" s="52"/>
      <c r="O86" s="52"/>
      <c r="P86" s="52"/>
      <c r="Q86" s="52"/>
      <c r="R86" s="52"/>
      <c r="S86" s="52"/>
      <c r="T86" s="52"/>
      <c r="U86" s="52"/>
      <c r="V86" s="52"/>
      <c r="W86" s="50"/>
      <c r="X86" s="50"/>
      <c r="Y86" s="50"/>
    </row>
    <row r="87">
      <c r="A87" s="51"/>
      <c r="B87" s="51"/>
      <c r="C87" s="51"/>
      <c r="D87" s="52" t="s">
        <v>143</v>
      </c>
      <c r="E87" s="52"/>
      <c r="F87" s="52"/>
      <c r="G87" s="52"/>
      <c r="H87" s="51"/>
      <c r="I87" s="51"/>
      <c r="J87" s="51"/>
      <c r="K87" s="51"/>
      <c r="L87" s="51"/>
      <c r="M87" s="51"/>
      <c r="N87" s="51"/>
      <c r="O87" s="51"/>
      <c r="P87" s="51"/>
      <c r="Q87" s="51"/>
      <c r="R87" s="51"/>
      <c r="S87" s="51"/>
      <c r="T87" s="51"/>
      <c r="U87" s="51"/>
      <c r="V87" s="51"/>
      <c r="W87" s="50"/>
      <c r="X87" s="50"/>
      <c r="Y87" s="50"/>
    </row>
    <row r="88">
      <c r="A88" s="51"/>
      <c r="B88" s="51"/>
      <c r="C88" s="51"/>
      <c r="D88" s="52"/>
      <c r="E88" s="52"/>
      <c r="F88" s="52"/>
      <c r="G88" s="52"/>
      <c r="H88" s="51"/>
      <c r="I88" s="51"/>
      <c r="J88" s="51"/>
      <c r="K88" s="51"/>
      <c r="L88" s="51"/>
      <c r="M88" s="51"/>
      <c r="N88" s="51"/>
      <c r="O88" s="51"/>
      <c r="P88" s="51"/>
      <c r="Q88" s="51"/>
      <c r="R88" s="51"/>
      <c r="S88" s="51"/>
      <c r="T88" s="51"/>
      <c r="U88" s="51"/>
      <c r="V88" s="51"/>
      <c r="W88" s="50"/>
      <c r="X88" s="50"/>
      <c r="Y88" s="50"/>
    </row>
    <row r="89">
      <c r="A89" s="51"/>
      <c r="B89" s="51"/>
      <c r="C89" s="51"/>
      <c r="D89" s="52"/>
      <c r="E89" s="52"/>
      <c r="F89" s="52"/>
      <c r="G89" s="52"/>
      <c r="H89" s="51"/>
      <c r="I89" s="51"/>
      <c r="J89" s="51"/>
      <c r="K89" s="51"/>
      <c r="L89" s="51"/>
      <c r="M89" s="51"/>
      <c r="N89" s="51"/>
      <c r="O89" s="51"/>
      <c r="P89" s="51"/>
      <c r="Q89" s="51"/>
      <c r="R89" s="51"/>
      <c r="S89" s="51"/>
      <c r="T89" s="51"/>
      <c r="U89" s="51"/>
      <c r="V89" s="51"/>
      <c r="W89" s="50"/>
      <c r="X89" s="50"/>
      <c r="Y89" s="50"/>
    </row>
    <row r="90">
      <c r="A90" s="51"/>
      <c r="B90" s="51"/>
      <c r="C90" s="51"/>
      <c r="D90" s="52"/>
      <c r="E90" s="52"/>
      <c r="F90" s="52"/>
      <c r="G90" s="52"/>
      <c r="H90" s="51"/>
      <c r="I90" s="51"/>
      <c r="J90" s="51"/>
      <c r="K90" s="51"/>
      <c r="L90" s="51"/>
      <c r="M90" s="51"/>
      <c r="N90" s="51"/>
      <c r="O90" s="51"/>
      <c r="P90" s="51"/>
      <c r="Q90" s="51"/>
      <c r="R90" s="51"/>
      <c r="S90" s="51"/>
      <c r="T90" s="51"/>
      <c r="U90" s="51"/>
      <c r="V90" s="51"/>
      <c r="W90" s="50"/>
      <c r="X90" s="50"/>
      <c r="Y90" s="50"/>
    </row>
    <row r="91">
      <c r="A91" s="51"/>
      <c r="B91" s="51"/>
      <c r="C91" s="51"/>
      <c r="D91" s="52"/>
      <c r="E91" s="52"/>
      <c r="F91" s="52"/>
      <c r="G91" s="52"/>
      <c r="H91" s="51"/>
      <c r="I91" s="51"/>
      <c r="J91" s="51"/>
      <c r="K91" s="51"/>
      <c r="L91" s="51"/>
      <c r="M91" s="51"/>
      <c r="N91" s="51"/>
      <c r="O91" s="51"/>
      <c r="P91" s="51"/>
      <c r="Q91" s="51"/>
      <c r="R91" s="51"/>
      <c r="S91" s="51"/>
      <c r="T91" s="51"/>
      <c r="U91" s="51"/>
      <c r="V91" s="51"/>
      <c r="W91" s="50"/>
      <c r="X91" s="50"/>
      <c r="Y91" s="50"/>
    </row>
    <row r="92">
      <c r="A92" s="197"/>
      <c r="B92" s="197"/>
      <c r="C92" s="197"/>
      <c r="D92" s="198"/>
      <c r="E92" s="198"/>
      <c r="F92" s="198"/>
      <c r="G92" s="198"/>
      <c r="H92" s="197"/>
      <c r="I92" s="197"/>
      <c r="J92" s="197"/>
      <c r="K92" s="197"/>
      <c r="L92" s="197"/>
      <c r="M92" s="197"/>
      <c r="N92" s="197"/>
      <c r="O92" s="197"/>
      <c r="P92" s="197"/>
      <c r="Q92" s="197"/>
      <c r="R92" s="197"/>
      <c r="S92" s="197"/>
      <c r="T92" s="197"/>
      <c r="U92" s="197"/>
      <c r="V92" s="197"/>
      <c r="W92" s="50"/>
      <c r="X92" s="50"/>
      <c r="Y92" s="50"/>
    </row>
    <row r="93">
      <c r="A93" s="51"/>
      <c r="B93" s="51"/>
      <c r="C93" s="51"/>
      <c r="D93" s="52"/>
      <c r="E93" s="52"/>
      <c r="F93" s="52"/>
      <c r="G93" s="52"/>
      <c r="H93" s="51"/>
      <c r="I93" s="51"/>
      <c r="J93" s="51"/>
      <c r="K93" s="51"/>
      <c r="L93" s="51"/>
      <c r="M93" s="51"/>
      <c r="N93" s="51"/>
      <c r="O93" s="51"/>
      <c r="P93" s="78"/>
      <c r="Q93" s="78"/>
      <c r="R93" s="78"/>
      <c r="S93" s="78"/>
      <c r="T93" s="78"/>
      <c r="U93" s="78"/>
      <c r="V93" s="78"/>
      <c r="W93" s="50"/>
      <c r="X93" s="50"/>
      <c r="Y93" s="50"/>
    </row>
    <row r="94">
      <c r="A94" s="51"/>
      <c r="B94" s="51"/>
      <c r="C94" s="51"/>
      <c r="D94" s="52"/>
      <c r="E94" s="52"/>
      <c r="F94" s="52"/>
      <c r="G94" s="52"/>
      <c r="H94" s="51"/>
      <c r="I94" s="51"/>
      <c r="J94" s="51"/>
      <c r="K94" s="51"/>
      <c r="L94" s="51"/>
      <c r="M94" s="51"/>
      <c r="N94" s="51"/>
      <c r="O94" s="51"/>
      <c r="P94" s="78"/>
      <c r="Q94" s="78"/>
      <c r="R94" s="78"/>
      <c r="S94" s="78"/>
      <c r="T94" s="78"/>
      <c r="U94" s="78"/>
      <c r="V94" s="78"/>
      <c r="W94" s="50"/>
      <c r="X94" s="50"/>
      <c r="Y94" s="50"/>
    </row>
    <row r="95">
      <c r="A95" s="51"/>
      <c r="B95" s="51"/>
      <c r="C95" s="51"/>
      <c r="D95" s="52"/>
      <c r="E95" s="52"/>
      <c r="F95" s="52"/>
      <c r="G95" s="52"/>
      <c r="H95" s="51"/>
      <c r="I95" s="51"/>
      <c r="J95" s="51"/>
      <c r="K95" s="51"/>
      <c r="L95" s="51"/>
      <c r="M95" s="51"/>
      <c r="N95" s="51"/>
      <c r="O95" s="51"/>
      <c r="P95" s="78"/>
      <c r="Q95" s="78"/>
      <c r="R95" s="78"/>
      <c r="S95" s="78"/>
      <c r="T95" s="78"/>
      <c r="U95" s="78"/>
      <c r="V95" s="78"/>
      <c r="W95" s="50"/>
      <c r="X95" s="50"/>
      <c r="Y95" s="50"/>
    </row>
    <row r="96">
      <c r="A96" s="51"/>
      <c r="B96" s="51"/>
      <c r="C96" s="51"/>
      <c r="D96" s="52"/>
      <c r="E96" s="52"/>
      <c r="F96" s="52"/>
      <c r="G96" s="52"/>
      <c r="H96" s="51"/>
      <c r="I96" s="51"/>
      <c r="J96" s="51"/>
      <c r="K96" s="51"/>
      <c r="L96" s="51"/>
      <c r="M96" s="51"/>
      <c r="N96" s="51"/>
      <c r="O96" s="51"/>
      <c r="P96" s="78"/>
      <c r="Q96" s="78"/>
      <c r="R96" s="78"/>
      <c r="S96" s="78"/>
      <c r="T96" s="78"/>
      <c r="U96" s="78"/>
      <c r="V96" s="78"/>
      <c r="W96" s="50"/>
      <c r="X96" s="50"/>
      <c r="Y96" s="50"/>
    </row>
    <row r="97">
      <c r="A97" s="51"/>
      <c r="B97" s="51"/>
      <c r="C97" s="51"/>
      <c r="D97" s="52"/>
      <c r="E97" s="52"/>
      <c r="F97" s="52"/>
      <c r="G97" s="52"/>
      <c r="H97" s="51"/>
      <c r="I97" s="51"/>
      <c r="J97" s="51"/>
      <c r="K97" s="51"/>
      <c r="L97" s="51"/>
      <c r="M97" s="51"/>
      <c r="N97" s="51"/>
      <c r="O97" s="51"/>
      <c r="P97" s="78"/>
      <c r="Q97" s="78"/>
      <c r="R97" s="78"/>
      <c r="S97" s="78"/>
      <c r="T97" s="78"/>
      <c r="U97" s="78"/>
      <c r="V97" s="78"/>
      <c r="W97" s="50"/>
      <c r="X97" s="50"/>
      <c r="Y97" s="50"/>
    </row>
    <row r="98">
      <c r="A98" s="51"/>
      <c r="B98" s="51"/>
      <c r="C98" s="51"/>
      <c r="D98" s="52"/>
      <c r="E98" s="52"/>
      <c r="F98" s="52"/>
      <c r="G98" s="52"/>
      <c r="H98" s="51"/>
      <c r="I98" s="51"/>
      <c r="J98" s="51"/>
      <c r="K98" s="51"/>
      <c r="L98" s="51"/>
      <c r="M98" s="51"/>
      <c r="N98" s="51"/>
      <c r="O98" s="51"/>
      <c r="P98" s="78"/>
      <c r="Q98" s="78"/>
      <c r="R98" s="78"/>
      <c r="S98" s="78"/>
      <c r="T98" s="78"/>
      <c r="U98" s="78"/>
      <c r="V98" s="78"/>
      <c r="W98" s="50"/>
      <c r="X98" s="50"/>
      <c r="Y98" s="50"/>
    </row>
    <row r="99">
      <c r="A99" s="51"/>
      <c r="B99" s="51"/>
      <c r="C99" s="51"/>
      <c r="D99" s="52"/>
      <c r="E99" s="52"/>
      <c r="F99" s="52"/>
      <c r="G99" s="52"/>
      <c r="H99" s="51"/>
      <c r="I99" s="51"/>
      <c r="J99" s="51"/>
      <c r="K99" s="51"/>
      <c r="L99" s="51"/>
      <c r="M99" s="51"/>
      <c r="N99" s="51"/>
      <c r="O99" s="51"/>
      <c r="P99" s="78"/>
      <c r="Q99" s="78"/>
      <c r="R99" s="78"/>
      <c r="S99" s="78"/>
      <c r="T99" s="78"/>
      <c r="U99" s="78"/>
      <c r="V99" s="78"/>
      <c r="W99" s="50"/>
      <c r="X99" s="50"/>
      <c r="Y99" s="50"/>
    </row>
    <row r="100">
      <c r="A100" s="51"/>
      <c r="B100" s="51"/>
      <c r="C100" s="51"/>
      <c r="D100" s="52"/>
      <c r="E100" s="52"/>
      <c r="F100" s="52"/>
      <c r="G100" s="52"/>
      <c r="H100" s="51"/>
      <c r="I100" s="51"/>
      <c r="J100" s="51"/>
      <c r="K100" s="51"/>
      <c r="L100" s="51"/>
      <c r="M100" s="51"/>
      <c r="N100" s="51"/>
      <c r="O100" s="51"/>
      <c r="P100" s="78"/>
      <c r="Q100" s="78"/>
      <c r="R100" s="78"/>
      <c r="S100" s="78"/>
      <c r="T100" s="78"/>
      <c r="U100" s="78"/>
      <c r="V100" s="78"/>
      <c r="W100" s="50"/>
      <c r="X100" s="50"/>
      <c r="Y100" s="50"/>
    </row>
    <row r="101">
      <c r="A101" s="51"/>
      <c r="B101" s="51"/>
      <c r="C101" s="51"/>
      <c r="D101" s="52"/>
      <c r="E101" s="52"/>
      <c r="F101" s="52"/>
      <c r="G101" s="52"/>
      <c r="H101" s="51"/>
      <c r="I101" s="51"/>
      <c r="J101" s="51"/>
      <c r="K101" s="51"/>
      <c r="L101" s="51"/>
      <c r="M101" s="51"/>
      <c r="N101" s="51"/>
      <c r="O101" s="51"/>
      <c r="P101" s="78"/>
      <c r="Q101" s="78"/>
      <c r="R101" s="78"/>
      <c r="S101" s="78"/>
      <c r="T101" s="78"/>
      <c r="U101" s="78"/>
      <c r="V101" s="78"/>
      <c r="W101" s="50"/>
      <c r="X101" s="50"/>
      <c r="Y101" s="50"/>
    </row>
    <row r="102">
      <c r="A102" s="48"/>
      <c r="B102" s="48"/>
      <c r="C102" s="48"/>
      <c r="D102" s="48"/>
      <c r="E102" s="48"/>
      <c r="F102" s="48"/>
      <c r="G102" s="48"/>
      <c r="H102" s="48"/>
      <c r="I102" s="48"/>
      <c r="J102" s="48"/>
      <c r="K102" s="48"/>
      <c r="L102" s="48"/>
      <c r="M102" s="48"/>
      <c r="N102" s="48"/>
      <c r="O102" s="49"/>
      <c r="P102" s="78"/>
      <c r="Q102" s="78"/>
      <c r="R102" s="78"/>
      <c r="S102" s="78"/>
      <c r="T102" s="78"/>
      <c r="U102" s="78"/>
      <c r="V102" s="78"/>
      <c r="W102" s="50"/>
      <c r="X102" s="50"/>
      <c r="Y102" s="50"/>
    </row>
    <row r="103">
      <c r="A103" s="48" t="s">
        <v>150</v>
      </c>
      <c r="O103" s="49"/>
      <c r="P103" s="78"/>
      <c r="Q103" s="78"/>
      <c r="R103" s="78"/>
      <c r="S103" s="78"/>
      <c r="T103" s="78"/>
      <c r="U103" s="78"/>
      <c r="V103" s="78"/>
      <c r="W103" s="50"/>
      <c r="X103" s="50"/>
      <c r="Y103" s="50"/>
    </row>
    <row r="104">
      <c r="A104" s="220"/>
      <c r="B104" s="221" t="s">
        <v>66</v>
      </c>
      <c r="C104" s="55"/>
      <c r="D104" s="55"/>
      <c r="E104" s="55"/>
      <c r="F104" s="55"/>
      <c r="G104" s="56"/>
      <c r="H104" s="222" t="s">
        <v>151</v>
      </c>
      <c r="I104" s="222" t="s">
        <v>152</v>
      </c>
      <c r="J104" s="223" t="s">
        <v>153</v>
      </c>
      <c r="K104" s="224" t="s">
        <v>154</v>
      </c>
      <c r="L104" s="224"/>
      <c r="M104" s="224" t="s">
        <v>155</v>
      </c>
      <c r="N104" s="224" t="s">
        <v>156</v>
      </c>
      <c r="O104" s="224" t="s">
        <v>157</v>
      </c>
      <c r="P104" s="62"/>
      <c r="Q104" s="62"/>
      <c r="R104" s="62"/>
      <c r="S104" s="62"/>
      <c r="T104" s="62"/>
      <c r="U104" s="62"/>
      <c r="V104" s="62"/>
      <c r="W104" s="63"/>
      <c r="X104" s="63"/>
      <c r="Y104" s="63"/>
    </row>
    <row r="105">
      <c r="A105" s="225" t="s">
        <v>72</v>
      </c>
      <c r="B105" s="226"/>
      <c r="C105" s="226"/>
      <c r="D105" s="226"/>
      <c r="E105" s="226"/>
      <c r="F105" s="226"/>
      <c r="G105" s="226"/>
      <c r="H105" s="226"/>
      <c r="I105" s="226"/>
      <c r="J105" s="227"/>
      <c r="K105" s="228" t="s">
        <v>158</v>
      </c>
      <c r="L105" s="228"/>
      <c r="M105" s="228" t="s">
        <v>159</v>
      </c>
      <c r="N105" s="228" t="s">
        <v>160</v>
      </c>
      <c r="O105" s="229"/>
      <c r="P105" s="78"/>
      <c r="Q105" s="78"/>
      <c r="R105" s="78"/>
      <c r="S105" s="78"/>
      <c r="T105" s="78"/>
      <c r="U105" s="78"/>
      <c r="V105" s="78"/>
      <c r="W105" s="50"/>
      <c r="X105" s="50"/>
      <c r="Y105" s="50"/>
    </row>
    <row r="106">
      <c r="A106" s="230"/>
      <c r="B106" s="231"/>
      <c r="C106" s="231"/>
      <c r="D106" s="231"/>
      <c r="E106" s="231"/>
      <c r="F106" s="231"/>
      <c r="G106" s="231"/>
      <c r="H106" s="231"/>
      <c r="I106" s="231"/>
      <c r="J106" s="232"/>
      <c r="K106" s="233" t="s">
        <v>161</v>
      </c>
      <c r="L106" s="233"/>
      <c r="M106" s="233" t="s">
        <v>162</v>
      </c>
      <c r="N106" s="233" t="s">
        <v>163</v>
      </c>
      <c r="O106" s="234"/>
      <c r="P106" s="78"/>
      <c r="Q106" s="78"/>
      <c r="R106" s="78"/>
      <c r="S106" s="78"/>
      <c r="T106" s="78"/>
      <c r="U106" s="78"/>
      <c r="V106" s="78"/>
      <c r="W106" s="50"/>
      <c r="X106" s="50"/>
      <c r="Y106" s="50"/>
    </row>
    <row r="107">
      <c r="A107" s="109">
        <v>1.0</v>
      </c>
      <c r="B107" s="235" t="s">
        <v>77</v>
      </c>
      <c r="C107" s="111" t="s">
        <v>78</v>
      </c>
      <c r="D107" s="111" t="s">
        <v>79</v>
      </c>
      <c r="E107" s="111" t="s">
        <v>80</v>
      </c>
      <c r="F107" s="111" t="s">
        <v>81</v>
      </c>
      <c r="G107" s="111" t="s">
        <v>82</v>
      </c>
      <c r="H107" s="236">
        <f>iferror(vlookup(B107,'TỒN'!A:C,3,false),0)</f>
        <v>2016</v>
      </c>
      <c r="I107" s="237">
        <v>540000.0</v>
      </c>
      <c r="J107" s="237">
        <v>480000.0</v>
      </c>
      <c r="K107" s="237">
        <v>470000.0</v>
      </c>
      <c r="L107" s="237"/>
      <c r="M107" s="237">
        <v>450000.0</v>
      </c>
      <c r="N107" s="237"/>
      <c r="O107" s="238"/>
      <c r="P107" s="78"/>
      <c r="Q107" s="78"/>
      <c r="R107" s="78"/>
      <c r="S107" s="78"/>
      <c r="T107" s="78"/>
      <c r="U107" s="78"/>
      <c r="V107" s="78"/>
      <c r="W107" s="50"/>
      <c r="X107" s="50"/>
      <c r="Y107" s="50"/>
    </row>
    <row r="108">
      <c r="A108" s="109">
        <v>2.0</v>
      </c>
      <c r="B108" s="110" t="s">
        <v>85</v>
      </c>
      <c r="C108" s="111" t="s">
        <v>78</v>
      </c>
      <c r="D108" s="111" t="s">
        <v>79</v>
      </c>
      <c r="E108" s="111" t="s">
        <v>86</v>
      </c>
      <c r="F108" s="111" t="s">
        <v>81</v>
      </c>
      <c r="G108" s="111" t="s">
        <v>82</v>
      </c>
      <c r="H108" s="236">
        <f>iferror(vlookup(B108,'TỒN'!A:C,3,false),0)</f>
        <v>1028</v>
      </c>
      <c r="I108" s="239">
        <f t="shared" ref="I108:J108" si="64">J108+10000</f>
        <v>390000</v>
      </c>
      <c r="J108" s="239">
        <f t="shared" si="64"/>
        <v>380000</v>
      </c>
      <c r="K108" s="239">
        <f t="shared" ref="K108:K116" si="67">M108+10000</f>
        <v>370000</v>
      </c>
      <c r="L108" s="239"/>
      <c r="M108" s="239">
        <f t="shared" ref="M108:N108" si="65">N108+10000</f>
        <v>360000</v>
      </c>
      <c r="N108" s="239">
        <f t="shared" si="65"/>
        <v>350000</v>
      </c>
      <c r="O108" s="240">
        <v>340000.0</v>
      </c>
      <c r="P108" s="78"/>
      <c r="Q108" s="78"/>
      <c r="R108" s="78"/>
      <c r="S108" s="78"/>
      <c r="T108" s="78"/>
      <c r="U108" s="78"/>
      <c r="V108" s="78"/>
      <c r="W108" s="50"/>
      <c r="X108" s="50"/>
      <c r="Y108" s="50"/>
    </row>
    <row r="109">
      <c r="A109" s="109">
        <v>3.0</v>
      </c>
      <c r="B109" s="110" t="s">
        <v>87</v>
      </c>
      <c r="C109" s="111" t="s">
        <v>78</v>
      </c>
      <c r="D109" s="111" t="s">
        <v>79</v>
      </c>
      <c r="E109" s="111" t="s">
        <v>86</v>
      </c>
      <c r="F109" s="111" t="s">
        <v>88</v>
      </c>
      <c r="G109" s="111" t="s">
        <v>82</v>
      </c>
      <c r="H109" s="236">
        <f>iferror(vlookup(B109,'TỒN'!A:C,3,false),0)</f>
        <v>20</v>
      </c>
      <c r="I109" s="239">
        <f t="shared" ref="I109:J109" si="66">J109+10000</f>
        <v>750000</v>
      </c>
      <c r="J109" s="239">
        <f t="shared" si="66"/>
        <v>740000</v>
      </c>
      <c r="K109" s="239">
        <f t="shared" si="67"/>
        <v>730000</v>
      </c>
      <c r="L109" s="239"/>
      <c r="M109" s="237">
        <f>N109+10000</f>
        <v>720000</v>
      </c>
      <c r="N109" s="237">
        <f>O109+20000</f>
        <v>710000</v>
      </c>
      <c r="O109" s="238">
        <v>690000.0</v>
      </c>
      <c r="P109" s="78"/>
      <c r="Q109" s="78"/>
      <c r="R109" s="78"/>
      <c r="S109" s="78"/>
      <c r="T109" s="78"/>
      <c r="U109" s="78"/>
      <c r="V109" s="78"/>
      <c r="W109" s="50"/>
      <c r="X109" s="50"/>
      <c r="Y109" s="50"/>
    </row>
    <row r="110">
      <c r="A110" s="109">
        <v>3.0</v>
      </c>
      <c r="B110" s="110" t="s">
        <v>89</v>
      </c>
      <c r="C110" s="111" t="s">
        <v>78</v>
      </c>
      <c r="D110" s="111" t="s">
        <v>79</v>
      </c>
      <c r="E110" s="111" t="s">
        <v>86</v>
      </c>
      <c r="F110" s="111" t="s">
        <v>90</v>
      </c>
      <c r="G110" s="111" t="s">
        <v>82</v>
      </c>
      <c r="H110" s="236">
        <f>iferror(vlookup(B110,'TỒN'!A:C,3,false),0)</f>
        <v>0</v>
      </c>
      <c r="I110" s="239">
        <f t="shared" ref="I110:J110" si="68">J110+10000</f>
        <v>905000</v>
      </c>
      <c r="J110" s="239">
        <f t="shared" si="68"/>
        <v>895000</v>
      </c>
      <c r="K110" s="239">
        <f t="shared" si="67"/>
        <v>885000</v>
      </c>
      <c r="L110" s="239"/>
      <c r="M110" s="237">
        <f t="shared" ref="M110:M111" si="70">N110+15000</f>
        <v>875000</v>
      </c>
      <c r="N110" s="237">
        <f t="shared" ref="N110:N111" si="71">O110+30000</f>
        <v>860000</v>
      </c>
      <c r="O110" s="238">
        <v>830000.0</v>
      </c>
      <c r="P110" s="78"/>
      <c r="Q110" s="78"/>
      <c r="R110" s="78"/>
      <c r="S110" s="78"/>
      <c r="T110" s="78"/>
      <c r="U110" s="78"/>
      <c r="V110" s="78"/>
      <c r="W110" s="50"/>
      <c r="X110" s="50"/>
      <c r="Y110" s="50"/>
    </row>
    <row r="111">
      <c r="A111" s="109">
        <v>4.0</v>
      </c>
      <c r="B111" s="110" t="s">
        <v>91</v>
      </c>
      <c r="C111" s="111" t="s">
        <v>78</v>
      </c>
      <c r="D111" s="111" t="s">
        <v>79</v>
      </c>
      <c r="E111" s="111" t="s">
        <v>86</v>
      </c>
      <c r="F111" s="111" t="s">
        <v>92</v>
      </c>
      <c r="G111" s="111" t="s">
        <v>82</v>
      </c>
      <c r="H111" s="236">
        <f>iferror(vlookup(B111,'TỒN'!A:C,3,false),0)</f>
        <v>2</v>
      </c>
      <c r="I111" s="239">
        <f t="shared" ref="I111:J111" si="69">J111+10000</f>
        <v>1045000</v>
      </c>
      <c r="J111" s="239">
        <f t="shared" si="69"/>
        <v>1035000</v>
      </c>
      <c r="K111" s="239">
        <f t="shared" si="67"/>
        <v>1025000</v>
      </c>
      <c r="L111" s="239"/>
      <c r="M111" s="237">
        <f t="shared" si="70"/>
        <v>1015000</v>
      </c>
      <c r="N111" s="237">
        <f t="shared" si="71"/>
        <v>1000000</v>
      </c>
      <c r="O111" s="238">
        <v>970000.0</v>
      </c>
      <c r="P111" s="78"/>
      <c r="Q111" s="78"/>
      <c r="R111" s="78"/>
      <c r="S111" s="78"/>
      <c r="T111" s="78"/>
      <c r="U111" s="78"/>
      <c r="V111" s="78"/>
      <c r="W111" s="50"/>
      <c r="X111" s="50"/>
      <c r="Y111" s="50"/>
    </row>
    <row r="112">
      <c r="A112" s="109">
        <v>5.0</v>
      </c>
      <c r="B112" s="110" t="s">
        <v>93</v>
      </c>
      <c r="C112" s="111" t="s">
        <v>78</v>
      </c>
      <c r="D112" s="111" t="s">
        <v>79</v>
      </c>
      <c r="E112" s="111" t="s">
        <v>94</v>
      </c>
      <c r="F112" s="111" t="s">
        <v>81</v>
      </c>
      <c r="G112" s="111" t="s">
        <v>82</v>
      </c>
      <c r="H112" s="236">
        <f>iferror(vlookup(B112,'TỒN'!A:C,3,false),0)</f>
        <v>2800</v>
      </c>
      <c r="I112" s="239">
        <f t="shared" ref="I112:J112" si="72">J112+10000</f>
        <v>480000</v>
      </c>
      <c r="J112" s="239">
        <f t="shared" si="72"/>
        <v>470000</v>
      </c>
      <c r="K112" s="239">
        <f t="shared" si="67"/>
        <v>460000</v>
      </c>
      <c r="L112" s="239"/>
      <c r="M112" s="237">
        <f t="shared" ref="M112:N112" si="73">N112+10000</f>
        <v>450000</v>
      </c>
      <c r="N112" s="237">
        <f t="shared" si="73"/>
        <v>440000</v>
      </c>
      <c r="O112" s="241">
        <v>430000.0</v>
      </c>
      <c r="P112" s="78"/>
      <c r="Q112" s="78"/>
      <c r="R112" s="78"/>
      <c r="S112" s="78"/>
      <c r="T112" s="78"/>
      <c r="U112" s="78"/>
      <c r="V112" s="78"/>
      <c r="W112" s="50"/>
      <c r="X112" s="50"/>
      <c r="Y112" s="50"/>
    </row>
    <row r="113">
      <c r="A113" s="109">
        <v>6.0</v>
      </c>
      <c r="B113" s="110" t="s">
        <v>95</v>
      </c>
      <c r="C113" s="111" t="s">
        <v>78</v>
      </c>
      <c r="D113" s="111" t="s">
        <v>79</v>
      </c>
      <c r="E113" s="111" t="s">
        <v>94</v>
      </c>
      <c r="F113" s="111" t="s">
        <v>84</v>
      </c>
      <c r="G113" s="111" t="s">
        <v>82</v>
      </c>
      <c r="H113" s="236">
        <f>iferror(vlookup(B113,'TỒN'!A:C,3,false),0)</f>
        <v>150</v>
      </c>
      <c r="I113" s="239">
        <f t="shared" ref="I113:J113" si="74">J113+10000</f>
        <v>1510000</v>
      </c>
      <c r="J113" s="239">
        <f t="shared" si="74"/>
        <v>1500000</v>
      </c>
      <c r="K113" s="239">
        <f t="shared" si="67"/>
        <v>1490000</v>
      </c>
      <c r="L113" s="239"/>
      <c r="M113" s="237">
        <f>N113+15000</f>
        <v>1480000</v>
      </c>
      <c r="N113" s="237">
        <f>O113+30000</f>
        <v>1465000</v>
      </c>
      <c r="O113" s="242">
        <v>1435000.0</v>
      </c>
      <c r="P113" s="78"/>
      <c r="Q113" s="78"/>
      <c r="R113" s="78"/>
      <c r="S113" s="78"/>
      <c r="T113" s="78"/>
      <c r="U113" s="78"/>
      <c r="V113" s="78"/>
      <c r="W113" s="50"/>
      <c r="X113" s="50"/>
      <c r="Y113" s="50"/>
    </row>
    <row r="114">
      <c r="A114" s="109">
        <v>7.0</v>
      </c>
      <c r="B114" s="110" t="s">
        <v>96</v>
      </c>
      <c r="C114" s="111" t="s">
        <v>78</v>
      </c>
      <c r="D114" s="111" t="s">
        <v>79</v>
      </c>
      <c r="E114" s="111" t="s">
        <v>97</v>
      </c>
      <c r="F114" s="111" t="s">
        <v>98</v>
      </c>
      <c r="G114" s="111" t="s">
        <v>82</v>
      </c>
      <c r="H114" s="236">
        <f>iferror(vlookup(B114,'TỒN'!A:C,3,false),0)</f>
        <v>2724</v>
      </c>
      <c r="I114" s="239">
        <f t="shared" ref="I114:J114" si="75">J114+10000</f>
        <v>480000</v>
      </c>
      <c r="J114" s="239">
        <f t="shared" si="75"/>
        <v>470000</v>
      </c>
      <c r="K114" s="239">
        <f t="shared" si="67"/>
        <v>460000</v>
      </c>
      <c r="L114" s="239"/>
      <c r="M114" s="237">
        <f t="shared" ref="M114:N114" si="76">N114+10000</f>
        <v>450000</v>
      </c>
      <c r="N114" s="237">
        <f t="shared" si="76"/>
        <v>440000</v>
      </c>
      <c r="O114" s="243">
        <v>430000.0</v>
      </c>
      <c r="P114" s="78"/>
      <c r="Q114" s="78"/>
      <c r="R114" s="78"/>
      <c r="S114" s="78"/>
      <c r="T114" s="78"/>
      <c r="U114" s="78"/>
      <c r="V114" s="78"/>
      <c r="W114" s="50"/>
      <c r="X114" s="50"/>
      <c r="Y114" s="50"/>
    </row>
    <row r="115">
      <c r="A115" s="109">
        <v>8.0</v>
      </c>
      <c r="B115" s="110" t="s">
        <v>99</v>
      </c>
      <c r="C115" s="111" t="s">
        <v>78</v>
      </c>
      <c r="D115" s="111" t="s">
        <v>79</v>
      </c>
      <c r="E115" s="111" t="s">
        <v>97</v>
      </c>
      <c r="F115" s="111" t="s">
        <v>100</v>
      </c>
      <c r="G115" s="111" t="s">
        <v>82</v>
      </c>
      <c r="H115" s="236">
        <f>iferror(vlookup(B115,'TỒN'!A:C,3,false),0)</f>
        <v>423</v>
      </c>
      <c r="I115" s="239">
        <f t="shared" ref="I115:J115" si="77">J115+10000</f>
        <v>1420000</v>
      </c>
      <c r="J115" s="239">
        <f t="shared" si="77"/>
        <v>1410000</v>
      </c>
      <c r="K115" s="239">
        <f t="shared" si="67"/>
        <v>1400000</v>
      </c>
      <c r="L115" s="239"/>
      <c r="M115" s="237">
        <f t="shared" ref="M115:N115" si="78">N115+30000</f>
        <v>1390000</v>
      </c>
      <c r="N115" s="237">
        <f t="shared" si="78"/>
        <v>1360000</v>
      </c>
      <c r="O115" s="243">
        <v>1330000.0</v>
      </c>
      <c r="P115" s="78"/>
      <c r="Q115" s="78"/>
      <c r="R115" s="78"/>
      <c r="S115" s="78"/>
      <c r="T115" s="78"/>
      <c r="U115" s="78"/>
      <c r="V115" s="78"/>
      <c r="W115" s="50"/>
      <c r="X115" s="50"/>
      <c r="Y115" s="50"/>
    </row>
    <row r="116">
      <c r="A116" s="109">
        <v>9.0</v>
      </c>
      <c r="B116" s="110" t="s">
        <v>101</v>
      </c>
      <c r="C116" s="111" t="s">
        <v>78</v>
      </c>
      <c r="D116" s="111" t="s">
        <v>79</v>
      </c>
      <c r="E116" s="111" t="s">
        <v>102</v>
      </c>
      <c r="F116" s="111" t="s">
        <v>103</v>
      </c>
      <c r="G116" s="111" t="s">
        <v>82</v>
      </c>
      <c r="H116" s="236">
        <f>iferror(vlookup(B116,'TỒN'!A:C,3,false),0)</f>
        <v>1073</v>
      </c>
      <c r="I116" s="237">
        <f t="shared" ref="I116:J116" si="79">J116+10000</f>
        <v>560000</v>
      </c>
      <c r="J116" s="237">
        <f t="shared" si="79"/>
        <v>550000</v>
      </c>
      <c r="K116" s="237">
        <f t="shared" si="67"/>
        <v>540000</v>
      </c>
      <c r="L116" s="237"/>
      <c r="M116" s="237">
        <f>N116+10000</f>
        <v>530000</v>
      </c>
      <c r="N116" s="237">
        <f>O116+25000</f>
        <v>520000</v>
      </c>
      <c r="O116" s="244">
        <v>495000.0</v>
      </c>
      <c r="P116" s="78"/>
      <c r="Q116" s="78"/>
      <c r="R116" s="78"/>
      <c r="S116" s="78"/>
      <c r="T116" s="78"/>
      <c r="U116" s="78"/>
      <c r="V116" s="78"/>
      <c r="W116" s="50"/>
      <c r="X116" s="50"/>
      <c r="Y116" s="50"/>
    </row>
    <row r="117">
      <c r="A117" s="109">
        <v>10.0</v>
      </c>
      <c r="B117" s="110"/>
      <c r="C117" s="111" t="s">
        <v>78</v>
      </c>
      <c r="D117" s="111" t="s">
        <v>79</v>
      </c>
      <c r="E117" s="111" t="s">
        <v>102</v>
      </c>
      <c r="F117" s="111" t="s">
        <v>105</v>
      </c>
      <c r="G117" s="111" t="s">
        <v>82</v>
      </c>
      <c r="H117" s="236"/>
      <c r="I117" s="237">
        <f t="shared" ref="I117:I121" si="80">J117+10000</f>
        <v>1220000</v>
      </c>
      <c r="J117" s="237">
        <v>1210000.0</v>
      </c>
      <c r="K117" s="237">
        <v>1200000.0</v>
      </c>
      <c r="L117" s="237"/>
      <c r="M117" s="237">
        <v>1190000.0</v>
      </c>
      <c r="N117" s="237">
        <v>1180000.0</v>
      </c>
      <c r="O117" s="245"/>
      <c r="P117" s="177"/>
      <c r="Q117" s="177"/>
      <c r="R117" s="177"/>
      <c r="S117" s="177"/>
      <c r="T117" s="177"/>
      <c r="U117" s="177"/>
      <c r="V117" s="177"/>
      <c r="W117" s="63"/>
      <c r="X117" s="63"/>
      <c r="Y117" s="63"/>
    </row>
    <row r="118">
      <c r="A118" s="109">
        <v>11.0</v>
      </c>
      <c r="B118" s="110" t="s">
        <v>106</v>
      </c>
      <c r="C118" s="111" t="s">
        <v>78</v>
      </c>
      <c r="D118" s="111" t="s">
        <v>79</v>
      </c>
      <c r="E118" s="111" t="s">
        <v>107</v>
      </c>
      <c r="F118" s="111" t="s">
        <v>98</v>
      </c>
      <c r="G118" s="111" t="s">
        <v>82</v>
      </c>
      <c r="H118" s="236">
        <f>iferror(vlookup(B118,'TỒN'!A:C,3,false),0)</f>
        <v>2236</v>
      </c>
      <c r="I118" s="237">
        <f t="shared" si="80"/>
        <v>550000</v>
      </c>
      <c r="J118" s="237">
        <f>K118+10000</f>
        <v>540000</v>
      </c>
      <c r="K118" s="237">
        <f>M118+10000</f>
        <v>530000</v>
      </c>
      <c r="L118" s="237"/>
      <c r="M118" s="237">
        <f>N118+10000</f>
        <v>520000</v>
      </c>
      <c r="N118" s="237">
        <f>O118+50000</f>
        <v>510000</v>
      </c>
      <c r="O118" s="246">
        <v>460000.0</v>
      </c>
      <c r="P118" s="78"/>
      <c r="Q118" s="78"/>
      <c r="R118" s="78"/>
      <c r="S118" s="78"/>
      <c r="T118" s="78"/>
      <c r="U118" s="78"/>
      <c r="V118" s="78"/>
      <c r="W118" s="50"/>
      <c r="X118" s="50"/>
      <c r="Y118" s="50"/>
    </row>
    <row r="119">
      <c r="A119" s="109">
        <v>12.0</v>
      </c>
      <c r="B119" s="110"/>
      <c r="C119" s="111" t="s">
        <v>78</v>
      </c>
      <c r="D119" s="111" t="s">
        <v>79</v>
      </c>
      <c r="E119" s="111" t="s">
        <v>107</v>
      </c>
      <c r="F119" s="111" t="s">
        <v>100</v>
      </c>
      <c r="G119" s="111" t="s">
        <v>82</v>
      </c>
      <c r="H119" s="236"/>
      <c r="I119" s="237">
        <f t="shared" si="80"/>
        <v>1060000</v>
      </c>
      <c r="J119" s="237">
        <v>1050000.0</v>
      </c>
      <c r="K119" s="237">
        <v>1040000.0</v>
      </c>
      <c r="L119" s="237"/>
      <c r="M119" s="237">
        <v>1030000.0</v>
      </c>
      <c r="N119" s="237">
        <v>1020000.0</v>
      </c>
      <c r="O119" s="238"/>
      <c r="P119" s="177"/>
      <c r="Q119" s="177"/>
      <c r="R119" s="177"/>
      <c r="S119" s="177"/>
      <c r="T119" s="177"/>
      <c r="U119" s="177"/>
      <c r="V119" s="177"/>
      <c r="W119" s="63"/>
      <c r="X119" s="63"/>
      <c r="Y119" s="63"/>
    </row>
    <row r="120">
      <c r="A120" s="109">
        <v>13.0</v>
      </c>
      <c r="B120" s="110" t="s">
        <v>108</v>
      </c>
      <c r="C120" s="111" t="s">
        <v>78</v>
      </c>
      <c r="D120" s="111" t="s">
        <v>79</v>
      </c>
      <c r="E120" s="111" t="s">
        <v>109</v>
      </c>
      <c r="F120" s="111" t="s">
        <v>81</v>
      </c>
      <c r="G120" s="111" t="s">
        <v>82</v>
      </c>
      <c r="H120" s="236">
        <f>iferror(vlookup(B120,'TỒN'!A:C,3,false),0)</f>
        <v>326</v>
      </c>
      <c r="I120" s="237">
        <f t="shared" si="80"/>
        <v>400000</v>
      </c>
      <c r="J120" s="237">
        <f t="shared" ref="J120:J121" si="81">K120+10000</f>
        <v>390000</v>
      </c>
      <c r="K120" s="237">
        <f t="shared" ref="K120:K121" si="82">M120+10000</f>
        <v>380000</v>
      </c>
      <c r="L120" s="237"/>
      <c r="M120" s="237">
        <f t="shared" ref="M120:M121" si="83">N120+10000</f>
        <v>370000</v>
      </c>
      <c r="N120" s="237">
        <f>O120+25000</f>
        <v>360000</v>
      </c>
      <c r="O120" s="243">
        <v>335000.0</v>
      </c>
      <c r="P120" s="78"/>
      <c r="Q120" s="78"/>
      <c r="R120" s="78"/>
      <c r="S120" s="78"/>
      <c r="T120" s="78"/>
      <c r="U120" s="78"/>
      <c r="V120" s="78"/>
      <c r="W120" s="50"/>
      <c r="X120" s="50"/>
      <c r="Y120" s="50"/>
    </row>
    <row r="121">
      <c r="A121" s="109">
        <v>14.0</v>
      </c>
      <c r="B121" s="110" t="s">
        <v>110</v>
      </c>
      <c r="C121" s="111" t="s">
        <v>78</v>
      </c>
      <c r="D121" s="111" t="s">
        <v>79</v>
      </c>
      <c r="E121" s="111" t="s">
        <v>109</v>
      </c>
      <c r="F121" s="111" t="s">
        <v>111</v>
      </c>
      <c r="G121" s="111" t="s">
        <v>82</v>
      </c>
      <c r="H121" s="236">
        <f>iferror(vlookup(B121,'TỒN'!A:C,3,false),0)</f>
        <v>480</v>
      </c>
      <c r="I121" s="237">
        <f t="shared" si="80"/>
        <v>630000</v>
      </c>
      <c r="J121" s="237">
        <f t="shared" si="81"/>
        <v>620000</v>
      </c>
      <c r="K121" s="237">
        <f t="shared" si="82"/>
        <v>610000</v>
      </c>
      <c r="L121" s="237"/>
      <c r="M121" s="237">
        <f t="shared" si="83"/>
        <v>600000</v>
      </c>
      <c r="N121" s="237">
        <f>O121+20000</f>
        <v>590000</v>
      </c>
      <c r="O121" s="238">
        <v>570000.0</v>
      </c>
      <c r="P121" s="78"/>
      <c r="Q121" s="78"/>
      <c r="R121" s="78"/>
      <c r="S121" s="78"/>
      <c r="T121" s="78"/>
      <c r="U121" s="78"/>
      <c r="V121" s="78"/>
      <c r="W121" s="50"/>
      <c r="X121" s="50"/>
      <c r="Y121" s="50"/>
    </row>
    <row r="122">
      <c r="A122" s="247" t="s">
        <v>112</v>
      </c>
      <c r="B122" s="248"/>
      <c r="C122" s="248"/>
      <c r="D122" s="248"/>
      <c r="E122" s="248"/>
      <c r="F122" s="248"/>
      <c r="G122" s="248"/>
      <c r="H122" s="248"/>
      <c r="I122" s="248"/>
      <c r="J122" s="249"/>
      <c r="K122" s="250"/>
      <c r="L122" s="250"/>
      <c r="M122" s="250"/>
      <c r="N122" s="250"/>
      <c r="O122" s="250"/>
      <c r="P122" s="78"/>
      <c r="Q122" s="78"/>
      <c r="R122" s="78"/>
      <c r="S122" s="78"/>
      <c r="T122" s="78"/>
      <c r="U122" s="78"/>
      <c r="V122" s="78"/>
      <c r="W122" s="50"/>
      <c r="X122" s="50"/>
      <c r="Y122" s="50"/>
    </row>
    <row r="123">
      <c r="A123" s="109">
        <v>1.0</v>
      </c>
      <c r="B123" s="110" t="s">
        <v>164</v>
      </c>
      <c r="C123" s="111" t="s">
        <v>78</v>
      </c>
      <c r="D123" s="111" t="s">
        <v>165</v>
      </c>
      <c r="E123" s="111" t="s">
        <v>94</v>
      </c>
      <c r="F123" s="111" t="s">
        <v>84</v>
      </c>
      <c r="G123" s="111" t="s">
        <v>114</v>
      </c>
      <c r="H123" s="236">
        <f>iferror(vlookup(B123,'TỒN'!A:C,3,false),0)</f>
        <v>0</v>
      </c>
      <c r="I123" s="237">
        <v>2120000.0</v>
      </c>
      <c r="J123" s="237">
        <v>2020000.0</v>
      </c>
      <c r="K123" s="237">
        <v>1970000.0</v>
      </c>
      <c r="L123" s="237"/>
      <c r="M123" s="237"/>
      <c r="N123" s="237"/>
      <c r="O123" s="237"/>
      <c r="P123" s="78"/>
      <c r="Q123" s="78"/>
      <c r="R123" s="78"/>
      <c r="S123" s="78"/>
      <c r="T123" s="78"/>
      <c r="U123" s="78"/>
      <c r="V123" s="78"/>
      <c r="W123" s="50"/>
      <c r="X123" s="50"/>
      <c r="Y123" s="50"/>
    </row>
    <row r="124">
      <c r="A124" s="109">
        <v>2.0</v>
      </c>
      <c r="B124" s="110" t="s">
        <v>113</v>
      </c>
      <c r="C124" s="111" t="s">
        <v>78</v>
      </c>
      <c r="D124" s="111" t="s">
        <v>79</v>
      </c>
      <c r="E124" s="111" t="s">
        <v>80</v>
      </c>
      <c r="F124" s="111" t="s">
        <v>84</v>
      </c>
      <c r="G124" s="111" t="s">
        <v>114</v>
      </c>
      <c r="H124" s="236">
        <f>iferror(vlookup(B124,'TỒN'!A:C,3,false),0)</f>
        <v>360</v>
      </c>
      <c r="I124" s="237">
        <v>1900000.0</v>
      </c>
      <c r="J124" s="237">
        <v>1840000.0</v>
      </c>
      <c r="K124" s="237"/>
      <c r="L124" s="237"/>
      <c r="M124" s="237"/>
      <c r="N124" s="237"/>
      <c r="O124" s="237"/>
      <c r="P124" s="78"/>
      <c r="Q124" s="78"/>
      <c r="R124" s="78"/>
      <c r="S124" s="78"/>
      <c r="T124" s="78"/>
      <c r="U124" s="78"/>
      <c r="V124" s="78"/>
      <c r="W124" s="50"/>
      <c r="X124" s="50"/>
      <c r="Y124" s="50"/>
    </row>
    <row r="125">
      <c r="A125" s="109">
        <v>3.0</v>
      </c>
      <c r="B125" s="110" t="s">
        <v>123</v>
      </c>
      <c r="C125" s="111" t="s">
        <v>78</v>
      </c>
      <c r="D125" s="111" t="s">
        <v>117</v>
      </c>
      <c r="E125" s="111" t="s">
        <v>80</v>
      </c>
      <c r="F125" s="111" t="s">
        <v>84</v>
      </c>
      <c r="G125" s="111" t="s">
        <v>114</v>
      </c>
      <c r="H125" s="236">
        <f>iferror(vlookup(B125,'TỒN'!A:C,3,false),0)</f>
        <v>181</v>
      </c>
      <c r="I125" s="237">
        <v>1900000.0</v>
      </c>
      <c r="J125" s="237">
        <v>1840000.0</v>
      </c>
      <c r="K125" s="237"/>
      <c r="L125" s="237"/>
      <c r="M125" s="237"/>
      <c r="N125" s="237"/>
      <c r="O125" s="237"/>
      <c r="P125" s="78"/>
      <c r="Q125" s="78"/>
      <c r="R125" s="78"/>
      <c r="S125" s="78"/>
      <c r="T125" s="78"/>
      <c r="U125" s="78"/>
      <c r="V125" s="78"/>
      <c r="W125" s="50"/>
      <c r="X125" s="50"/>
      <c r="Y125" s="50"/>
    </row>
    <row r="126">
      <c r="A126" s="109">
        <v>4.0</v>
      </c>
      <c r="B126" s="110" t="s">
        <v>166</v>
      </c>
      <c r="C126" s="111" t="s">
        <v>78</v>
      </c>
      <c r="D126" s="111" t="s">
        <v>79</v>
      </c>
      <c r="E126" s="111" t="s">
        <v>97</v>
      </c>
      <c r="F126" s="111" t="s">
        <v>100</v>
      </c>
      <c r="G126" s="111" t="s">
        <v>114</v>
      </c>
      <c r="H126" s="236">
        <f>iferror(vlookup(B126,'TỒN'!A:C,3,false),0)</f>
        <v>0</v>
      </c>
      <c r="I126" s="237">
        <v>1750000.0</v>
      </c>
      <c r="J126" s="237"/>
      <c r="K126" s="237"/>
      <c r="L126" s="237"/>
      <c r="M126" s="237"/>
      <c r="N126" s="237"/>
      <c r="O126" s="237"/>
      <c r="P126" s="78"/>
      <c r="Q126" s="78"/>
      <c r="R126" s="78"/>
      <c r="S126" s="78"/>
      <c r="T126" s="78"/>
      <c r="U126" s="78"/>
      <c r="V126" s="78"/>
      <c r="W126" s="50"/>
      <c r="X126" s="50"/>
      <c r="Y126" s="50"/>
    </row>
    <row r="127">
      <c r="A127" s="251">
        <v>5.0</v>
      </c>
      <c r="B127" s="252" t="s">
        <v>116</v>
      </c>
      <c r="C127" s="252" t="s">
        <v>78</v>
      </c>
      <c r="D127" s="252" t="s">
        <v>117</v>
      </c>
      <c r="E127" s="252" t="s">
        <v>97</v>
      </c>
      <c r="F127" s="252" t="s">
        <v>100</v>
      </c>
      <c r="G127" s="252" t="s">
        <v>114</v>
      </c>
      <c r="H127" s="253">
        <f>iferror(vlookup(B127,'TỒN'!A:C,3,false),0)</f>
        <v>77</v>
      </c>
      <c r="I127" s="237">
        <v>1830000.0</v>
      </c>
      <c r="J127" s="237">
        <v>1810000.0</v>
      </c>
      <c r="K127" s="237">
        <v>1800000.0</v>
      </c>
      <c r="L127" s="237"/>
      <c r="M127" s="237">
        <v>1790000.0</v>
      </c>
      <c r="N127" s="237">
        <v>1790000.0</v>
      </c>
      <c r="O127" s="237"/>
      <c r="P127" s="252"/>
      <c r="Q127" s="252"/>
      <c r="R127" s="252"/>
      <c r="S127" s="252"/>
      <c r="T127" s="252"/>
      <c r="U127" s="252"/>
      <c r="V127" s="252"/>
      <c r="W127" s="50"/>
      <c r="X127" s="50"/>
      <c r="Y127" s="50"/>
    </row>
    <row r="128">
      <c r="A128" s="254">
        <v>6.0</v>
      </c>
      <c r="B128" s="252" t="s">
        <v>119</v>
      </c>
      <c r="C128" s="252" t="s">
        <v>78</v>
      </c>
      <c r="D128" s="252" t="s">
        <v>117</v>
      </c>
      <c r="E128" s="252" t="s">
        <v>107</v>
      </c>
      <c r="F128" s="252" t="s">
        <v>100</v>
      </c>
      <c r="G128" s="252" t="s">
        <v>114</v>
      </c>
      <c r="H128" s="253">
        <f>iferror(vlookup(B128,'TỒN'!A:C,3,false),0)</f>
        <v>121</v>
      </c>
      <c r="I128" s="237">
        <v>2050000.0</v>
      </c>
      <c r="J128" s="237">
        <v>2030000.0</v>
      </c>
      <c r="K128" s="237">
        <v>2020000.0</v>
      </c>
      <c r="L128" s="237"/>
      <c r="M128" s="237">
        <v>2010000.0</v>
      </c>
      <c r="N128" s="237">
        <v>2010000.0</v>
      </c>
      <c r="O128" s="237"/>
      <c r="P128" s="252"/>
      <c r="Q128" s="252"/>
      <c r="R128" s="252"/>
      <c r="S128" s="252"/>
      <c r="T128" s="252"/>
      <c r="U128" s="252"/>
      <c r="V128" s="252"/>
      <c r="W128" s="50"/>
      <c r="X128" s="50"/>
      <c r="Y128" s="50"/>
    </row>
    <row r="129">
      <c r="A129" s="247" t="s">
        <v>124</v>
      </c>
      <c r="B129" s="248"/>
      <c r="C129" s="248"/>
      <c r="D129" s="248"/>
      <c r="E129" s="248"/>
      <c r="F129" s="248"/>
      <c r="G129" s="249"/>
      <c r="H129" s="250"/>
      <c r="I129" s="228" t="s">
        <v>167</v>
      </c>
      <c r="J129" s="228" t="s">
        <v>125</v>
      </c>
      <c r="K129" s="228" t="s">
        <v>126</v>
      </c>
      <c r="L129" s="228"/>
      <c r="M129" s="228" t="s">
        <v>168</v>
      </c>
      <c r="N129" s="255" t="s">
        <v>169</v>
      </c>
      <c r="O129" s="255"/>
      <c r="P129" s="78"/>
      <c r="Q129" s="78"/>
      <c r="R129" s="78"/>
      <c r="S129" s="78"/>
      <c r="T129" s="78"/>
      <c r="U129" s="78"/>
      <c r="V129" s="78"/>
      <c r="W129" s="50"/>
      <c r="X129" s="50"/>
      <c r="Y129" s="50"/>
    </row>
    <row r="130">
      <c r="A130" s="256">
        <v>1.0</v>
      </c>
      <c r="B130" s="257" t="s">
        <v>127</v>
      </c>
      <c r="C130" s="258" t="s">
        <v>78</v>
      </c>
      <c r="D130" s="258" t="s">
        <v>128</v>
      </c>
      <c r="E130" s="258" t="s">
        <v>94</v>
      </c>
      <c r="F130" s="258" t="s">
        <v>84</v>
      </c>
      <c r="G130" s="258" t="s">
        <v>129</v>
      </c>
      <c r="H130" s="236">
        <f>iferror(vlookup(B130,'TỒN'!A:C,3,false),0)</f>
        <v>1369</v>
      </c>
      <c r="I130" s="237">
        <v>2300000.0</v>
      </c>
      <c r="J130" s="237">
        <v>2250000.0</v>
      </c>
      <c r="K130" s="237">
        <v>2240000.0</v>
      </c>
      <c r="L130" s="237"/>
      <c r="M130" s="237">
        <v>2230000.0</v>
      </c>
      <c r="N130" s="237">
        <v>2200000.0</v>
      </c>
      <c r="O130" s="237"/>
      <c r="P130" s="78"/>
      <c r="Q130" s="78"/>
      <c r="R130" s="78"/>
      <c r="S130" s="78"/>
      <c r="T130" s="78"/>
      <c r="U130" s="78"/>
      <c r="V130" s="78"/>
      <c r="W130" s="50"/>
      <c r="X130" s="50"/>
      <c r="Y130" s="50"/>
    </row>
    <row r="131">
      <c r="A131" s="256">
        <v>2.0</v>
      </c>
      <c r="B131" s="257" t="s">
        <v>170</v>
      </c>
      <c r="C131" s="258" t="s">
        <v>78</v>
      </c>
      <c r="D131" s="258" t="s">
        <v>128</v>
      </c>
      <c r="E131" s="258" t="s">
        <v>97</v>
      </c>
      <c r="F131" s="258" t="s">
        <v>100</v>
      </c>
      <c r="G131" s="258" t="s">
        <v>129</v>
      </c>
      <c r="H131" s="236">
        <f>iferror(vlookup(B131,'TỒN'!A:C,3,false),0)</f>
        <v>2</v>
      </c>
      <c r="I131" s="237">
        <f>J131+50000</f>
        <v>2850000</v>
      </c>
      <c r="J131" s="237">
        <f>K131+40000</f>
        <v>2800000</v>
      </c>
      <c r="K131" s="237">
        <f>M131+30000</f>
        <v>2760000</v>
      </c>
      <c r="L131" s="237"/>
      <c r="M131" s="237">
        <f>N131+30000</f>
        <v>2730000</v>
      </c>
      <c r="N131" s="237">
        <v>2700000.0</v>
      </c>
      <c r="O131" s="237"/>
      <c r="P131" s="78"/>
      <c r="Q131" s="78"/>
      <c r="R131" s="78"/>
      <c r="S131" s="78"/>
      <c r="T131" s="78"/>
      <c r="U131" s="78"/>
      <c r="V131" s="78"/>
      <c r="W131" s="50"/>
      <c r="X131" s="50"/>
      <c r="Y131" s="50"/>
    </row>
    <row r="132">
      <c r="A132" s="256">
        <v>3.0</v>
      </c>
      <c r="B132" s="257" t="s">
        <v>130</v>
      </c>
      <c r="C132" s="258" t="s">
        <v>78</v>
      </c>
      <c r="D132" s="258" t="s">
        <v>128</v>
      </c>
      <c r="E132" s="258" t="s">
        <v>97</v>
      </c>
      <c r="F132" s="258" t="s">
        <v>100</v>
      </c>
      <c r="G132" s="258" t="s">
        <v>131</v>
      </c>
      <c r="H132" s="236">
        <f>iferror(vlookup(B132,'TỒN'!A:C,3,false),0)</f>
        <v>519</v>
      </c>
      <c r="I132" s="237">
        <v>2750000.0</v>
      </c>
      <c r="J132" s="237">
        <v>2690000.0</v>
      </c>
      <c r="K132" s="237">
        <v>2660000.0</v>
      </c>
      <c r="L132" s="237"/>
      <c r="M132" s="237">
        <v>2630000.0</v>
      </c>
      <c r="N132" s="237">
        <v>2400000.0</v>
      </c>
      <c r="O132" s="237"/>
      <c r="P132" s="78"/>
      <c r="Q132" s="78"/>
      <c r="R132" s="78"/>
      <c r="S132" s="78"/>
      <c r="T132" s="78"/>
      <c r="U132" s="78"/>
      <c r="V132" s="78"/>
      <c r="W132" s="50"/>
      <c r="X132" s="50"/>
      <c r="Y132" s="50"/>
    </row>
    <row r="133">
      <c r="A133" s="256">
        <v>4.0</v>
      </c>
      <c r="B133" s="257" t="s">
        <v>171</v>
      </c>
      <c r="C133" s="258" t="s">
        <v>78</v>
      </c>
      <c r="D133" s="258" t="s">
        <v>128</v>
      </c>
      <c r="E133" s="258" t="s">
        <v>102</v>
      </c>
      <c r="F133" s="258" t="s">
        <v>172</v>
      </c>
      <c r="G133" s="258" t="s">
        <v>131</v>
      </c>
      <c r="H133" s="236">
        <f>iferror(vlookup(B133,'TỒN'!A:C,3,false),0)</f>
        <v>87</v>
      </c>
      <c r="I133" s="237"/>
      <c r="J133" s="237"/>
      <c r="K133" s="237"/>
      <c r="L133" s="237"/>
      <c r="M133" s="237"/>
      <c r="N133" s="237"/>
      <c r="O133" s="237"/>
      <c r="P133" s="78"/>
      <c r="Q133" s="78"/>
      <c r="R133" s="78"/>
      <c r="S133" s="78"/>
      <c r="T133" s="78"/>
      <c r="U133" s="78"/>
      <c r="V133" s="78"/>
      <c r="W133" s="50"/>
      <c r="X133" s="50"/>
      <c r="Y133" s="50"/>
    </row>
    <row r="134">
      <c r="A134" s="256">
        <v>5.0</v>
      </c>
      <c r="B134" s="257" t="s">
        <v>173</v>
      </c>
      <c r="C134" s="258" t="s">
        <v>78</v>
      </c>
      <c r="D134" s="258" t="s">
        <v>128</v>
      </c>
      <c r="E134" s="258" t="s">
        <v>107</v>
      </c>
      <c r="F134" s="258" t="s">
        <v>100</v>
      </c>
      <c r="G134" s="258" t="s">
        <v>131</v>
      </c>
      <c r="H134" s="236">
        <f>iferror(vlookup(B134,'TỒN'!A:C,3,false),0)</f>
        <v>62</v>
      </c>
      <c r="I134" s="237"/>
      <c r="J134" s="237"/>
      <c r="K134" s="237"/>
      <c r="L134" s="237"/>
      <c r="M134" s="237"/>
      <c r="N134" s="237"/>
      <c r="O134" s="237"/>
      <c r="P134" s="78"/>
      <c r="Q134" s="78"/>
      <c r="R134" s="78"/>
      <c r="S134" s="78"/>
      <c r="T134" s="78"/>
      <c r="U134" s="78"/>
      <c r="V134" s="78"/>
      <c r="W134" s="50"/>
      <c r="X134" s="50"/>
      <c r="Y134" s="50"/>
    </row>
    <row r="135">
      <c r="A135" s="247" t="s">
        <v>132</v>
      </c>
      <c r="B135" s="248"/>
      <c r="C135" s="248"/>
      <c r="D135" s="248"/>
      <c r="E135" s="248"/>
      <c r="F135" s="248"/>
      <c r="G135" s="249"/>
      <c r="H135" s="259"/>
      <c r="I135" s="260" t="s">
        <v>174</v>
      </c>
      <c r="J135" s="248"/>
      <c r="K135" s="248"/>
      <c r="L135" s="248"/>
      <c r="M135" s="248"/>
      <c r="N135" s="249"/>
      <c r="O135" s="49"/>
      <c r="P135" s="78"/>
      <c r="Q135" s="78"/>
      <c r="R135" s="78"/>
      <c r="S135" s="78"/>
      <c r="T135" s="78"/>
      <c r="U135" s="78"/>
      <c r="V135" s="78"/>
      <c r="W135" s="50"/>
      <c r="X135" s="50"/>
      <c r="Y135" s="50"/>
    </row>
    <row r="136">
      <c r="A136" s="256" t="s">
        <v>133</v>
      </c>
      <c r="B136" s="257" t="s">
        <v>134</v>
      </c>
      <c r="C136" s="258" t="s">
        <v>78</v>
      </c>
      <c r="D136" s="258" t="s">
        <v>79</v>
      </c>
      <c r="E136" s="258" t="s">
        <v>94</v>
      </c>
      <c r="F136" s="258" t="s">
        <v>84</v>
      </c>
      <c r="G136" s="258" t="s">
        <v>135</v>
      </c>
      <c r="H136" s="236">
        <f>iferror(vlookup(B136,'TỒN'!A:C,3,false),0)</f>
        <v>2</v>
      </c>
      <c r="I136" s="237">
        <v>2020000.0</v>
      </c>
      <c r="J136" s="261"/>
      <c r="K136" s="258"/>
      <c r="L136" s="258"/>
      <c r="M136" s="258"/>
      <c r="N136" s="258"/>
      <c r="O136" s="258"/>
      <c r="P136" s="78"/>
      <c r="Q136" s="78"/>
      <c r="R136" s="78"/>
      <c r="S136" s="78"/>
      <c r="T136" s="78"/>
      <c r="U136" s="78"/>
      <c r="V136" s="78"/>
      <c r="W136" s="50"/>
      <c r="X136" s="50"/>
      <c r="Y136" s="50"/>
    </row>
    <row r="137">
      <c r="A137" s="256" t="s">
        <v>133</v>
      </c>
      <c r="B137" s="257" t="s">
        <v>136</v>
      </c>
      <c r="C137" s="258" t="s">
        <v>78</v>
      </c>
      <c r="D137" s="258" t="s">
        <v>137</v>
      </c>
      <c r="E137" s="258" t="s">
        <v>97</v>
      </c>
      <c r="F137" s="258" t="s">
        <v>100</v>
      </c>
      <c r="G137" s="258" t="s">
        <v>82</v>
      </c>
      <c r="H137" s="236">
        <f>iferror(vlookup(B137,'TỒN'!A:C,3,false),0)</f>
        <v>0</v>
      </c>
      <c r="I137" s="262">
        <v>1820000.0</v>
      </c>
      <c r="J137" s="261"/>
      <c r="K137" s="258"/>
      <c r="L137" s="258"/>
      <c r="M137" s="258"/>
      <c r="N137" s="258"/>
      <c r="O137" s="258"/>
      <c r="P137" s="78"/>
      <c r="Q137" s="78"/>
      <c r="R137" s="78"/>
      <c r="S137" s="78"/>
      <c r="T137" s="78"/>
      <c r="U137" s="78"/>
      <c r="V137" s="78"/>
      <c r="W137" s="50"/>
      <c r="X137" s="50"/>
      <c r="Y137" s="50"/>
    </row>
    <row r="138">
      <c r="A138" s="256" t="s">
        <v>133</v>
      </c>
      <c r="B138" s="257" t="s">
        <v>175</v>
      </c>
      <c r="C138" s="258" t="s">
        <v>78</v>
      </c>
      <c r="D138" s="258" t="s">
        <v>176</v>
      </c>
      <c r="E138" s="258" t="s">
        <v>80</v>
      </c>
      <c r="F138" s="258" t="s">
        <v>177</v>
      </c>
      <c r="G138" s="258" t="s">
        <v>114</v>
      </c>
      <c r="H138" s="236">
        <f>iferror(vlookup(B138,'TỒN'!A:C,3,false),0)</f>
        <v>0</v>
      </c>
      <c r="I138" s="262">
        <v>2270000.0</v>
      </c>
      <c r="J138" s="261"/>
      <c r="K138" s="258"/>
      <c r="L138" s="258"/>
      <c r="M138" s="258"/>
      <c r="N138" s="258"/>
      <c r="O138" s="258"/>
      <c r="P138" s="78"/>
      <c r="Q138" s="78"/>
      <c r="R138" s="78"/>
      <c r="S138" s="78"/>
      <c r="T138" s="78"/>
      <c r="U138" s="78"/>
      <c r="V138" s="78"/>
      <c r="W138" s="50"/>
      <c r="X138" s="50"/>
      <c r="Y138" s="50"/>
    </row>
    <row r="139">
      <c r="A139" s="256" t="s">
        <v>133</v>
      </c>
      <c r="B139" s="257" t="s">
        <v>178</v>
      </c>
      <c r="C139" s="258" t="s">
        <v>78</v>
      </c>
      <c r="D139" s="258" t="s">
        <v>79</v>
      </c>
      <c r="E139" s="258" t="s">
        <v>107</v>
      </c>
      <c r="F139" s="258" t="s">
        <v>100</v>
      </c>
      <c r="G139" s="258" t="s">
        <v>135</v>
      </c>
      <c r="H139" s="236">
        <f>iferror(vlookup(B139,'TỒN'!A:C,3,false),0)</f>
        <v>0</v>
      </c>
      <c r="I139" s="262">
        <v>1520000.0</v>
      </c>
      <c r="J139" s="261"/>
      <c r="K139" s="258"/>
      <c r="L139" s="258"/>
      <c r="M139" s="263"/>
      <c r="N139" s="263"/>
      <c r="O139" s="263"/>
      <c r="P139" s="78"/>
      <c r="Q139" s="78"/>
      <c r="R139" s="78"/>
      <c r="S139" s="78"/>
      <c r="T139" s="78"/>
      <c r="U139" s="78"/>
      <c r="V139" s="78"/>
      <c r="W139" s="50"/>
      <c r="X139" s="50"/>
      <c r="Y139" s="50"/>
    </row>
    <row r="140">
      <c r="A140" s="178"/>
      <c r="B140" s="179"/>
      <c r="C140" s="179"/>
      <c r="D140" s="179"/>
      <c r="E140" s="179"/>
      <c r="F140" s="179"/>
      <c r="G140" s="179"/>
      <c r="H140" s="179"/>
      <c r="I140" s="264" t="s">
        <v>138</v>
      </c>
      <c r="J140" s="182">
        <f>SUM(J136:J139)</f>
        <v>0</v>
      </c>
      <c r="K140" s="179"/>
      <c r="L140" s="179"/>
      <c r="M140" s="179"/>
      <c r="N140" s="179"/>
      <c r="O140" s="179"/>
      <c r="P140" s="78"/>
      <c r="Q140" s="78"/>
      <c r="R140" s="78"/>
      <c r="S140" s="78"/>
      <c r="T140" s="78"/>
      <c r="U140" s="78"/>
      <c r="V140" s="78"/>
      <c r="W140" s="50"/>
      <c r="X140" s="50"/>
      <c r="Y140" s="50"/>
    </row>
    <row r="141">
      <c r="A141" s="192" t="s">
        <v>139</v>
      </c>
      <c r="C141" s="193"/>
      <c r="D141" s="194" t="s">
        <v>140</v>
      </c>
      <c r="E141" s="193"/>
      <c r="F141" s="193"/>
      <c r="G141" s="193"/>
      <c r="H141" s="193"/>
      <c r="I141" s="193"/>
      <c r="J141" s="193"/>
      <c r="K141" s="193"/>
      <c r="L141" s="193"/>
      <c r="M141" s="193"/>
      <c r="N141" s="193"/>
      <c r="O141" s="193"/>
      <c r="P141" s="78"/>
      <c r="Q141" s="78"/>
      <c r="R141" s="78"/>
      <c r="S141" s="78"/>
      <c r="T141" s="78"/>
      <c r="U141" s="78"/>
      <c r="V141" s="78"/>
      <c r="W141" s="50"/>
      <c r="X141" s="50"/>
      <c r="Y141" s="50"/>
    </row>
    <row r="142">
      <c r="A142" s="193"/>
      <c r="B142" s="193"/>
      <c r="C142" s="193"/>
      <c r="D142" s="195" t="s">
        <v>174</v>
      </c>
      <c r="F142" s="193"/>
      <c r="G142" s="193"/>
      <c r="H142" s="193"/>
      <c r="I142" s="193"/>
      <c r="J142" s="193"/>
      <c r="K142" s="193"/>
      <c r="L142" s="193"/>
      <c r="M142" s="193"/>
      <c r="N142" s="193"/>
      <c r="O142" s="193"/>
      <c r="P142" s="78"/>
      <c r="Q142" s="78"/>
      <c r="R142" s="78"/>
      <c r="S142" s="78"/>
      <c r="T142" s="78"/>
      <c r="U142" s="78"/>
      <c r="V142" s="78"/>
      <c r="W142" s="50"/>
      <c r="X142" s="50"/>
      <c r="Y142" s="50"/>
    </row>
    <row r="143">
      <c r="A143" s="193"/>
      <c r="B143" s="193"/>
      <c r="C143" s="193"/>
      <c r="D143" s="195" t="s">
        <v>141</v>
      </c>
      <c r="K143" s="193"/>
      <c r="L143" s="193"/>
      <c r="M143" s="193"/>
      <c r="N143" s="193"/>
      <c r="O143" s="193"/>
      <c r="P143" s="78"/>
      <c r="Q143" s="78"/>
      <c r="R143" s="78"/>
      <c r="S143" s="78"/>
      <c r="T143" s="78"/>
      <c r="U143" s="78"/>
      <c r="V143" s="78"/>
      <c r="W143" s="50"/>
      <c r="X143" s="50"/>
      <c r="Y143" s="50"/>
    </row>
    <row r="144">
      <c r="A144" s="193"/>
      <c r="B144" s="193"/>
      <c r="C144" s="193"/>
      <c r="D144" s="196" t="s">
        <v>142</v>
      </c>
      <c r="N144" s="52"/>
      <c r="O144" s="52"/>
      <c r="P144" s="78"/>
      <c r="Q144" s="78"/>
      <c r="R144" s="78"/>
      <c r="S144" s="78"/>
      <c r="T144" s="78"/>
      <c r="U144" s="78"/>
      <c r="V144" s="78"/>
      <c r="W144" s="50"/>
      <c r="X144" s="50"/>
      <c r="Y144" s="50"/>
    </row>
    <row r="145">
      <c r="A145" s="51"/>
      <c r="B145" s="51"/>
      <c r="C145" s="51"/>
      <c r="D145" s="52" t="s">
        <v>143</v>
      </c>
      <c r="H145" s="51"/>
      <c r="I145" s="51"/>
      <c r="J145" s="51"/>
      <c r="K145" s="51"/>
      <c r="L145" s="51"/>
      <c r="M145" s="51"/>
      <c r="N145" s="51"/>
      <c r="O145" s="51"/>
      <c r="P145" s="78"/>
      <c r="Q145" s="78"/>
      <c r="R145" s="78"/>
      <c r="S145" s="78"/>
      <c r="T145" s="78"/>
      <c r="U145" s="78"/>
      <c r="V145" s="78"/>
      <c r="W145" s="50"/>
      <c r="X145" s="50"/>
      <c r="Y145" s="50"/>
    </row>
    <row r="146">
      <c r="A146" s="51"/>
      <c r="B146" s="51"/>
      <c r="C146" s="51"/>
      <c r="D146" s="52"/>
      <c r="G146" s="51"/>
      <c r="H146" s="51"/>
      <c r="I146" s="51"/>
      <c r="J146" s="51"/>
      <c r="K146" s="51"/>
      <c r="L146" s="51"/>
      <c r="M146" s="51"/>
      <c r="N146" s="51"/>
      <c r="O146" s="51"/>
      <c r="P146" s="78"/>
      <c r="Q146" s="78"/>
      <c r="R146" s="78"/>
      <c r="S146" s="78"/>
      <c r="T146" s="78"/>
      <c r="U146" s="78"/>
      <c r="V146" s="78"/>
      <c r="W146" s="50"/>
      <c r="X146" s="50"/>
      <c r="Y146" s="50"/>
    </row>
    <row r="147">
      <c r="A147" s="48"/>
      <c r="B147" s="48"/>
      <c r="C147" s="48"/>
      <c r="D147" s="48"/>
      <c r="E147" s="48"/>
      <c r="F147" s="48"/>
      <c r="G147" s="48"/>
      <c r="H147" s="48"/>
      <c r="I147" s="48"/>
      <c r="J147" s="48"/>
      <c r="K147" s="48"/>
      <c r="L147" s="48"/>
      <c r="M147" s="48"/>
      <c r="N147" s="48"/>
      <c r="O147" s="48"/>
      <c r="P147" s="78"/>
      <c r="Q147" s="78"/>
      <c r="R147" s="78"/>
      <c r="S147" s="78"/>
      <c r="T147" s="78"/>
      <c r="U147" s="78"/>
      <c r="V147" s="78"/>
      <c r="W147" s="50"/>
      <c r="X147" s="50"/>
      <c r="Y147" s="50"/>
    </row>
    <row r="148">
      <c r="A148" s="48"/>
      <c r="B148" s="48"/>
      <c r="C148" s="48"/>
      <c r="D148" s="48"/>
      <c r="E148" s="48"/>
      <c r="F148" s="48"/>
      <c r="G148" s="48"/>
      <c r="H148" s="48"/>
      <c r="I148" s="48"/>
      <c r="J148" s="48"/>
      <c r="K148" s="48"/>
      <c r="L148" s="48"/>
      <c r="M148" s="48"/>
      <c r="N148" s="48"/>
      <c r="O148" s="48"/>
      <c r="P148" s="78"/>
      <c r="Q148" s="78"/>
      <c r="R148" s="78"/>
      <c r="S148" s="78"/>
      <c r="T148" s="78"/>
      <c r="U148" s="78"/>
      <c r="V148" s="78"/>
      <c r="W148" s="50"/>
      <c r="X148" s="50"/>
      <c r="Y148" s="50"/>
    </row>
    <row r="149">
      <c r="A149" s="48"/>
      <c r="B149" s="48"/>
      <c r="C149" s="48"/>
      <c r="D149" s="48"/>
      <c r="E149" s="48"/>
      <c r="F149" s="48"/>
      <c r="G149" s="48"/>
      <c r="H149" s="48"/>
      <c r="I149" s="48"/>
      <c r="J149" s="48"/>
      <c r="K149" s="48"/>
      <c r="L149" s="48"/>
      <c r="M149" s="48"/>
      <c r="N149" s="48"/>
      <c r="O149" s="48"/>
      <c r="P149" s="78"/>
      <c r="Q149" s="78"/>
      <c r="R149" s="78"/>
      <c r="S149" s="78"/>
      <c r="T149" s="78"/>
      <c r="U149" s="78"/>
      <c r="V149" s="78"/>
      <c r="W149" s="50"/>
      <c r="X149" s="50"/>
      <c r="Y149" s="50"/>
    </row>
    <row r="150">
      <c r="A150" s="48"/>
      <c r="B150" s="48"/>
      <c r="C150" s="48"/>
      <c r="D150" s="48"/>
      <c r="E150" s="48"/>
      <c r="F150" s="48"/>
      <c r="G150" s="48"/>
      <c r="H150" s="48"/>
      <c r="I150" s="48"/>
      <c r="J150" s="48"/>
      <c r="K150" s="48"/>
      <c r="L150" s="48"/>
      <c r="M150" s="48"/>
      <c r="N150" s="48"/>
      <c r="O150" s="48"/>
      <c r="P150" s="78"/>
      <c r="Q150" s="78"/>
      <c r="R150" s="78"/>
      <c r="S150" s="78"/>
      <c r="T150" s="78"/>
      <c r="U150" s="78"/>
      <c r="V150" s="78"/>
      <c r="W150" s="50"/>
      <c r="X150" s="50"/>
      <c r="Y150" s="50"/>
    </row>
    <row r="151">
      <c r="A151" s="48"/>
      <c r="B151" s="48"/>
      <c r="C151" s="48"/>
      <c r="D151" s="48"/>
      <c r="E151" s="48"/>
      <c r="F151" s="48"/>
      <c r="G151" s="48"/>
      <c r="H151" s="48"/>
      <c r="I151" s="48"/>
      <c r="J151" s="48"/>
      <c r="K151" s="48"/>
      <c r="L151" s="48"/>
      <c r="M151" s="48"/>
      <c r="N151" s="48"/>
      <c r="O151" s="48"/>
      <c r="P151" s="78"/>
      <c r="Q151" s="78"/>
      <c r="R151" s="78"/>
      <c r="S151" s="78"/>
      <c r="T151" s="78"/>
      <c r="U151" s="78"/>
      <c r="V151" s="78"/>
      <c r="W151" s="50"/>
      <c r="X151" s="50"/>
      <c r="Y151" s="50"/>
    </row>
    <row r="152">
      <c r="A152" s="48" t="s">
        <v>179</v>
      </c>
      <c r="O152" s="49"/>
      <c r="P152" s="78"/>
      <c r="Q152" s="78"/>
      <c r="R152" s="78"/>
      <c r="S152" s="78"/>
      <c r="T152" s="78"/>
      <c r="U152" s="78"/>
      <c r="V152" s="78"/>
      <c r="W152" s="50"/>
      <c r="X152" s="50"/>
      <c r="Y152" s="50"/>
    </row>
    <row r="153">
      <c r="A153" s="220"/>
      <c r="B153" s="221" t="s">
        <v>66</v>
      </c>
      <c r="C153" s="55"/>
      <c r="D153" s="55"/>
      <c r="E153" s="55"/>
      <c r="F153" s="55"/>
      <c r="G153" s="56"/>
      <c r="H153" s="222" t="s">
        <v>151</v>
      </c>
      <c r="I153" s="222" t="s">
        <v>152</v>
      </c>
      <c r="J153" s="223" t="s">
        <v>153</v>
      </c>
      <c r="K153" s="224" t="s">
        <v>154</v>
      </c>
      <c r="L153" s="224"/>
      <c r="M153" s="224" t="s">
        <v>180</v>
      </c>
      <c r="N153" s="224" t="s">
        <v>156</v>
      </c>
      <c r="O153" s="224"/>
      <c r="P153" s="62"/>
      <c r="Q153" s="62"/>
      <c r="R153" s="62"/>
      <c r="S153" s="62"/>
      <c r="T153" s="62"/>
      <c r="U153" s="62"/>
      <c r="V153" s="62"/>
      <c r="W153" s="63"/>
      <c r="X153" s="63"/>
      <c r="Y153" s="63"/>
    </row>
    <row r="154">
      <c r="A154" s="247" t="s">
        <v>72</v>
      </c>
      <c r="B154" s="248"/>
      <c r="C154" s="248"/>
      <c r="D154" s="248"/>
      <c r="E154" s="248"/>
      <c r="F154" s="248"/>
      <c r="G154" s="248"/>
      <c r="H154" s="248"/>
      <c r="I154" s="248"/>
      <c r="J154" s="249"/>
      <c r="K154" s="250"/>
      <c r="L154" s="250"/>
      <c r="M154" s="250"/>
      <c r="N154" s="250"/>
      <c r="O154" s="250"/>
      <c r="P154" s="78"/>
      <c r="Q154" s="78"/>
      <c r="R154" s="78"/>
      <c r="S154" s="78"/>
      <c r="T154" s="78"/>
      <c r="U154" s="78"/>
      <c r="V154" s="78"/>
      <c r="W154" s="50"/>
      <c r="X154" s="50"/>
      <c r="Y154" s="50"/>
    </row>
    <row r="155">
      <c r="A155" s="109">
        <v>1.0</v>
      </c>
      <c r="B155" s="235" t="s">
        <v>77</v>
      </c>
      <c r="C155" s="111" t="s">
        <v>78</v>
      </c>
      <c r="D155" s="111" t="s">
        <v>79</v>
      </c>
      <c r="E155" s="111" t="s">
        <v>80</v>
      </c>
      <c r="F155" s="111" t="s">
        <v>81</v>
      </c>
      <c r="G155" s="111" t="s">
        <v>82</v>
      </c>
      <c r="H155" s="236">
        <f>iferror(vlookup(B155,'TỒN'!A:C,3,false),0)</f>
        <v>2016</v>
      </c>
      <c r="I155" s="265">
        <v>540000.0</v>
      </c>
      <c r="J155" s="237">
        <v>490000.0</v>
      </c>
      <c r="K155" s="237">
        <v>480000.0</v>
      </c>
      <c r="L155" s="237"/>
      <c r="M155" s="265">
        <v>470000.0</v>
      </c>
      <c r="N155" s="265">
        <v>450000.0</v>
      </c>
      <c r="O155" s="265"/>
      <c r="P155" s="266"/>
      <c r="Q155" s="266"/>
      <c r="R155" s="266"/>
      <c r="S155" s="266"/>
      <c r="T155" s="266"/>
      <c r="U155" s="266"/>
      <c r="V155" s="266"/>
      <c r="W155" s="63"/>
      <c r="X155" s="63"/>
      <c r="Y155" s="63"/>
    </row>
    <row r="156">
      <c r="A156" s="109">
        <v>2.0</v>
      </c>
      <c r="B156" s="110" t="s">
        <v>85</v>
      </c>
      <c r="C156" s="111" t="s">
        <v>78</v>
      </c>
      <c r="D156" s="111" t="s">
        <v>79</v>
      </c>
      <c r="E156" s="111" t="s">
        <v>86</v>
      </c>
      <c r="F156" s="111" t="s">
        <v>81</v>
      </c>
      <c r="G156" s="111" t="s">
        <v>82</v>
      </c>
      <c r="H156" s="236">
        <f>iferror(vlookup(B156,'TỒN'!A:C,3,false),0)</f>
        <v>1028</v>
      </c>
      <c r="I156" s="237">
        <f t="shared" ref="I156:J156" si="84">J156+15000</f>
        <v>420000</v>
      </c>
      <c r="J156" s="237">
        <f t="shared" si="84"/>
        <v>405000</v>
      </c>
      <c r="K156" s="237">
        <f t="shared" ref="K156:K158" si="85">M156+10000</f>
        <v>390000</v>
      </c>
      <c r="L156" s="237"/>
      <c r="M156" s="237">
        <f t="shared" ref="M156:M158" si="86">N156+10000</f>
        <v>380000</v>
      </c>
      <c r="N156" s="239">
        <v>370000.0</v>
      </c>
      <c r="O156" s="239"/>
      <c r="P156" s="267" t="s">
        <v>181</v>
      </c>
      <c r="Q156" s="267"/>
      <c r="R156" s="267"/>
      <c r="S156" s="267"/>
      <c r="T156" s="267"/>
      <c r="U156" s="267"/>
      <c r="V156" s="267"/>
      <c r="W156" s="63"/>
      <c r="X156" s="63"/>
      <c r="Y156" s="63"/>
    </row>
    <row r="157">
      <c r="A157" s="109">
        <v>3.0</v>
      </c>
      <c r="B157" s="110" t="s">
        <v>87</v>
      </c>
      <c r="C157" s="111" t="s">
        <v>78</v>
      </c>
      <c r="D157" s="111" t="s">
        <v>79</v>
      </c>
      <c r="E157" s="111" t="s">
        <v>86</v>
      </c>
      <c r="F157" s="111" t="s">
        <v>88</v>
      </c>
      <c r="G157" s="111" t="s">
        <v>82</v>
      </c>
      <c r="H157" s="236">
        <f>iferror(vlookup(B157,'TỒN'!A:C,3,false),0)</f>
        <v>20</v>
      </c>
      <c r="I157" s="237">
        <f>J157+30000</f>
        <v>770000</v>
      </c>
      <c r="J157" s="237">
        <f>K157+20000</f>
        <v>740000</v>
      </c>
      <c r="K157" s="237">
        <f t="shared" si="85"/>
        <v>720000</v>
      </c>
      <c r="L157" s="237"/>
      <c r="M157" s="237">
        <f t="shared" si="86"/>
        <v>710000</v>
      </c>
      <c r="N157" s="237">
        <v>700000.0</v>
      </c>
      <c r="O157" s="237"/>
      <c r="P157" s="267" t="s">
        <v>181</v>
      </c>
      <c r="Q157" s="267"/>
      <c r="R157" s="267"/>
      <c r="S157" s="267"/>
      <c r="T157" s="267"/>
      <c r="U157" s="267"/>
      <c r="V157" s="267"/>
      <c r="W157" s="63"/>
      <c r="X157" s="63"/>
      <c r="Y157" s="63"/>
    </row>
    <row r="158">
      <c r="A158" s="109">
        <v>4.0</v>
      </c>
      <c r="B158" s="110" t="s">
        <v>91</v>
      </c>
      <c r="C158" s="111" t="s">
        <v>78</v>
      </c>
      <c r="D158" s="111" t="s">
        <v>79</v>
      </c>
      <c r="E158" s="111" t="s">
        <v>86</v>
      </c>
      <c r="F158" s="111" t="s">
        <v>92</v>
      </c>
      <c r="G158" s="111" t="s">
        <v>82</v>
      </c>
      <c r="H158" s="236">
        <f>iferror(vlookup(B158,'TỒN'!A:C,3,false),0)</f>
        <v>2</v>
      </c>
      <c r="I158" s="237">
        <f t="shared" ref="I158:J158" si="87">J158+20000</f>
        <v>1040000</v>
      </c>
      <c r="J158" s="237">
        <f t="shared" si="87"/>
        <v>1020000</v>
      </c>
      <c r="K158" s="237">
        <f t="shared" si="85"/>
        <v>1000000</v>
      </c>
      <c r="L158" s="237"/>
      <c r="M158" s="237">
        <f t="shared" si="86"/>
        <v>990000</v>
      </c>
      <c r="N158" s="237">
        <v>980000.0</v>
      </c>
      <c r="O158" s="237"/>
      <c r="P158" s="267" t="s">
        <v>181</v>
      </c>
      <c r="Q158" s="267"/>
      <c r="R158" s="267"/>
      <c r="S158" s="267"/>
      <c r="T158" s="267"/>
      <c r="U158" s="267"/>
      <c r="V158" s="267"/>
      <c r="W158" s="63"/>
      <c r="X158" s="63"/>
      <c r="Y158" s="63"/>
    </row>
    <row r="159">
      <c r="A159" s="109">
        <v>5.0</v>
      </c>
      <c r="B159" s="110" t="s">
        <v>93</v>
      </c>
      <c r="C159" s="111" t="s">
        <v>78</v>
      </c>
      <c r="D159" s="111" t="s">
        <v>79</v>
      </c>
      <c r="E159" s="111" t="s">
        <v>94</v>
      </c>
      <c r="F159" s="111" t="s">
        <v>81</v>
      </c>
      <c r="G159" s="111" t="s">
        <v>82</v>
      </c>
      <c r="H159" s="236">
        <f>iferror(vlookup(B159,'TỒN'!A:C,3,false),0)</f>
        <v>2800</v>
      </c>
      <c r="I159" s="237">
        <v>620000.0</v>
      </c>
      <c r="J159" s="237">
        <v>550000.0</v>
      </c>
      <c r="K159" s="237">
        <v>530000.0</v>
      </c>
      <c r="L159" s="237"/>
      <c r="M159" s="237">
        <v>520000.0</v>
      </c>
      <c r="N159" s="237">
        <v>510000.0</v>
      </c>
      <c r="O159" s="237"/>
      <c r="P159" s="266"/>
      <c r="Q159" s="266"/>
      <c r="R159" s="266"/>
      <c r="S159" s="266"/>
      <c r="T159" s="266"/>
      <c r="U159" s="266"/>
      <c r="V159" s="266"/>
      <c r="W159" s="63"/>
      <c r="X159" s="63"/>
      <c r="Y159" s="63"/>
    </row>
    <row r="160">
      <c r="A160" s="109">
        <v>6.0</v>
      </c>
      <c r="B160" s="110" t="s">
        <v>95</v>
      </c>
      <c r="C160" s="111" t="s">
        <v>78</v>
      </c>
      <c r="D160" s="111" t="s">
        <v>79</v>
      </c>
      <c r="E160" s="111" t="s">
        <v>94</v>
      </c>
      <c r="F160" s="111" t="s">
        <v>84</v>
      </c>
      <c r="G160" s="111" t="s">
        <v>82</v>
      </c>
      <c r="H160" s="236">
        <f>iferror(vlookup(B160,'TỒN'!A:C,3,false),0)</f>
        <v>150</v>
      </c>
      <c r="I160" s="237">
        <v>1740000.0</v>
      </c>
      <c r="J160" s="237">
        <v>1640000.0</v>
      </c>
      <c r="K160" s="237">
        <v>1620000.0</v>
      </c>
      <c r="L160" s="237"/>
      <c r="M160" s="237">
        <v>1590000.0</v>
      </c>
      <c r="N160" s="237">
        <v>1560000.0</v>
      </c>
      <c r="O160" s="237"/>
      <c r="P160" s="267" t="s">
        <v>181</v>
      </c>
      <c r="Q160" s="267"/>
      <c r="R160" s="267"/>
      <c r="S160" s="267"/>
      <c r="T160" s="267"/>
      <c r="U160" s="267"/>
      <c r="V160" s="267"/>
      <c r="W160" s="63"/>
      <c r="X160" s="63"/>
      <c r="Y160" s="63"/>
    </row>
    <row r="161">
      <c r="A161" s="109">
        <v>7.0</v>
      </c>
      <c r="B161" s="110" t="s">
        <v>96</v>
      </c>
      <c r="C161" s="111" t="s">
        <v>78</v>
      </c>
      <c r="D161" s="111" t="s">
        <v>79</v>
      </c>
      <c r="E161" s="111" t="s">
        <v>97</v>
      </c>
      <c r="F161" s="111" t="s">
        <v>98</v>
      </c>
      <c r="G161" s="111" t="s">
        <v>82</v>
      </c>
      <c r="H161" s="236">
        <f>iferror(vlookup(B161,'TỒN'!A:C,3,false),0)</f>
        <v>2724</v>
      </c>
      <c r="I161" s="237">
        <f>J161+110000</f>
        <v>610000</v>
      </c>
      <c r="J161" s="237">
        <f>K161+10000</f>
        <v>500000</v>
      </c>
      <c r="K161" s="237">
        <f>M161+10000</f>
        <v>490000</v>
      </c>
      <c r="L161" s="237"/>
      <c r="M161" s="237">
        <f>N161+10000</f>
        <v>480000</v>
      </c>
      <c r="N161" s="237">
        <v>470000.0</v>
      </c>
      <c r="O161" s="237"/>
      <c r="P161" s="267" t="s">
        <v>182</v>
      </c>
      <c r="Q161" s="267"/>
      <c r="R161" s="267"/>
      <c r="S161" s="267"/>
      <c r="T161" s="267"/>
      <c r="U161" s="267"/>
      <c r="V161" s="267"/>
      <c r="W161" s="63"/>
      <c r="X161" s="63"/>
      <c r="Y161" s="63"/>
    </row>
    <row r="162">
      <c r="A162" s="109">
        <v>8.0</v>
      </c>
      <c r="B162" s="110" t="s">
        <v>99</v>
      </c>
      <c r="C162" s="111" t="s">
        <v>78</v>
      </c>
      <c r="D162" s="111" t="s">
        <v>79</v>
      </c>
      <c r="E162" s="111" t="s">
        <v>97</v>
      </c>
      <c r="F162" s="111" t="s">
        <v>100</v>
      </c>
      <c r="G162" s="111" t="s">
        <v>82</v>
      </c>
      <c r="H162" s="236">
        <f>iferror(vlookup(B162,'TỒN'!A:C,3,false),0)</f>
        <v>423</v>
      </c>
      <c r="I162" s="237">
        <f>J162+50000</f>
        <v>1600000</v>
      </c>
      <c r="J162" s="237">
        <f>K162+30000</f>
        <v>1550000</v>
      </c>
      <c r="K162" s="237">
        <f>M162+20000</f>
        <v>1520000</v>
      </c>
      <c r="L162" s="237"/>
      <c r="M162" s="237">
        <f>N162+20000</f>
        <v>1500000</v>
      </c>
      <c r="N162" s="237">
        <v>1480000.0</v>
      </c>
      <c r="O162" s="237"/>
      <c r="P162" s="267" t="s">
        <v>183</v>
      </c>
      <c r="Q162" s="267"/>
      <c r="R162" s="267"/>
      <c r="S162" s="267"/>
      <c r="T162" s="267"/>
      <c r="U162" s="267"/>
      <c r="V162" s="267"/>
      <c r="W162" s="63"/>
      <c r="X162" s="63"/>
      <c r="Y162" s="63"/>
    </row>
    <row r="163">
      <c r="A163" s="109">
        <v>9.0</v>
      </c>
      <c r="B163" s="110" t="s">
        <v>101</v>
      </c>
      <c r="C163" s="111" t="s">
        <v>78</v>
      </c>
      <c r="D163" s="111" t="s">
        <v>79</v>
      </c>
      <c r="E163" s="111" t="s">
        <v>102</v>
      </c>
      <c r="F163" s="111" t="s">
        <v>103</v>
      </c>
      <c r="G163" s="111" t="s">
        <v>82</v>
      </c>
      <c r="H163" s="236">
        <f>iferror(vlookup(B163,'TỒN'!A:C,3,false),0)</f>
        <v>1073</v>
      </c>
      <c r="I163" s="237">
        <v>650000.0</v>
      </c>
      <c r="J163" s="237">
        <v>620000.0</v>
      </c>
      <c r="K163" s="237">
        <v>590000.0</v>
      </c>
      <c r="L163" s="237"/>
      <c r="M163" s="237">
        <v>570000.0</v>
      </c>
      <c r="N163" s="237">
        <v>550000.0</v>
      </c>
      <c r="O163" s="237"/>
      <c r="P163" s="266"/>
      <c r="Q163" s="266"/>
      <c r="R163" s="266"/>
      <c r="S163" s="266"/>
      <c r="T163" s="266"/>
      <c r="U163" s="266"/>
      <c r="V163" s="266"/>
      <c r="W163" s="63"/>
      <c r="X163" s="63"/>
      <c r="Y163" s="63"/>
    </row>
    <row r="164">
      <c r="A164" s="109">
        <v>10.0</v>
      </c>
      <c r="B164" s="110" t="s">
        <v>106</v>
      </c>
      <c r="C164" s="111" t="s">
        <v>78</v>
      </c>
      <c r="D164" s="111" t="s">
        <v>79</v>
      </c>
      <c r="E164" s="111" t="s">
        <v>107</v>
      </c>
      <c r="F164" s="111" t="s">
        <v>98</v>
      </c>
      <c r="G164" s="111" t="s">
        <v>82</v>
      </c>
      <c r="H164" s="236">
        <f>iferror(vlookup(B164,'TỒN'!A:C,3,false),0)</f>
        <v>2236</v>
      </c>
      <c r="I164" s="237">
        <v>620000.0</v>
      </c>
      <c r="J164" s="237">
        <v>570000.0</v>
      </c>
      <c r="K164" s="237">
        <v>560000.0</v>
      </c>
      <c r="L164" s="237"/>
      <c r="M164" s="237">
        <v>550000.0</v>
      </c>
      <c r="N164" s="237">
        <v>530000.0</v>
      </c>
      <c r="O164" s="237"/>
      <c r="P164" s="266"/>
      <c r="Q164" s="266"/>
      <c r="R164" s="266"/>
      <c r="S164" s="266"/>
      <c r="T164" s="266"/>
      <c r="U164" s="266"/>
      <c r="V164" s="266"/>
      <c r="W164" s="63"/>
      <c r="X164" s="63"/>
      <c r="Y164" s="63"/>
    </row>
    <row r="165">
      <c r="A165" s="109">
        <v>11.0</v>
      </c>
      <c r="B165" s="217" t="s">
        <v>108</v>
      </c>
      <c r="C165" s="217" t="s">
        <v>78</v>
      </c>
      <c r="D165" s="217" t="s">
        <v>79</v>
      </c>
      <c r="E165" s="217" t="s">
        <v>109</v>
      </c>
      <c r="F165" s="217" t="s">
        <v>81</v>
      </c>
      <c r="G165" s="217" t="s">
        <v>82</v>
      </c>
      <c r="H165" s="236">
        <f>iferror(vlookup(B165,'TỒN'!A:C,3,false),0)</f>
        <v>326</v>
      </c>
      <c r="I165" s="268">
        <f t="shared" ref="I165:J165" si="88">J165+10000</f>
        <v>370000</v>
      </c>
      <c r="J165" s="268">
        <f t="shared" si="88"/>
        <v>360000</v>
      </c>
      <c r="K165" s="268">
        <f>M165+10000</f>
        <v>350000</v>
      </c>
      <c r="L165" s="268"/>
      <c r="M165" s="268">
        <f>N165+10000</f>
        <v>340000</v>
      </c>
      <c r="N165" s="268">
        <v>330000.0</v>
      </c>
      <c r="O165" s="268"/>
      <c r="P165" s="269"/>
      <c r="Q165" s="269"/>
      <c r="R165" s="269"/>
      <c r="S165" s="269"/>
      <c r="T165" s="269"/>
      <c r="U165" s="269"/>
      <c r="V165" s="269"/>
      <c r="W165" s="63"/>
      <c r="X165" s="63"/>
      <c r="Y165" s="63"/>
    </row>
    <row r="166">
      <c r="A166" s="109">
        <v>12.0</v>
      </c>
      <c r="B166" s="110" t="s">
        <v>110</v>
      </c>
      <c r="C166" s="111" t="s">
        <v>78</v>
      </c>
      <c r="D166" s="111" t="s">
        <v>79</v>
      </c>
      <c r="E166" s="111" t="s">
        <v>109</v>
      </c>
      <c r="F166" s="111" t="s">
        <v>111</v>
      </c>
      <c r="G166" s="111" t="s">
        <v>82</v>
      </c>
      <c r="H166" s="236">
        <f>iferror(vlookup(B166,'TỒN'!A:C,3,false),0)</f>
        <v>480</v>
      </c>
      <c r="I166" s="237">
        <v>710000.0</v>
      </c>
      <c r="J166" s="237">
        <v>660000.0</v>
      </c>
      <c r="K166" s="237">
        <v>610000.0</v>
      </c>
      <c r="L166" s="237"/>
      <c r="M166" s="237">
        <v>600000.0</v>
      </c>
      <c r="N166" s="237">
        <v>590000.0</v>
      </c>
      <c r="O166" s="237"/>
      <c r="P166" s="269"/>
      <c r="Q166" s="269"/>
      <c r="R166" s="269"/>
      <c r="S166" s="269"/>
      <c r="T166" s="269"/>
      <c r="U166" s="269"/>
      <c r="V166" s="269"/>
      <c r="W166" s="63"/>
      <c r="X166" s="63"/>
      <c r="Y166" s="63"/>
    </row>
    <row r="167">
      <c r="A167" s="247" t="s">
        <v>112</v>
      </c>
      <c r="B167" s="248"/>
      <c r="C167" s="248"/>
      <c r="D167" s="248"/>
      <c r="E167" s="248"/>
      <c r="F167" s="248"/>
      <c r="G167" s="248"/>
      <c r="H167" s="248"/>
      <c r="I167" s="248"/>
      <c r="J167" s="249"/>
      <c r="K167" s="250"/>
      <c r="L167" s="250"/>
      <c r="M167" s="250"/>
      <c r="N167" s="250"/>
      <c r="O167" s="250"/>
      <c r="P167" s="269"/>
      <c r="Q167" s="269"/>
      <c r="R167" s="269"/>
      <c r="S167" s="269"/>
      <c r="T167" s="269"/>
      <c r="U167" s="269"/>
      <c r="V167" s="269"/>
      <c r="W167" s="63"/>
      <c r="X167" s="63"/>
      <c r="Y167" s="63"/>
    </row>
    <row r="168">
      <c r="A168" s="109">
        <v>2.0</v>
      </c>
      <c r="B168" s="110" t="s">
        <v>164</v>
      </c>
      <c r="C168" s="111" t="s">
        <v>78</v>
      </c>
      <c r="D168" s="111" t="s">
        <v>165</v>
      </c>
      <c r="E168" s="111" t="s">
        <v>94</v>
      </c>
      <c r="F168" s="111" t="s">
        <v>84</v>
      </c>
      <c r="G168" s="111" t="s">
        <v>114</v>
      </c>
      <c r="H168" s="236">
        <f>iferror(vlookup(B168,'TỒN'!A:C,3,false),0)</f>
        <v>0</v>
      </c>
      <c r="I168" s="237">
        <v>2120000.0</v>
      </c>
      <c r="J168" s="237">
        <v>2070000.0</v>
      </c>
      <c r="K168" s="237">
        <v>2020000.0</v>
      </c>
      <c r="L168" s="237"/>
      <c r="M168" s="237">
        <v>1970000.0</v>
      </c>
      <c r="N168" s="237"/>
      <c r="O168" s="237"/>
      <c r="P168" s="269"/>
      <c r="Q168" s="269"/>
      <c r="R168" s="269"/>
      <c r="S168" s="269"/>
      <c r="T168" s="269"/>
      <c r="U168" s="269"/>
      <c r="V168" s="269"/>
      <c r="W168" s="63"/>
      <c r="X168" s="63"/>
      <c r="Y168" s="63"/>
    </row>
    <row r="169">
      <c r="A169" s="109">
        <v>7.0</v>
      </c>
      <c r="B169" s="110" t="s">
        <v>113</v>
      </c>
      <c r="C169" s="111" t="s">
        <v>78</v>
      </c>
      <c r="D169" s="111" t="s">
        <v>79</v>
      </c>
      <c r="E169" s="111" t="s">
        <v>80</v>
      </c>
      <c r="F169" s="111" t="s">
        <v>84</v>
      </c>
      <c r="G169" s="111" t="s">
        <v>114</v>
      </c>
      <c r="H169" s="236">
        <f>iferror(vlookup(B169,'TỒN'!A:C,3,false),0)</f>
        <v>360</v>
      </c>
      <c r="I169" s="270">
        <v>1810000.0</v>
      </c>
      <c r="J169" s="268">
        <v>1780000.0</v>
      </c>
      <c r="K169" s="268">
        <v>1760000.0</v>
      </c>
      <c r="L169" s="268"/>
      <c r="M169" s="268">
        <v>1750000.0</v>
      </c>
      <c r="N169" s="268">
        <v>1740000.0</v>
      </c>
      <c r="O169" s="268"/>
      <c r="P169" s="267" t="s">
        <v>181</v>
      </c>
      <c r="Q169" s="267"/>
      <c r="R169" s="267"/>
      <c r="S169" s="267"/>
      <c r="T169" s="267"/>
      <c r="U169" s="267"/>
      <c r="V169" s="267"/>
      <c r="W169" s="63"/>
      <c r="X169" s="63"/>
      <c r="Y169" s="63"/>
    </row>
    <row r="170">
      <c r="A170" s="109">
        <v>6.0</v>
      </c>
      <c r="B170" s="110" t="s">
        <v>123</v>
      </c>
      <c r="C170" s="111" t="s">
        <v>78</v>
      </c>
      <c r="D170" s="111" t="s">
        <v>117</v>
      </c>
      <c r="E170" s="111" t="s">
        <v>80</v>
      </c>
      <c r="F170" s="111" t="s">
        <v>84</v>
      </c>
      <c r="G170" s="111" t="s">
        <v>114</v>
      </c>
      <c r="H170" s="236">
        <f>iferror(vlookup(B170,'TỒN'!A:C,3,false),0)</f>
        <v>181</v>
      </c>
      <c r="I170" s="270">
        <f>J170+30000</f>
        <v>1900000</v>
      </c>
      <c r="J170" s="268">
        <v>1870000.0</v>
      </c>
      <c r="K170" s="268">
        <f>J170-30000</f>
        <v>1840000</v>
      </c>
      <c r="L170" s="268"/>
      <c r="M170" s="268">
        <f>K170-30000</f>
        <v>1810000</v>
      </c>
      <c r="N170" s="268">
        <f>M170-30000</f>
        <v>1780000</v>
      </c>
      <c r="O170" s="268"/>
      <c r="P170" s="267" t="s">
        <v>181</v>
      </c>
      <c r="Q170" s="267"/>
      <c r="R170" s="267"/>
      <c r="S170" s="267"/>
      <c r="T170" s="267"/>
      <c r="U170" s="267"/>
      <c r="V170" s="267"/>
      <c r="W170" s="63"/>
      <c r="X170" s="63"/>
      <c r="Y170" s="63"/>
    </row>
    <row r="171">
      <c r="A171" s="109">
        <v>3.0</v>
      </c>
      <c r="B171" s="110" t="s">
        <v>166</v>
      </c>
      <c r="C171" s="111" t="s">
        <v>78</v>
      </c>
      <c r="D171" s="111" t="s">
        <v>79</v>
      </c>
      <c r="E171" s="111" t="s">
        <v>97</v>
      </c>
      <c r="F171" s="111" t="s">
        <v>100</v>
      </c>
      <c r="G171" s="111" t="s">
        <v>114</v>
      </c>
      <c r="H171" s="236">
        <f>iferror(vlookup(B171,'TỒN'!A:C,3,false),0)</f>
        <v>0</v>
      </c>
      <c r="I171" s="237">
        <v>1920000.0</v>
      </c>
      <c r="J171" s="237">
        <v>1870000.0</v>
      </c>
      <c r="K171" s="237">
        <v>1820000.0</v>
      </c>
      <c r="L171" s="237"/>
      <c r="M171" s="237">
        <v>1770000.0</v>
      </c>
      <c r="N171" s="237">
        <v>1720000.0</v>
      </c>
      <c r="O171" s="237"/>
      <c r="P171" s="269"/>
      <c r="Q171" s="269"/>
      <c r="R171" s="269"/>
      <c r="S171" s="269"/>
      <c r="T171" s="269"/>
      <c r="U171" s="269"/>
      <c r="V171" s="269"/>
      <c r="W171" s="63"/>
      <c r="X171" s="63"/>
      <c r="Y171" s="63"/>
    </row>
    <row r="172">
      <c r="A172" s="256">
        <v>8.0</v>
      </c>
      <c r="B172" s="257" t="s">
        <v>116</v>
      </c>
      <c r="C172" s="258" t="s">
        <v>78</v>
      </c>
      <c r="D172" s="258" t="s">
        <v>117</v>
      </c>
      <c r="E172" s="258" t="s">
        <v>97</v>
      </c>
      <c r="F172" s="258" t="s">
        <v>100</v>
      </c>
      <c r="G172" s="258" t="s">
        <v>114</v>
      </c>
      <c r="H172" s="236">
        <f>iferror(vlookup(B172,'TỒN'!A:C,3,false),0)</f>
        <v>77</v>
      </c>
      <c r="I172" s="270">
        <f t="shared" ref="I172:J172" si="89">J172+10000</f>
        <v>1830000</v>
      </c>
      <c r="J172" s="268">
        <f t="shared" si="89"/>
        <v>1820000</v>
      </c>
      <c r="K172" s="268">
        <f t="shared" ref="K172:K173" si="91">M172+10000</f>
        <v>1810000</v>
      </c>
      <c r="L172" s="268"/>
      <c r="M172" s="268">
        <f t="shared" ref="M172:M173" si="92">N172+10000</f>
        <v>1800000</v>
      </c>
      <c r="N172" s="268">
        <v>1790000.0</v>
      </c>
      <c r="O172" s="268"/>
      <c r="P172" s="267" t="s">
        <v>181</v>
      </c>
      <c r="Q172" s="267"/>
      <c r="R172" s="267"/>
      <c r="S172" s="267"/>
      <c r="T172" s="267"/>
      <c r="U172" s="267"/>
      <c r="V172" s="267"/>
      <c r="W172" s="63"/>
      <c r="X172" s="63"/>
      <c r="Y172" s="63"/>
    </row>
    <row r="173">
      <c r="A173" s="251">
        <v>6.0</v>
      </c>
      <c r="B173" s="252" t="s">
        <v>119</v>
      </c>
      <c r="C173" s="252" t="s">
        <v>78</v>
      </c>
      <c r="D173" s="252" t="s">
        <v>117</v>
      </c>
      <c r="E173" s="252" t="s">
        <v>107</v>
      </c>
      <c r="F173" s="252" t="s">
        <v>100</v>
      </c>
      <c r="G173" s="252" t="s">
        <v>114</v>
      </c>
      <c r="H173" s="253">
        <f>iferror(vlookup(B173,'TỒN'!A:C,3,false),0)</f>
        <v>121</v>
      </c>
      <c r="I173" s="268">
        <f t="shared" ref="I173:J173" si="90">J173+10000</f>
        <v>2050000</v>
      </c>
      <c r="J173" s="268">
        <f t="shared" si="90"/>
        <v>2040000</v>
      </c>
      <c r="K173" s="268">
        <f t="shared" si="91"/>
        <v>2030000</v>
      </c>
      <c r="L173" s="268"/>
      <c r="M173" s="268">
        <f t="shared" si="92"/>
        <v>2020000</v>
      </c>
      <c r="N173" s="268">
        <v>2010000.0</v>
      </c>
      <c r="O173" s="268"/>
      <c r="P173" s="269"/>
      <c r="Q173" s="269"/>
      <c r="R173" s="269"/>
      <c r="S173" s="269"/>
      <c r="T173" s="269"/>
      <c r="U173" s="269"/>
      <c r="V173" s="269"/>
      <c r="W173" s="63"/>
      <c r="X173" s="63"/>
      <c r="Y173" s="63"/>
    </row>
    <row r="174">
      <c r="A174" s="247" t="s">
        <v>124</v>
      </c>
      <c r="B174" s="248"/>
      <c r="C174" s="248"/>
      <c r="D174" s="248"/>
      <c r="E174" s="248"/>
      <c r="F174" s="248"/>
      <c r="G174" s="249"/>
      <c r="H174" s="250"/>
      <c r="I174" s="228" t="s">
        <v>167</v>
      </c>
      <c r="J174" s="228" t="s">
        <v>125</v>
      </c>
      <c r="K174" s="228" t="s">
        <v>126</v>
      </c>
      <c r="L174" s="228"/>
      <c r="M174" s="228" t="s">
        <v>168</v>
      </c>
      <c r="N174" s="255" t="s">
        <v>169</v>
      </c>
      <c r="O174" s="255"/>
      <c r="P174" s="269"/>
      <c r="Q174" s="269"/>
      <c r="R174" s="269"/>
      <c r="S174" s="269"/>
      <c r="T174" s="269"/>
      <c r="U174" s="269"/>
      <c r="V174" s="269"/>
      <c r="W174" s="63"/>
      <c r="X174" s="63"/>
      <c r="Y174" s="63"/>
    </row>
    <row r="175">
      <c r="A175" s="256">
        <v>1.0</v>
      </c>
      <c r="B175" s="257" t="s">
        <v>127</v>
      </c>
      <c r="C175" s="258" t="s">
        <v>78</v>
      </c>
      <c r="D175" s="258" t="s">
        <v>128</v>
      </c>
      <c r="E175" s="258" t="s">
        <v>94</v>
      </c>
      <c r="F175" s="258" t="s">
        <v>84</v>
      </c>
      <c r="G175" s="258" t="s">
        <v>129</v>
      </c>
      <c r="H175" s="236">
        <f>iferror(vlookup(B175,'TỒN'!A:C,3,false),0)</f>
        <v>1369</v>
      </c>
      <c r="I175" s="237">
        <v>2400000.0</v>
      </c>
      <c r="J175" s="237">
        <v>2350000.0</v>
      </c>
      <c r="K175" s="237">
        <v>2320000.0</v>
      </c>
      <c r="L175" s="237"/>
      <c r="M175" s="237">
        <v>2300000.0</v>
      </c>
      <c r="N175" s="237">
        <v>2250000.0</v>
      </c>
      <c r="O175" s="237"/>
      <c r="P175" s="267" t="s">
        <v>181</v>
      </c>
      <c r="Q175" s="267"/>
      <c r="R175" s="267"/>
      <c r="S175" s="267"/>
      <c r="T175" s="267"/>
      <c r="U175" s="267"/>
      <c r="V175" s="267"/>
      <c r="W175" s="63"/>
      <c r="X175" s="63"/>
      <c r="Y175" s="63"/>
    </row>
    <row r="176">
      <c r="A176" s="256">
        <v>2.0</v>
      </c>
      <c r="B176" s="257" t="s">
        <v>170</v>
      </c>
      <c r="C176" s="258" t="s">
        <v>78</v>
      </c>
      <c r="D176" s="258" t="s">
        <v>128</v>
      </c>
      <c r="E176" s="258" t="s">
        <v>97</v>
      </c>
      <c r="F176" s="258" t="s">
        <v>100</v>
      </c>
      <c r="G176" s="258" t="s">
        <v>129</v>
      </c>
      <c r="H176" s="236">
        <f>iferror(vlookup(B176,'TỒN'!A:C,3,false),0)</f>
        <v>2</v>
      </c>
      <c r="I176" s="237">
        <f t="shared" ref="I176:I179" si="93">J176+50000</f>
        <v>2850000</v>
      </c>
      <c r="J176" s="237">
        <f t="shared" ref="J176:J177" si="94">K176+40000</f>
        <v>2800000</v>
      </c>
      <c r="K176" s="237">
        <f t="shared" ref="K176:K177" si="95">M176+30000</f>
        <v>2760000</v>
      </c>
      <c r="L176" s="237"/>
      <c r="M176" s="237">
        <f t="shared" ref="M176:M177" si="96">N176+30000</f>
        <v>2730000</v>
      </c>
      <c r="N176" s="237">
        <v>2700000.0</v>
      </c>
      <c r="O176" s="237"/>
      <c r="P176" s="267" t="s">
        <v>181</v>
      </c>
      <c r="Q176" s="267"/>
      <c r="R176" s="267"/>
      <c r="S176" s="267"/>
      <c r="T176" s="267"/>
      <c r="U176" s="267"/>
      <c r="V176" s="267"/>
      <c r="W176" s="63"/>
      <c r="X176" s="63"/>
      <c r="Y176" s="63"/>
    </row>
    <row r="177">
      <c r="A177" s="256"/>
      <c r="B177" s="257"/>
      <c r="C177" s="258" t="s">
        <v>78</v>
      </c>
      <c r="D177" s="258" t="s">
        <v>128</v>
      </c>
      <c r="E177" s="258" t="s">
        <v>97</v>
      </c>
      <c r="F177" s="258" t="s">
        <v>100</v>
      </c>
      <c r="G177" s="258" t="s">
        <v>131</v>
      </c>
      <c r="H177" s="236">
        <f>iferror(vlookup(B177,'TỒN'!A:C,3,false),0)</f>
        <v>0</v>
      </c>
      <c r="I177" s="237">
        <f t="shared" si="93"/>
        <v>2750000</v>
      </c>
      <c r="J177" s="237">
        <f t="shared" si="94"/>
        <v>2700000</v>
      </c>
      <c r="K177" s="237">
        <f t="shared" si="95"/>
        <v>2660000</v>
      </c>
      <c r="L177" s="237"/>
      <c r="M177" s="237">
        <f t="shared" si="96"/>
        <v>2630000</v>
      </c>
      <c r="N177" s="237">
        <v>2600000.0</v>
      </c>
      <c r="O177" s="237"/>
      <c r="P177" s="267" t="s">
        <v>181</v>
      </c>
      <c r="Q177" s="267"/>
      <c r="R177" s="267"/>
      <c r="S177" s="267"/>
      <c r="T177" s="267"/>
      <c r="U177" s="267"/>
      <c r="V177" s="267"/>
      <c r="W177" s="63"/>
      <c r="X177" s="63"/>
      <c r="Y177" s="63"/>
    </row>
    <row r="178">
      <c r="A178" s="256">
        <v>3.0</v>
      </c>
      <c r="B178" s="257" t="s">
        <v>184</v>
      </c>
      <c r="C178" s="258" t="s">
        <v>78</v>
      </c>
      <c r="D178" s="258" t="s">
        <v>128</v>
      </c>
      <c r="E178" s="258" t="s">
        <v>102</v>
      </c>
      <c r="F178" s="258" t="s">
        <v>172</v>
      </c>
      <c r="G178" s="258" t="s">
        <v>129</v>
      </c>
      <c r="H178" s="236">
        <f>iferror(vlookup(B178,'TỒN'!A:C,3,false),0)</f>
        <v>0</v>
      </c>
      <c r="I178" s="268">
        <f t="shared" si="93"/>
        <v>2800000</v>
      </c>
      <c r="J178" s="268">
        <f t="shared" ref="J178:J179" si="97">K178+50000</f>
        <v>2750000</v>
      </c>
      <c r="K178" s="239">
        <f t="shared" ref="K178:K179" si="98">M178+50000</f>
        <v>2700000</v>
      </c>
      <c r="L178" s="239"/>
      <c r="M178" s="237">
        <v>2650000.0</v>
      </c>
      <c r="N178" s="237"/>
      <c r="O178" s="237"/>
      <c r="P178" s="267" t="s">
        <v>181</v>
      </c>
      <c r="Q178" s="267"/>
      <c r="R178" s="267"/>
      <c r="S178" s="267"/>
      <c r="T178" s="267"/>
      <c r="U178" s="267"/>
      <c r="V178" s="267"/>
      <c r="W178" s="63"/>
      <c r="X178" s="63"/>
      <c r="Y178" s="63"/>
    </row>
    <row r="179">
      <c r="A179" s="256">
        <v>4.0</v>
      </c>
      <c r="B179" s="257" t="s">
        <v>185</v>
      </c>
      <c r="C179" s="258" t="s">
        <v>78</v>
      </c>
      <c r="D179" s="258" t="s">
        <v>128</v>
      </c>
      <c r="E179" s="258" t="s">
        <v>107</v>
      </c>
      <c r="F179" s="258" t="s">
        <v>100</v>
      </c>
      <c r="G179" s="258" t="s">
        <v>129</v>
      </c>
      <c r="H179" s="236">
        <f>iferror(vlookup(B179,'TỒN'!A:C,3,false),0)</f>
        <v>0</v>
      </c>
      <c r="I179" s="268">
        <f t="shared" si="93"/>
        <v>2800000</v>
      </c>
      <c r="J179" s="268">
        <f t="shared" si="97"/>
        <v>2750000</v>
      </c>
      <c r="K179" s="239">
        <f t="shared" si="98"/>
        <v>2700000</v>
      </c>
      <c r="L179" s="239"/>
      <c r="M179" s="237">
        <v>2650000.0</v>
      </c>
      <c r="N179" s="237"/>
      <c r="O179" s="237"/>
      <c r="P179" s="267" t="s">
        <v>181</v>
      </c>
      <c r="Q179" s="267"/>
      <c r="R179" s="267"/>
      <c r="S179" s="267"/>
      <c r="T179" s="267"/>
      <c r="U179" s="267"/>
      <c r="V179" s="267"/>
      <c r="W179" s="63"/>
      <c r="X179" s="63"/>
      <c r="Y179" s="63"/>
    </row>
    <row r="180">
      <c r="A180" s="247" t="s">
        <v>132</v>
      </c>
      <c r="B180" s="248"/>
      <c r="C180" s="248"/>
      <c r="D180" s="248"/>
      <c r="E180" s="248"/>
      <c r="F180" s="248"/>
      <c r="G180" s="249"/>
      <c r="H180" s="259"/>
      <c r="I180" s="260" t="s">
        <v>174</v>
      </c>
      <c r="J180" s="248"/>
      <c r="K180" s="248"/>
      <c r="L180" s="248"/>
      <c r="M180" s="248"/>
      <c r="N180" s="249"/>
      <c r="O180" s="49"/>
      <c r="P180" s="266"/>
      <c r="Q180" s="266"/>
      <c r="R180" s="266"/>
      <c r="S180" s="266"/>
      <c r="T180" s="266"/>
      <c r="U180" s="266"/>
      <c r="V180" s="266"/>
      <c r="W180" s="63"/>
      <c r="X180" s="63"/>
      <c r="Y180" s="63"/>
    </row>
    <row r="181">
      <c r="A181" s="256" t="s">
        <v>133</v>
      </c>
      <c r="B181" s="257" t="s">
        <v>134</v>
      </c>
      <c r="C181" s="258" t="s">
        <v>78</v>
      </c>
      <c r="D181" s="258" t="s">
        <v>79</v>
      </c>
      <c r="E181" s="258" t="s">
        <v>94</v>
      </c>
      <c r="F181" s="258" t="s">
        <v>84</v>
      </c>
      <c r="G181" s="258" t="s">
        <v>135</v>
      </c>
      <c r="H181" s="236">
        <f>iferror(vlookup(B181,'TỒN'!A:C,3,false),0)</f>
        <v>2</v>
      </c>
      <c r="I181" s="237">
        <v>2020000.0</v>
      </c>
      <c r="J181" s="261">
        <f t="shared" ref="J181:J185" si="99">I181*H181</f>
        <v>4040000</v>
      </c>
      <c r="K181" s="258"/>
      <c r="L181" s="258"/>
      <c r="M181" s="258"/>
      <c r="N181" s="258"/>
      <c r="O181" s="258"/>
      <c r="P181" s="266"/>
      <c r="Q181" s="266"/>
      <c r="R181" s="266"/>
      <c r="S181" s="266"/>
      <c r="T181" s="266"/>
      <c r="U181" s="266"/>
      <c r="V181" s="266"/>
      <c r="W181" s="63"/>
      <c r="X181" s="63"/>
      <c r="Y181" s="63"/>
    </row>
    <row r="182">
      <c r="A182" s="256" t="s">
        <v>133</v>
      </c>
      <c r="B182" s="110" t="s">
        <v>186</v>
      </c>
      <c r="C182" s="258" t="s">
        <v>78</v>
      </c>
      <c r="D182" s="258" t="s">
        <v>187</v>
      </c>
      <c r="E182" s="258" t="s">
        <v>97</v>
      </c>
      <c r="F182" s="258" t="s">
        <v>100</v>
      </c>
      <c r="G182" s="258" t="s">
        <v>114</v>
      </c>
      <c r="H182" s="236">
        <f>iferror(vlookup(B182,'TỒN'!A:C,3,false),0)</f>
        <v>0</v>
      </c>
      <c r="I182" s="262">
        <v>1400000.0</v>
      </c>
      <c r="J182" s="261">
        <f t="shared" si="99"/>
        <v>0</v>
      </c>
      <c r="K182" s="258"/>
      <c r="L182" s="258"/>
      <c r="M182" s="258"/>
      <c r="N182" s="258"/>
      <c r="O182" s="258"/>
      <c r="P182" s="266"/>
      <c r="Q182" s="266"/>
      <c r="R182" s="266"/>
      <c r="S182" s="266"/>
      <c r="T182" s="266"/>
      <c r="U182" s="266"/>
      <c r="V182" s="266"/>
      <c r="W182" s="63"/>
      <c r="X182" s="63"/>
      <c r="Y182" s="63"/>
    </row>
    <row r="183">
      <c r="A183" s="256" t="s">
        <v>133</v>
      </c>
      <c r="B183" s="257" t="s">
        <v>136</v>
      </c>
      <c r="C183" s="258" t="s">
        <v>78</v>
      </c>
      <c r="D183" s="258" t="s">
        <v>137</v>
      </c>
      <c r="E183" s="258" t="s">
        <v>97</v>
      </c>
      <c r="F183" s="258" t="s">
        <v>100</v>
      </c>
      <c r="G183" s="258" t="s">
        <v>82</v>
      </c>
      <c r="H183" s="236">
        <f>iferror(vlookup(B183,'TỒN'!A:C,3,false),0)</f>
        <v>0</v>
      </c>
      <c r="I183" s="262">
        <v>1820000.0</v>
      </c>
      <c r="J183" s="261">
        <f t="shared" si="99"/>
        <v>0</v>
      </c>
      <c r="K183" s="258"/>
      <c r="L183" s="258"/>
      <c r="M183" s="258"/>
      <c r="N183" s="258"/>
      <c r="O183" s="258"/>
      <c r="P183" s="266"/>
      <c r="Q183" s="266"/>
      <c r="R183" s="266"/>
      <c r="S183" s="266"/>
      <c r="T183" s="266"/>
      <c r="U183" s="266"/>
      <c r="V183" s="266"/>
      <c r="W183" s="63"/>
      <c r="X183" s="63"/>
      <c r="Y183" s="63"/>
    </row>
    <row r="184">
      <c r="A184" s="256" t="s">
        <v>133</v>
      </c>
      <c r="B184" s="257" t="s">
        <v>175</v>
      </c>
      <c r="C184" s="258" t="s">
        <v>78</v>
      </c>
      <c r="D184" s="258" t="s">
        <v>176</v>
      </c>
      <c r="E184" s="258" t="s">
        <v>80</v>
      </c>
      <c r="F184" s="258" t="s">
        <v>177</v>
      </c>
      <c r="G184" s="258" t="s">
        <v>114</v>
      </c>
      <c r="H184" s="236">
        <f>iferror(vlookup(B184,'TỒN'!A:C,3,false),0)</f>
        <v>0</v>
      </c>
      <c r="I184" s="262">
        <v>2270000.0</v>
      </c>
      <c r="J184" s="261">
        <f t="shared" si="99"/>
        <v>0</v>
      </c>
      <c r="K184" s="258"/>
      <c r="L184" s="258"/>
      <c r="M184" s="258"/>
      <c r="N184" s="258"/>
      <c r="O184" s="258"/>
      <c r="P184" s="266"/>
      <c r="Q184" s="266"/>
      <c r="R184" s="266"/>
      <c r="S184" s="266"/>
      <c r="T184" s="266"/>
      <c r="U184" s="266"/>
      <c r="V184" s="266"/>
      <c r="W184" s="63"/>
      <c r="X184" s="63"/>
      <c r="Y184" s="63"/>
    </row>
    <row r="185">
      <c r="A185" s="256" t="s">
        <v>133</v>
      </c>
      <c r="B185" s="257" t="s">
        <v>178</v>
      </c>
      <c r="C185" s="258" t="s">
        <v>78</v>
      </c>
      <c r="D185" s="258" t="s">
        <v>79</v>
      </c>
      <c r="E185" s="258" t="s">
        <v>107</v>
      </c>
      <c r="F185" s="258" t="s">
        <v>100</v>
      </c>
      <c r="G185" s="258" t="s">
        <v>135</v>
      </c>
      <c r="H185" s="236">
        <f>iferror(vlookup(B185,'TỒN'!A:C,3,false),0)</f>
        <v>0</v>
      </c>
      <c r="I185" s="262">
        <v>1520000.0</v>
      </c>
      <c r="J185" s="261">
        <f t="shared" si="99"/>
        <v>0</v>
      </c>
      <c r="K185" s="258"/>
      <c r="L185" s="258"/>
      <c r="M185" s="263"/>
      <c r="N185" s="263"/>
      <c r="O185" s="263"/>
      <c r="P185" s="266"/>
      <c r="Q185" s="266"/>
      <c r="R185" s="266"/>
      <c r="S185" s="266"/>
      <c r="T185" s="266"/>
      <c r="U185" s="266"/>
      <c r="V185" s="266"/>
      <c r="W185" s="63"/>
      <c r="X185" s="63"/>
      <c r="Y185" s="63"/>
    </row>
    <row r="186">
      <c r="A186" s="178"/>
      <c r="B186" s="179"/>
      <c r="C186" s="179"/>
      <c r="D186" s="179"/>
      <c r="E186" s="179"/>
      <c r="F186" s="179"/>
      <c r="G186" s="179"/>
      <c r="H186" s="179"/>
      <c r="I186" s="264" t="s">
        <v>138</v>
      </c>
      <c r="J186" s="182">
        <f>SUM(J181:J185)</f>
        <v>4040000</v>
      </c>
      <c r="K186" s="179"/>
      <c r="L186" s="179"/>
      <c r="M186" s="179"/>
      <c r="N186" s="179"/>
      <c r="O186" s="179"/>
      <c r="P186" s="78"/>
      <c r="Q186" s="78"/>
      <c r="R186" s="78"/>
      <c r="S186" s="78"/>
      <c r="T186" s="78"/>
      <c r="U186" s="78"/>
      <c r="V186" s="78"/>
      <c r="W186" s="50"/>
      <c r="X186" s="50"/>
      <c r="Y186" s="50"/>
    </row>
    <row r="187">
      <c r="A187" s="192" t="s">
        <v>139</v>
      </c>
      <c r="C187" s="193"/>
      <c r="D187" s="193"/>
      <c r="E187" s="193"/>
      <c r="F187" s="193"/>
      <c r="G187" s="193"/>
      <c r="H187" s="193"/>
      <c r="I187" s="193"/>
      <c r="J187" s="193"/>
      <c r="K187" s="193"/>
      <c r="L187" s="193"/>
      <c r="M187" s="193"/>
      <c r="N187" s="193"/>
      <c r="O187" s="193"/>
      <c r="P187" s="78"/>
      <c r="Q187" s="78"/>
      <c r="R187" s="78"/>
      <c r="S187" s="78"/>
      <c r="T187" s="78"/>
      <c r="U187" s="78"/>
      <c r="V187" s="78"/>
      <c r="W187" s="50"/>
      <c r="X187" s="50"/>
      <c r="Y187" s="50"/>
    </row>
    <row r="188">
      <c r="A188" s="193"/>
      <c r="B188" s="193"/>
      <c r="C188" s="193"/>
      <c r="D188" s="195" t="s">
        <v>174</v>
      </c>
      <c r="F188" s="193"/>
      <c r="G188" s="193"/>
      <c r="H188" s="193"/>
      <c r="I188" s="193"/>
      <c r="J188" s="193"/>
      <c r="K188" s="193"/>
      <c r="L188" s="193"/>
      <c r="M188" s="193"/>
      <c r="N188" s="193"/>
      <c r="O188" s="193"/>
      <c r="P188" s="78"/>
      <c r="Q188" s="78"/>
      <c r="R188" s="78"/>
      <c r="S188" s="78"/>
      <c r="T188" s="78"/>
      <c r="U188" s="78"/>
      <c r="V188" s="78"/>
      <c r="W188" s="50"/>
      <c r="X188" s="50"/>
      <c r="Y188" s="50"/>
    </row>
    <row r="189">
      <c r="A189" s="193"/>
      <c r="B189" s="193"/>
      <c r="C189" s="193"/>
      <c r="D189" s="195" t="s">
        <v>141</v>
      </c>
      <c r="K189" s="193"/>
      <c r="L189" s="193"/>
      <c r="M189" s="193"/>
      <c r="N189" s="193"/>
      <c r="O189" s="193"/>
      <c r="P189" s="78"/>
      <c r="Q189" s="78"/>
      <c r="R189" s="78"/>
      <c r="S189" s="78"/>
      <c r="T189" s="78"/>
      <c r="U189" s="78"/>
      <c r="V189" s="78"/>
      <c r="W189" s="50"/>
      <c r="X189" s="50"/>
      <c r="Y189" s="50"/>
    </row>
    <row r="190">
      <c r="A190" s="193"/>
      <c r="B190" s="193"/>
      <c r="C190" s="193"/>
      <c r="D190" s="195" t="s">
        <v>188</v>
      </c>
      <c r="O190" s="49"/>
      <c r="P190" s="78"/>
      <c r="Q190" s="78"/>
      <c r="R190" s="78"/>
      <c r="S190" s="78"/>
      <c r="T190" s="78"/>
      <c r="U190" s="78"/>
      <c r="V190" s="78"/>
      <c r="W190" s="50"/>
      <c r="X190" s="50"/>
      <c r="Y190" s="50"/>
    </row>
    <row r="191">
      <c r="A191" s="193"/>
      <c r="B191" s="193"/>
      <c r="C191" s="193"/>
      <c r="D191" s="193"/>
      <c r="E191" s="271" t="s">
        <v>189</v>
      </c>
      <c r="L191" s="271"/>
      <c r="M191" s="193"/>
      <c r="N191" s="193"/>
      <c r="O191" s="193"/>
      <c r="P191" s="78"/>
      <c r="Q191" s="78"/>
      <c r="R191" s="78"/>
      <c r="S191" s="78"/>
      <c r="T191" s="78"/>
      <c r="U191" s="78"/>
      <c r="V191" s="78"/>
      <c r="W191" s="50"/>
      <c r="X191" s="50"/>
      <c r="Y191" s="50"/>
    </row>
    <row r="192">
      <c r="A192" s="193"/>
      <c r="B192" s="193"/>
      <c r="C192" s="193"/>
      <c r="D192" s="193"/>
      <c r="E192" s="271" t="s">
        <v>190</v>
      </c>
      <c r="L192" s="271"/>
      <c r="M192" s="193"/>
      <c r="N192" s="193"/>
      <c r="O192" s="193"/>
      <c r="P192" s="78"/>
      <c r="Q192" s="78"/>
      <c r="R192" s="78"/>
      <c r="S192" s="78"/>
      <c r="T192" s="78"/>
      <c r="U192" s="78"/>
      <c r="V192" s="78"/>
      <c r="W192" s="50"/>
      <c r="X192" s="50"/>
      <c r="Y192" s="50"/>
    </row>
    <row r="193">
      <c r="A193" s="193"/>
      <c r="B193" s="193"/>
      <c r="C193" s="193"/>
      <c r="D193" s="52" t="s">
        <v>191</v>
      </c>
      <c r="N193" s="52"/>
      <c r="O193" s="52"/>
      <c r="P193" s="78"/>
      <c r="Q193" s="78"/>
      <c r="R193" s="78"/>
      <c r="S193" s="78"/>
      <c r="T193" s="78"/>
      <c r="U193" s="78"/>
      <c r="V193" s="78"/>
      <c r="W193" s="50"/>
      <c r="X193" s="50"/>
      <c r="Y193" s="50"/>
    </row>
    <row r="194">
      <c r="A194" s="51"/>
      <c r="B194" s="51"/>
      <c r="C194" s="51"/>
      <c r="D194" s="51"/>
      <c r="E194" s="51"/>
      <c r="F194" s="51"/>
      <c r="G194" s="51"/>
      <c r="H194" s="51"/>
      <c r="I194" s="51"/>
      <c r="J194" s="51"/>
      <c r="K194" s="51"/>
      <c r="L194" s="51"/>
      <c r="M194" s="51"/>
      <c r="N194" s="51"/>
      <c r="O194" s="51"/>
      <c r="P194" s="78"/>
      <c r="Q194" s="78"/>
      <c r="R194" s="78"/>
      <c r="S194" s="78"/>
      <c r="T194" s="78"/>
      <c r="U194" s="78"/>
      <c r="V194" s="78"/>
      <c r="W194" s="50"/>
      <c r="X194" s="50"/>
      <c r="Y194" s="50"/>
    </row>
    <row r="195">
      <c r="A195" s="51"/>
      <c r="B195" s="51"/>
      <c r="C195" s="51"/>
      <c r="D195" s="52" t="s">
        <v>143</v>
      </c>
      <c r="G195" s="51"/>
      <c r="H195" s="51"/>
      <c r="I195" s="51"/>
      <c r="J195" s="51"/>
      <c r="K195" s="51"/>
      <c r="L195" s="51"/>
      <c r="M195" s="51"/>
      <c r="N195" s="51"/>
      <c r="O195" s="51"/>
      <c r="P195" s="78"/>
      <c r="Q195" s="78"/>
      <c r="R195" s="78"/>
      <c r="S195" s="78"/>
      <c r="T195" s="78"/>
      <c r="U195" s="78"/>
      <c r="V195" s="78"/>
      <c r="W195" s="50"/>
      <c r="X195" s="50"/>
      <c r="Y195" s="50"/>
    </row>
    <row r="196">
      <c r="A196" s="48"/>
      <c r="B196" s="48"/>
      <c r="C196" s="48"/>
      <c r="D196" s="48"/>
      <c r="E196" s="48"/>
      <c r="F196" s="48"/>
      <c r="G196" s="48"/>
      <c r="H196" s="48"/>
      <c r="I196" s="48"/>
      <c r="J196" s="48"/>
      <c r="K196" s="48"/>
      <c r="L196" s="48"/>
      <c r="M196" s="48"/>
      <c r="N196" s="48"/>
      <c r="O196" s="48"/>
      <c r="P196" s="78"/>
      <c r="Q196" s="78"/>
      <c r="R196" s="78"/>
      <c r="S196" s="78"/>
      <c r="T196" s="78"/>
      <c r="U196" s="78"/>
      <c r="V196" s="78"/>
      <c r="W196" s="50"/>
      <c r="X196" s="50"/>
      <c r="Y196" s="50"/>
    </row>
    <row r="197">
      <c r="A197" s="48"/>
      <c r="B197" s="48"/>
      <c r="C197" s="48"/>
      <c r="D197" s="48"/>
      <c r="E197" s="48"/>
      <c r="F197" s="48"/>
      <c r="G197" s="48"/>
      <c r="H197" s="48"/>
      <c r="I197" s="48"/>
      <c r="J197" s="48"/>
      <c r="K197" s="48"/>
      <c r="L197" s="48"/>
      <c r="M197" s="48"/>
      <c r="N197" s="48"/>
      <c r="O197" s="48"/>
      <c r="P197" s="78"/>
      <c r="Q197" s="78"/>
      <c r="R197" s="78"/>
      <c r="S197" s="78"/>
      <c r="T197" s="78"/>
      <c r="U197" s="78"/>
      <c r="V197" s="78"/>
      <c r="W197" s="50"/>
      <c r="X197" s="50"/>
      <c r="Y197" s="50"/>
    </row>
    <row r="198">
      <c r="A198" s="48" t="s">
        <v>192</v>
      </c>
      <c r="O198" s="49"/>
      <c r="P198" s="78"/>
      <c r="Q198" s="78"/>
      <c r="R198" s="78"/>
      <c r="S198" s="78"/>
      <c r="T198" s="78"/>
      <c r="U198" s="78"/>
      <c r="V198" s="78"/>
      <c r="W198" s="50"/>
      <c r="X198" s="50"/>
      <c r="Y198" s="50"/>
    </row>
    <row r="199">
      <c r="A199" s="220"/>
      <c r="B199" s="221" t="s">
        <v>66</v>
      </c>
      <c r="C199" s="55"/>
      <c r="D199" s="55"/>
      <c r="E199" s="55"/>
      <c r="F199" s="55"/>
      <c r="G199" s="56"/>
      <c r="H199" s="222" t="s">
        <v>151</v>
      </c>
      <c r="I199" s="222" t="s">
        <v>152</v>
      </c>
      <c r="J199" s="223" t="s">
        <v>193</v>
      </c>
      <c r="K199" s="224" t="s">
        <v>194</v>
      </c>
      <c r="L199" s="224"/>
      <c r="M199" s="224" t="s">
        <v>195</v>
      </c>
      <c r="N199" s="224"/>
      <c r="O199" s="224"/>
      <c r="P199" s="62"/>
      <c r="Q199" s="62"/>
      <c r="R199" s="62"/>
      <c r="S199" s="62"/>
      <c r="T199" s="62"/>
      <c r="U199" s="62"/>
      <c r="V199" s="62"/>
      <c r="W199" s="63"/>
      <c r="X199" s="63"/>
      <c r="Y199" s="63"/>
    </row>
    <row r="200">
      <c r="A200" s="247" t="s">
        <v>72</v>
      </c>
      <c r="B200" s="248"/>
      <c r="C200" s="248"/>
      <c r="D200" s="248"/>
      <c r="E200" s="248"/>
      <c r="F200" s="248"/>
      <c r="G200" s="248"/>
      <c r="H200" s="248"/>
      <c r="I200" s="248"/>
      <c r="J200" s="249"/>
      <c r="K200" s="250"/>
      <c r="L200" s="250"/>
      <c r="M200" s="250"/>
      <c r="N200" s="250"/>
      <c r="O200" s="250"/>
      <c r="P200" s="78"/>
      <c r="Q200" s="78"/>
      <c r="R200" s="78"/>
      <c r="S200" s="78"/>
      <c r="T200" s="78"/>
      <c r="U200" s="78"/>
      <c r="V200" s="78"/>
      <c r="W200" s="50"/>
      <c r="X200" s="50"/>
      <c r="Y200" s="50"/>
    </row>
    <row r="201">
      <c r="A201" s="109">
        <v>1.0</v>
      </c>
      <c r="B201" s="272" t="s">
        <v>77</v>
      </c>
      <c r="C201" s="111" t="s">
        <v>78</v>
      </c>
      <c r="D201" s="111" t="s">
        <v>79</v>
      </c>
      <c r="E201" s="111" t="s">
        <v>80</v>
      </c>
      <c r="F201" s="111" t="s">
        <v>81</v>
      </c>
      <c r="G201" s="111" t="s">
        <v>82</v>
      </c>
      <c r="H201" s="236">
        <f>iferror(vlookup(B201,'TỒN'!A:C,3,false),0)</f>
        <v>2016</v>
      </c>
      <c r="I201" s="265">
        <v>520000.0</v>
      </c>
      <c r="J201" s="265">
        <v>470000.0</v>
      </c>
      <c r="K201" s="265">
        <v>460000.0</v>
      </c>
      <c r="L201" s="265"/>
      <c r="M201" s="265">
        <v>450000.0</v>
      </c>
      <c r="N201" s="265"/>
      <c r="O201" s="265"/>
      <c r="P201" s="266"/>
      <c r="Q201" s="266"/>
      <c r="R201" s="266"/>
      <c r="S201" s="266"/>
      <c r="T201" s="266"/>
      <c r="U201" s="266"/>
      <c r="V201" s="266"/>
      <c r="W201" s="63"/>
      <c r="X201" s="63"/>
      <c r="Y201" s="63"/>
    </row>
    <row r="202">
      <c r="A202" s="109">
        <v>2.0</v>
      </c>
      <c r="B202" s="111" t="s">
        <v>85</v>
      </c>
      <c r="C202" s="111" t="s">
        <v>78</v>
      </c>
      <c r="D202" s="111" t="s">
        <v>79</v>
      </c>
      <c r="E202" s="111" t="s">
        <v>86</v>
      </c>
      <c r="F202" s="111" t="s">
        <v>81</v>
      </c>
      <c r="G202" s="111" t="s">
        <v>82</v>
      </c>
      <c r="H202" s="236">
        <f>iferror(vlookup(B202,'TỒN'!A:C,3,false),0)</f>
        <v>1028</v>
      </c>
      <c r="I202" s="265">
        <v>480000.0</v>
      </c>
      <c r="J202" s="265">
        <v>420000.0</v>
      </c>
      <c r="K202" s="265">
        <v>408000.0</v>
      </c>
      <c r="L202" s="265"/>
      <c r="M202" s="265">
        <v>390000.0</v>
      </c>
      <c r="N202" s="265"/>
      <c r="O202" s="265"/>
      <c r="P202" s="266"/>
      <c r="Q202" s="266"/>
      <c r="R202" s="266"/>
      <c r="S202" s="266"/>
      <c r="T202" s="266"/>
      <c r="U202" s="266"/>
      <c r="V202" s="266"/>
      <c r="W202" s="63"/>
      <c r="X202" s="63"/>
      <c r="Y202" s="63"/>
    </row>
    <row r="203">
      <c r="A203" s="109">
        <v>3.0</v>
      </c>
      <c r="B203" s="111" t="s">
        <v>87</v>
      </c>
      <c r="C203" s="111" t="s">
        <v>78</v>
      </c>
      <c r="D203" s="111" t="s">
        <v>79</v>
      </c>
      <c r="E203" s="111" t="s">
        <v>86</v>
      </c>
      <c r="F203" s="111" t="s">
        <v>88</v>
      </c>
      <c r="G203" s="111" t="s">
        <v>82</v>
      </c>
      <c r="H203" s="236">
        <f>iferror(vlookup(B203,'TỒN'!A:C,3,false),0)</f>
        <v>20</v>
      </c>
      <c r="I203" s="265">
        <v>925500.0</v>
      </c>
      <c r="J203" s="265">
        <v>810000.0</v>
      </c>
      <c r="K203" s="265">
        <v>770000.0</v>
      </c>
      <c r="L203" s="265"/>
      <c r="M203" s="265">
        <v>730000.0</v>
      </c>
      <c r="N203" s="265"/>
      <c r="O203" s="265"/>
      <c r="P203" s="266"/>
      <c r="Q203" s="266"/>
      <c r="R203" s="266"/>
      <c r="S203" s="266"/>
      <c r="T203" s="266"/>
      <c r="U203" s="266"/>
      <c r="V203" s="266"/>
      <c r="W203" s="63"/>
      <c r="X203" s="63"/>
      <c r="Y203" s="63"/>
    </row>
    <row r="204">
      <c r="A204" s="109">
        <v>4.0</v>
      </c>
      <c r="B204" s="111" t="s">
        <v>91</v>
      </c>
      <c r="C204" s="111" t="s">
        <v>78</v>
      </c>
      <c r="D204" s="111" t="s">
        <v>79</v>
      </c>
      <c r="E204" s="111" t="s">
        <v>86</v>
      </c>
      <c r="F204" s="111" t="s">
        <v>92</v>
      </c>
      <c r="G204" s="111" t="s">
        <v>82</v>
      </c>
      <c r="H204" s="236">
        <f>iferror(vlookup(B204,'TỒN'!A:C,3,false),0)</f>
        <v>2</v>
      </c>
      <c r="I204" s="265">
        <v>1247500.0</v>
      </c>
      <c r="J204" s="265">
        <v>1090000.0</v>
      </c>
      <c r="K204" s="265">
        <v>1060000.0</v>
      </c>
      <c r="L204" s="265"/>
      <c r="M204" s="265">
        <v>1020000.0</v>
      </c>
      <c r="N204" s="265"/>
      <c r="O204" s="265"/>
      <c r="P204" s="266"/>
      <c r="Q204" s="266"/>
      <c r="R204" s="266"/>
      <c r="S204" s="266"/>
      <c r="T204" s="266"/>
      <c r="U204" s="266"/>
      <c r="V204" s="266"/>
      <c r="W204" s="63"/>
      <c r="X204" s="63"/>
      <c r="Y204" s="63"/>
    </row>
    <row r="205">
      <c r="A205" s="109">
        <v>5.0</v>
      </c>
      <c r="B205" s="111" t="s">
        <v>93</v>
      </c>
      <c r="C205" s="111" t="s">
        <v>78</v>
      </c>
      <c r="D205" s="111" t="s">
        <v>79</v>
      </c>
      <c r="E205" s="111" t="s">
        <v>94</v>
      </c>
      <c r="F205" s="111" t="s">
        <v>81</v>
      </c>
      <c r="G205" s="111" t="s">
        <v>82</v>
      </c>
      <c r="H205" s="236">
        <f>iferror(vlookup(B205,'TỒN'!A:C,3,false),0)</f>
        <v>2800</v>
      </c>
      <c r="I205" s="265">
        <v>629500.0</v>
      </c>
      <c r="J205" s="265">
        <v>550000.0</v>
      </c>
      <c r="K205" s="265">
        <v>530000.0</v>
      </c>
      <c r="L205" s="265"/>
      <c r="M205" s="265">
        <v>510000.0</v>
      </c>
      <c r="N205" s="265"/>
      <c r="O205" s="265"/>
      <c r="P205" s="266"/>
      <c r="Q205" s="266"/>
      <c r="R205" s="266"/>
      <c r="S205" s="266"/>
      <c r="T205" s="266"/>
      <c r="U205" s="266"/>
      <c r="V205" s="266"/>
      <c r="W205" s="63"/>
      <c r="X205" s="63"/>
      <c r="Y205" s="63"/>
    </row>
    <row r="206">
      <c r="A206" s="109">
        <v>6.0</v>
      </c>
      <c r="B206" s="111" t="s">
        <v>95</v>
      </c>
      <c r="C206" s="111" t="s">
        <v>78</v>
      </c>
      <c r="D206" s="111" t="s">
        <v>79</v>
      </c>
      <c r="E206" s="111" t="s">
        <v>94</v>
      </c>
      <c r="F206" s="111" t="s">
        <v>84</v>
      </c>
      <c r="G206" s="111" t="s">
        <v>82</v>
      </c>
      <c r="H206" s="236">
        <f>iferror(vlookup(B206,'TỒN'!A:C,3,false),0)</f>
        <v>150</v>
      </c>
      <c r="I206" s="265">
        <v>1822500.0</v>
      </c>
      <c r="J206" s="265">
        <v>1640000.0</v>
      </c>
      <c r="K206" s="265">
        <v>1590000.0</v>
      </c>
      <c r="L206" s="265"/>
      <c r="M206" s="273"/>
      <c r="N206" s="273"/>
      <c r="O206" s="273"/>
      <c r="P206" s="266"/>
      <c r="Q206" s="266"/>
      <c r="R206" s="266"/>
      <c r="S206" s="266"/>
      <c r="T206" s="266"/>
      <c r="U206" s="266"/>
      <c r="V206" s="266"/>
      <c r="W206" s="63"/>
      <c r="X206" s="63"/>
      <c r="Y206" s="63"/>
    </row>
    <row r="207">
      <c r="A207" s="109">
        <v>7.0</v>
      </c>
      <c r="B207" s="111" t="s">
        <v>96</v>
      </c>
      <c r="C207" s="111" t="s">
        <v>78</v>
      </c>
      <c r="D207" s="111" t="s">
        <v>79</v>
      </c>
      <c r="E207" s="111" t="s">
        <v>97</v>
      </c>
      <c r="F207" s="111" t="s">
        <v>98</v>
      </c>
      <c r="G207" s="111" t="s">
        <v>82</v>
      </c>
      <c r="H207" s="236">
        <f>iferror(vlookup(B207,'TỒN'!A:C,3,false),0)</f>
        <v>2724</v>
      </c>
      <c r="I207" s="265">
        <v>618000.0</v>
      </c>
      <c r="J207" s="265">
        <v>540000.0</v>
      </c>
      <c r="K207" s="265">
        <v>520000.0</v>
      </c>
      <c r="L207" s="265"/>
      <c r="M207" s="265">
        <v>500000.0</v>
      </c>
      <c r="N207" s="265"/>
      <c r="O207" s="265"/>
      <c r="P207" s="266"/>
      <c r="Q207" s="266"/>
      <c r="R207" s="266"/>
      <c r="S207" s="266"/>
      <c r="T207" s="266"/>
      <c r="U207" s="266"/>
      <c r="V207" s="266"/>
      <c r="W207" s="63"/>
      <c r="X207" s="63"/>
      <c r="Y207" s="63"/>
    </row>
    <row r="208">
      <c r="A208" s="109">
        <v>8.0</v>
      </c>
      <c r="B208" s="111" t="s">
        <v>99</v>
      </c>
      <c r="C208" s="111" t="s">
        <v>78</v>
      </c>
      <c r="D208" s="111" t="s">
        <v>79</v>
      </c>
      <c r="E208" s="111" t="s">
        <v>97</v>
      </c>
      <c r="F208" s="111" t="s">
        <v>100</v>
      </c>
      <c r="G208" s="111" t="s">
        <v>82</v>
      </c>
      <c r="H208" s="236">
        <f>iferror(vlookup(B208,'TỒN'!A:C,3,false),0)</f>
        <v>423</v>
      </c>
      <c r="I208" s="265">
        <v>1650000.0</v>
      </c>
      <c r="J208" s="265">
        <v>1440000.0</v>
      </c>
      <c r="K208" s="265">
        <v>1390000.0</v>
      </c>
      <c r="L208" s="265"/>
      <c r="M208" s="265">
        <v>1300000.0</v>
      </c>
      <c r="N208" s="265"/>
      <c r="O208" s="265"/>
      <c r="P208" s="266"/>
      <c r="Q208" s="266"/>
      <c r="R208" s="266"/>
      <c r="S208" s="266"/>
      <c r="T208" s="266"/>
      <c r="U208" s="266"/>
      <c r="V208" s="266"/>
      <c r="W208" s="63"/>
      <c r="X208" s="63"/>
      <c r="Y208" s="63"/>
    </row>
    <row r="209">
      <c r="A209" s="109">
        <v>9.0</v>
      </c>
      <c r="B209" s="111" t="s">
        <v>101</v>
      </c>
      <c r="C209" s="111" t="s">
        <v>78</v>
      </c>
      <c r="D209" s="111" t="s">
        <v>79</v>
      </c>
      <c r="E209" s="111" t="s">
        <v>102</v>
      </c>
      <c r="F209" s="111" t="s">
        <v>103</v>
      </c>
      <c r="G209" s="111" t="s">
        <v>82</v>
      </c>
      <c r="H209" s="236">
        <f>iferror(vlookup(B209,'TỒN'!A:C,3,false),0)</f>
        <v>1073</v>
      </c>
      <c r="I209" s="265">
        <v>652500.0</v>
      </c>
      <c r="J209" s="265">
        <v>620000.0</v>
      </c>
      <c r="K209" s="265">
        <v>550000.0</v>
      </c>
      <c r="L209" s="265"/>
      <c r="M209" s="273"/>
      <c r="N209" s="273"/>
      <c r="O209" s="273"/>
      <c r="P209" s="266"/>
      <c r="Q209" s="266"/>
      <c r="R209" s="266"/>
      <c r="S209" s="266"/>
      <c r="T209" s="266"/>
      <c r="U209" s="266"/>
      <c r="V209" s="266"/>
      <c r="W209" s="63"/>
      <c r="X209" s="63"/>
      <c r="Y209" s="63"/>
    </row>
    <row r="210">
      <c r="A210" s="109">
        <v>10.0</v>
      </c>
      <c r="B210" s="111" t="s">
        <v>106</v>
      </c>
      <c r="C210" s="111" t="s">
        <v>78</v>
      </c>
      <c r="D210" s="111" t="s">
        <v>79</v>
      </c>
      <c r="E210" s="111" t="s">
        <v>107</v>
      </c>
      <c r="F210" s="111" t="s">
        <v>98</v>
      </c>
      <c r="G210" s="111" t="s">
        <v>82</v>
      </c>
      <c r="H210" s="236">
        <f>iferror(vlookup(B210,'TỒN'!A:C,3,false),0)</f>
        <v>2236</v>
      </c>
      <c r="I210" s="265">
        <v>629500.0</v>
      </c>
      <c r="J210" s="265">
        <v>550000.0</v>
      </c>
      <c r="K210" s="265">
        <v>530000.0</v>
      </c>
      <c r="L210" s="265"/>
      <c r="M210" s="273"/>
      <c r="N210" s="273"/>
      <c r="O210" s="273"/>
      <c r="P210" s="266"/>
      <c r="Q210" s="266"/>
      <c r="R210" s="266"/>
      <c r="S210" s="266"/>
      <c r="T210" s="266"/>
      <c r="U210" s="266"/>
      <c r="V210" s="266"/>
      <c r="W210" s="63"/>
      <c r="X210" s="63"/>
      <c r="Y210" s="63"/>
    </row>
    <row r="211">
      <c r="A211" s="109">
        <v>11.0</v>
      </c>
      <c r="B211" s="111" t="s">
        <v>110</v>
      </c>
      <c r="C211" s="111" t="s">
        <v>78</v>
      </c>
      <c r="D211" s="111" t="s">
        <v>79</v>
      </c>
      <c r="E211" s="111" t="s">
        <v>109</v>
      </c>
      <c r="F211" s="111" t="s">
        <v>111</v>
      </c>
      <c r="G211" s="111" t="s">
        <v>82</v>
      </c>
      <c r="H211" s="236">
        <f>iferror(vlookup(B211,'TỒN'!A:C,3,false),0)</f>
        <v>480</v>
      </c>
      <c r="I211" s="265">
        <v>712750.0</v>
      </c>
      <c r="J211" s="265">
        <v>660000.0</v>
      </c>
      <c r="K211" s="265">
        <v>610000.0</v>
      </c>
      <c r="L211" s="265"/>
      <c r="M211" s="265">
        <v>590000.0</v>
      </c>
      <c r="N211" s="265"/>
      <c r="O211" s="265"/>
      <c r="P211" s="266"/>
      <c r="Q211" s="266"/>
      <c r="R211" s="266"/>
      <c r="S211" s="266"/>
      <c r="T211" s="266"/>
      <c r="U211" s="266"/>
      <c r="V211" s="266"/>
      <c r="W211" s="63"/>
      <c r="X211" s="63"/>
      <c r="Y211" s="63"/>
    </row>
    <row r="212">
      <c r="A212" s="247" t="s">
        <v>112</v>
      </c>
      <c r="B212" s="248"/>
      <c r="C212" s="248"/>
      <c r="D212" s="248"/>
      <c r="E212" s="248"/>
      <c r="F212" s="248"/>
      <c r="G212" s="248"/>
      <c r="H212" s="248"/>
      <c r="I212" s="248"/>
      <c r="J212" s="249"/>
      <c r="K212" s="250"/>
      <c r="L212" s="250"/>
      <c r="M212" s="250"/>
      <c r="N212" s="250"/>
      <c r="O212" s="250"/>
      <c r="P212" s="269"/>
      <c r="Q212" s="269"/>
      <c r="R212" s="269"/>
      <c r="S212" s="269"/>
      <c r="T212" s="269"/>
      <c r="U212" s="269"/>
      <c r="V212" s="269"/>
      <c r="W212" s="63"/>
      <c r="X212" s="63"/>
      <c r="Y212" s="63"/>
    </row>
    <row r="213">
      <c r="A213" s="109">
        <v>1.0</v>
      </c>
      <c r="B213" s="111" t="s">
        <v>196</v>
      </c>
      <c r="C213" s="111" t="s">
        <v>78</v>
      </c>
      <c r="D213" s="111" t="s">
        <v>187</v>
      </c>
      <c r="E213" s="111" t="s">
        <v>94</v>
      </c>
      <c r="F213" s="111" t="s">
        <v>81</v>
      </c>
      <c r="G213" s="111" t="s">
        <v>197</v>
      </c>
      <c r="H213" s="236">
        <f>iferror(vlookup(B213,'TỒN'!A:C,3,false),0)</f>
        <v>0</v>
      </c>
      <c r="I213" s="265">
        <v>610000.0</v>
      </c>
      <c r="J213" s="265">
        <v>590000.0</v>
      </c>
      <c r="K213" s="265">
        <v>570000.0</v>
      </c>
      <c r="L213" s="265"/>
      <c r="M213" s="265">
        <v>530000.0</v>
      </c>
      <c r="N213" s="265"/>
      <c r="O213" s="265"/>
      <c r="P213" s="266"/>
      <c r="Q213" s="266"/>
      <c r="R213" s="266"/>
      <c r="S213" s="266"/>
      <c r="T213" s="266"/>
      <c r="U213" s="266"/>
      <c r="V213" s="266"/>
      <c r="W213" s="63"/>
      <c r="X213" s="63"/>
      <c r="Y213" s="63"/>
    </row>
    <row r="214">
      <c r="A214" s="109">
        <v>2.0</v>
      </c>
      <c r="B214" s="111" t="s">
        <v>164</v>
      </c>
      <c r="C214" s="111" t="s">
        <v>78</v>
      </c>
      <c r="D214" s="111" t="s">
        <v>165</v>
      </c>
      <c r="E214" s="111" t="s">
        <v>94</v>
      </c>
      <c r="F214" s="111" t="s">
        <v>84</v>
      </c>
      <c r="G214" s="111" t="s">
        <v>114</v>
      </c>
      <c r="H214" s="236">
        <f>iferror(vlookup(B214,'TỒN'!A:C,3,false),0)</f>
        <v>0</v>
      </c>
      <c r="I214" s="265">
        <v>2100000.0</v>
      </c>
      <c r="J214" s="265">
        <v>1980000.0</v>
      </c>
      <c r="K214" s="265">
        <v>1940000.0</v>
      </c>
      <c r="L214" s="265"/>
      <c r="M214" s="265">
        <v>1920000.0</v>
      </c>
      <c r="N214" s="265"/>
      <c r="O214" s="265"/>
      <c r="P214" s="266"/>
      <c r="Q214" s="266"/>
      <c r="R214" s="266"/>
      <c r="S214" s="266"/>
      <c r="T214" s="266"/>
      <c r="U214" s="266"/>
      <c r="V214" s="266"/>
      <c r="W214" s="63"/>
      <c r="X214" s="63"/>
      <c r="Y214" s="63"/>
    </row>
    <row r="215">
      <c r="A215" s="109">
        <v>3.0</v>
      </c>
      <c r="B215" s="111" t="s">
        <v>166</v>
      </c>
      <c r="C215" s="111" t="s">
        <v>78</v>
      </c>
      <c r="D215" s="111" t="s">
        <v>79</v>
      </c>
      <c r="E215" s="111" t="s">
        <v>97</v>
      </c>
      <c r="F215" s="111" t="s">
        <v>100</v>
      </c>
      <c r="G215" s="111" t="s">
        <v>114</v>
      </c>
      <c r="H215" s="236">
        <f>iferror(vlookup(B215,'TỒN'!A:C,3,false),0)</f>
        <v>0</v>
      </c>
      <c r="I215" s="265">
        <v>1920000.0</v>
      </c>
      <c r="J215" s="265">
        <v>1770000.0</v>
      </c>
      <c r="K215" s="265">
        <v>1740000.0</v>
      </c>
      <c r="L215" s="265"/>
      <c r="M215" s="265">
        <v>1720000.0</v>
      </c>
      <c r="N215" s="265"/>
      <c r="O215" s="265"/>
      <c r="P215" s="266"/>
      <c r="Q215" s="266"/>
      <c r="R215" s="266"/>
      <c r="S215" s="266"/>
      <c r="T215" s="266"/>
      <c r="U215" s="266"/>
      <c r="V215" s="266"/>
      <c r="W215" s="63"/>
      <c r="X215" s="63"/>
      <c r="Y215" s="63"/>
    </row>
    <row r="216">
      <c r="A216" s="109">
        <v>4.0</v>
      </c>
      <c r="B216" s="111" t="s">
        <v>198</v>
      </c>
      <c r="C216" s="111" t="s">
        <v>78</v>
      </c>
      <c r="D216" s="111" t="s">
        <v>165</v>
      </c>
      <c r="E216" s="111" t="s">
        <v>102</v>
      </c>
      <c r="F216" s="111" t="s">
        <v>172</v>
      </c>
      <c r="G216" s="111" t="s">
        <v>114</v>
      </c>
      <c r="H216" s="236">
        <f>iferror(vlookup(B216,'TỒN'!A:C,3,false),0)</f>
        <v>0</v>
      </c>
      <c r="I216" s="265">
        <v>2390000.0</v>
      </c>
      <c r="J216" s="265">
        <v>1738000.0</v>
      </c>
      <c r="K216" s="265">
        <v>1658000.0</v>
      </c>
      <c r="L216" s="265"/>
      <c r="M216" s="265">
        <v>1640000.0</v>
      </c>
      <c r="N216" s="265"/>
      <c r="O216" s="265"/>
      <c r="P216" s="266"/>
      <c r="Q216" s="266"/>
      <c r="R216" s="266"/>
      <c r="S216" s="266"/>
      <c r="T216" s="266"/>
      <c r="U216" s="266"/>
      <c r="V216" s="266"/>
      <c r="W216" s="63"/>
      <c r="X216" s="63"/>
      <c r="Y216" s="63"/>
    </row>
    <row r="217">
      <c r="A217" s="109">
        <v>5.0</v>
      </c>
      <c r="B217" s="111" t="s">
        <v>199</v>
      </c>
      <c r="C217" s="111" t="s">
        <v>78</v>
      </c>
      <c r="D217" s="111" t="s">
        <v>165</v>
      </c>
      <c r="E217" s="111" t="s">
        <v>107</v>
      </c>
      <c r="F217" s="111" t="s">
        <v>100</v>
      </c>
      <c r="G217" s="111" t="s">
        <v>114</v>
      </c>
      <c r="H217" s="236">
        <f>iferror(vlookup(B217,'TỒN'!A:C,3,false),0)</f>
        <v>0</v>
      </c>
      <c r="I217" s="265">
        <v>2260000.0</v>
      </c>
      <c r="J217" s="265">
        <v>1788000.0</v>
      </c>
      <c r="K217" s="265">
        <v>1708000.0</v>
      </c>
      <c r="L217" s="265"/>
      <c r="M217" s="265">
        <v>1640000.0</v>
      </c>
      <c r="N217" s="265"/>
      <c r="O217" s="265"/>
      <c r="P217" s="266"/>
      <c r="Q217" s="266"/>
      <c r="R217" s="266"/>
      <c r="S217" s="266"/>
      <c r="T217" s="266"/>
      <c r="U217" s="266"/>
      <c r="V217" s="266"/>
      <c r="W217" s="63"/>
      <c r="X217" s="63"/>
      <c r="Y217" s="63"/>
    </row>
    <row r="218">
      <c r="A218" s="109">
        <v>6.0</v>
      </c>
      <c r="B218" s="111" t="s">
        <v>113</v>
      </c>
      <c r="C218" s="111" t="s">
        <v>78</v>
      </c>
      <c r="D218" s="111" t="s">
        <v>79</v>
      </c>
      <c r="E218" s="111" t="s">
        <v>80</v>
      </c>
      <c r="F218" s="111" t="s">
        <v>84</v>
      </c>
      <c r="G218" s="111" t="s">
        <v>114</v>
      </c>
      <c r="H218" s="236">
        <f>iferror(vlookup(B218,'TỒN'!A:C,3,false),0)</f>
        <v>360</v>
      </c>
      <c r="I218" s="237">
        <v>1830000.0</v>
      </c>
      <c r="J218" s="237">
        <v>1802000.0</v>
      </c>
      <c r="K218" s="237">
        <v>1782000.0</v>
      </c>
      <c r="L218" s="237"/>
      <c r="M218" s="237">
        <v>1773000.0</v>
      </c>
      <c r="N218" s="237"/>
      <c r="O218" s="237"/>
      <c r="P218" s="274"/>
      <c r="Q218" s="274"/>
      <c r="R218" s="274"/>
      <c r="S218" s="274"/>
      <c r="T218" s="274"/>
      <c r="U218" s="274"/>
      <c r="V218" s="274"/>
      <c r="W218" s="63"/>
      <c r="X218" s="63"/>
      <c r="Y218" s="63"/>
    </row>
    <row r="219">
      <c r="A219" s="109">
        <v>7.0</v>
      </c>
      <c r="B219" s="111" t="s">
        <v>123</v>
      </c>
      <c r="C219" s="111" t="s">
        <v>78</v>
      </c>
      <c r="D219" s="111" t="s">
        <v>117</v>
      </c>
      <c r="E219" s="111" t="s">
        <v>80</v>
      </c>
      <c r="F219" s="111" t="s">
        <v>84</v>
      </c>
      <c r="G219" s="111" t="s">
        <v>114</v>
      </c>
      <c r="H219" s="236">
        <f>iferror(vlookup(B219,'TỒN'!A:C,3,false),0)</f>
        <v>181</v>
      </c>
      <c r="I219" s="265">
        <v>1890000.0</v>
      </c>
      <c r="J219" s="265">
        <v>1880000.0</v>
      </c>
      <c r="K219" s="265">
        <v>1870000.0</v>
      </c>
      <c r="L219" s="265"/>
      <c r="M219" s="265">
        <v>1860000.0</v>
      </c>
      <c r="N219" s="265"/>
      <c r="O219" s="265"/>
      <c r="P219" s="266"/>
      <c r="Q219" s="266"/>
      <c r="R219" s="266"/>
      <c r="S219" s="266"/>
      <c r="T219" s="266"/>
      <c r="U219" s="266"/>
      <c r="V219" s="266"/>
      <c r="W219" s="63"/>
      <c r="X219" s="63"/>
      <c r="Y219" s="63"/>
    </row>
    <row r="220">
      <c r="A220" s="256">
        <v>8.0</v>
      </c>
      <c r="B220" s="258" t="s">
        <v>116</v>
      </c>
      <c r="C220" s="258" t="s">
        <v>78</v>
      </c>
      <c r="D220" s="258" t="s">
        <v>117</v>
      </c>
      <c r="E220" s="258" t="s">
        <v>97</v>
      </c>
      <c r="F220" s="258" t="s">
        <v>100</v>
      </c>
      <c r="G220" s="258" t="s">
        <v>114</v>
      </c>
      <c r="H220" s="236">
        <f>iferror(vlookup(B220,'TỒN'!A:C,3,false),0)</f>
        <v>77</v>
      </c>
      <c r="I220" s="262">
        <v>1880000.0</v>
      </c>
      <c r="J220" s="261"/>
      <c r="K220" s="258"/>
      <c r="L220" s="258"/>
      <c r="M220" s="258"/>
      <c r="N220" s="258"/>
      <c r="O220" s="258"/>
      <c r="P220" s="266"/>
      <c r="Q220" s="266"/>
      <c r="R220" s="266"/>
      <c r="S220" s="266"/>
      <c r="T220" s="266"/>
      <c r="U220" s="266"/>
      <c r="V220" s="266"/>
      <c r="W220" s="63"/>
      <c r="X220" s="63"/>
      <c r="Y220" s="63"/>
    </row>
    <row r="221">
      <c r="A221" s="247" t="s">
        <v>124</v>
      </c>
      <c r="B221" s="248"/>
      <c r="C221" s="248"/>
      <c r="D221" s="248"/>
      <c r="E221" s="248"/>
      <c r="F221" s="248"/>
      <c r="G221" s="249"/>
      <c r="H221" s="250"/>
      <c r="I221" s="228" t="s">
        <v>167</v>
      </c>
      <c r="J221" s="228" t="s">
        <v>125</v>
      </c>
      <c r="K221" s="228" t="s">
        <v>126</v>
      </c>
      <c r="L221" s="228"/>
      <c r="M221" s="228" t="s">
        <v>168</v>
      </c>
      <c r="N221" s="228"/>
      <c r="O221" s="228"/>
      <c r="P221" s="269"/>
      <c r="Q221" s="269"/>
      <c r="R221" s="269"/>
      <c r="S221" s="269"/>
      <c r="T221" s="269"/>
      <c r="U221" s="269"/>
      <c r="V221" s="269"/>
      <c r="W221" s="63"/>
      <c r="X221" s="63"/>
      <c r="Y221" s="63"/>
    </row>
    <row r="222">
      <c r="A222" s="256">
        <v>1.0</v>
      </c>
      <c r="B222" s="258" t="s">
        <v>127</v>
      </c>
      <c r="C222" s="258" t="s">
        <v>78</v>
      </c>
      <c r="D222" s="258" t="s">
        <v>128</v>
      </c>
      <c r="E222" s="258" t="s">
        <v>94</v>
      </c>
      <c r="F222" s="258" t="s">
        <v>84</v>
      </c>
      <c r="G222" s="258" t="s">
        <v>129</v>
      </c>
      <c r="H222" s="236">
        <f>iferror(vlookup(B222,'TỒN'!A:C,3,false),0)</f>
        <v>1369</v>
      </c>
      <c r="I222" s="237">
        <v>2420000.0</v>
      </c>
      <c r="J222" s="237">
        <v>2380000.0</v>
      </c>
      <c r="K222" s="237">
        <v>2340000.0</v>
      </c>
      <c r="L222" s="237"/>
      <c r="M222" s="237"/>
      <c r="N222" s="237"/>
      <c r="O222" s="237"/>
      <c r="P222" s="269"/>
      <c r="Q222" s="269"/>
      <c r="R222" s="269"/>
      <c r="S222" s="269"/>
      <c r="T222" s="269"/>
      <c r="U222" s="269"/>
      <c r="V222" s="269"/>
      <c r="W222" s="63"/>
      <c r="X222" s="63"/>
      <c r="Y222" s="63"/>
    </row>
    <row r="223">
      <c r="A223" s="256">
        <v>2.0</v>
      </c>
      <c r="B223" s="258" t="s">
        <v>170</v>
      </c>
      <c r="C223" s="258" t="s">
        <v>78</v>
      </c>
      <c r="D223" s="258" t="s">
        <v>128</v>
      </c>
      <c r="E223" s="258" t="s">
        <v>97</v>
      </c>
      <c r="F223" s="258" t="s">
        <v>100</v>
      </c>
      <c r="G223" s="258" t="s">
        <v>129</v>
      </c>
      <c r="H223" s="236">
        <f>iferror(vlookup(B223,'TỒN'!A:C,3,false),0)</f>
        <v>2</v>
      </c>
      <c r="I223" s="237">
        <v>2790000.0</v>
      </c>
      <c r="J223" s="237">
        <v>2740000.0</v>
      </c>
      <c r="K223" s="237">
        <v>2690000.0</v>
      </c>
      <c r="L223" s="237"/>
      <c r="M223" s="237"/>
      <c r="N223" s="237"/>
      <c r="O223" s="237"/>
      <c r="P223" s="269"/>
      <c r="Q223" s="269"/>
      <c r="R223" s="269"/>
      <c r="S223" s="269"/>
      <c r="T223" s="269"/>
      <c r="U223" s="269"/>
      <c r="V223" s="269"/>
      <c r="W223" s="63"/>
      <c r="X223" s="63"/>
      <c r="Y223" s="63"/>
    </row>
    <row r="224">
      <c r="A224" s="256">
        <v>3.0</v>
      </c>
      <c r="B224" s="258" t="s">
        <v>184</v>
      </c>
      <c r="C224" s="258" t="s">
        <v>78</v>
      </c>
      <c r="D224" s="258" t="s">
        <v>128</v>
      </c>
      <c r="E224" s="258" t="s">
        <v>102</v>
      </c>
      <c r="F224" s="258" t="s">
        <v>172</v>
      </c>
      <c r="G224" s="258" t="s">
        <v>129</v>
      </c>
      <c r="H224" s="236">
        <f>iferror(vlookup(B224,'TỒN'!A:C,3,false),0)</f>
        <v>0</v>
      </c>
      <c r="I224" s="237">
        <v>3490000.0</v>
      </c>
      <c r="J224" s="237">
        <v>3440000.0</v>
      </c>
      <c r="K224" s="237">
        <v>3390000.0</v>
      </c>
      <c r="L224" s="237"/>
      <c r="M224" s="237"/>
      <c r="N224" s="237"/>
      <c r="O224" s="237"/>
      <c r="P224" s="275"/>
      <c r="Q224" s="275"/>
      <c r="R224" s="275"/>
      <c r="S224" s="275"/>
      <c r="T224" s="275"/>
      <c r="U224" s="275"/>
      <c r="V224" s="275"/>
      <c r="W224" s="63"/>
      <c r="X224" s="63"/>
      <c r="Y224" s="63"/>
    </row>
    <row r="225">
      <c r="A225" s="256">
        <v>4.0</v>
      </c>
      <c r="B225" s="258" t="s">
        <v>185</v>
      </c>
      <c r="C225" s="258" t="s">
        <v>78</v>
      </c>
      <c r="D225" s="258" t="s">
        <v>128</v>
      </c>
      <c r="E225" s="258" t="s">
        <v>107</v>
      </c>
      <c r="F225" s="258" t="s">
        <v>100</v>
      </c>
      <c r="G225" s="258" t="s">
        <v>129</v>
      </c>
      <c r="H225" s="236">
        <f>iferror(vlookup(B225,'TỒN'!A:C,3,false),0)</f>
        <v>0</v>
      </c>
      <c r="I225" s="237">
        <v>3240000.0</v>
      </c>
      <c r="J225" s="237">
        <v>3140000.0</v>
      </c>
      <c r="K225" s="237"/>
      <c r="L225" s="237"/>
      <c r="M225" s="237"/>
      <c r="N225" s="237"/>
      <c r="O225" s="237"/>
      <c r="P225" s="275"/>
      <c r="Q225" s="275"/>
      <c r="R225" s="275"/>
      <c r="S225" s="275"/>
      <c r="T225" s="275"/>
      <c r="U225" s="275"/>
      <c r="V225" s="275"/>
      <c r="W225" s="63"/>
      <c r="X225" s="63"/>
      <c r="Y225" s="63"/>
    </row>
    <row r="226">
      <c r="A226" s="247" t="s">
        <v>132</v>
      </c>
      <c r="B226" s="248"/>
      <c r="C226" s="248"/>
      <c r="D226" s="248"/>
      <c r="E226" s="248"/>
      <c r="F226" s="248"/>
      <c r="G226" s="249"/>
      <c r="H226" s="259"/>
      <c r="I226" s="260" t="s">
        <v>174</v>
      </c>
      <c r="J226" s="248"/>
      <c r="K226" s="248"/>
      <c r="L226" s="248"/>
      <c r="M226" s="248"/>
      <c r="N226" s="249"/>
      <c r="O226" s="49"/>
      <c r="P226" s="266"/>
      <c r="Q226" s="266"/>
      <c r="R226" s="266"/>
      <c r="S226" s="266"/>
      <c r="T226" s="266"/>
      <c r="U226" s="266"/>
      <c r="V226" s="266"/>
      <c r="W226" s="63"/>
      <c r="X226" s="63"/>
      <c r="Y226" s="63"/>
    </row>
    <row r="227">
      <c r="A227" s="256" t="s">
        <v>133</v>
      </c>
      <c r="B227" s="258" t="s">
        <v>134</v>
      </c>
      <c r="C227" s="258" t="s">
        <v>78</v>
      </c>
      <c r="D227" s="258" t="s">
        <v>79</v>
      </c>
      <c r="E227" s="258" t="s">
        <v>94</v>
      </c>
      <c r="F227" s="258" t="s">
        <v>84</v>
      </c>
      <c r="G227" s="258" t="s">
        <v>135</v>
      </c>
      <c r="H227" s="236">
        <f>iferror(vlookup(B227,'TỒN'!A:C,3,false),0)</f>
        <v>2</v>
      </c>
      <c r="I227" s="237">
        <v>1420000.0</v>
      </c>
      <c r="J227" s="261">
        <f t="shared" ref="J227:J231" si="100">I227*H227</f>
        <v>2840000</v>
      </c>
      <c r="K227" s="258"/>
      <c r="L227" s="258"/>
      <c r="M227" s="258"/>
      <c r="N227" s="258"/>
      <c r="O227" s="258"/>
      <c r="P227" s="266"/>
      <c r="Q227" s="266"/>
      <c r="R227" s="266"/>
      <c r="S227" s="266"/>
      <c r="T227" s="266"/>
      <c r="U227" s="266"/>
      <c r="V227" s="266"/>
      <c r="W227" s="63"/>
      <c r="X227" s="63"/>
      <c r="Y227" s="63"/>
    </row>
    <row r="228">
      <c r="A228" s="256" t="s">
        <v>133</v>
      </c>
      <c r="B228" s="111" t="s">
        <v>186</v>
      </c>
      <c r="C228" s="258" t="s">
        <v>78</v>
      </c>
      <c r="D228" s="258" t="s">
        <v>187</v>
      </c>
      <c r="E228" s="258" t="s">
        <v>97</v>
      </c>
      <c r="F228" s="258" t="s">
        <v>100</v>
      </c>
      <c r="G228" s="258" t="s">
        <v>114</v>
      </c>
      <c r="H228" s="236">
        <f>iferror(vlookup(B228,'TỒN'!A:C,3,false),0)</f>
        <v>0</v>
      </c>
      <c r="I228" s="262">
        <v>1400000.0</v>
      </c>
      <c r="J228" s="261">
        <f t="shared" si="100"/>
        <v>0</v>
      </c>
      <c r="K228" s="258"/>
      <c r="L228" s="258"/>
      <c r="M228" s="258"/>
      <c r="N228" s="258"/>
      <c r="O228" s="258"/>
      <c r="P228" s="266"/>
      <c r="Q228" s="266"/>
      <c r="R228" s="266"/>
      <c r="S228" s="266"/>
      <c r="T228" s="266"/>
      <c r="U228" s="266"/>
      <c r="V228" s="266"/>
      <c r="W228" s="63"/>
      <c r="X228" s="63"/>
      <c r="Y228" s="63"/>
    </row>
    <row r="229">
      <c r="A229" s="256" t="s">
        <v>133</v>
      </c>
      <c r="B229" s="258" t="s">
        <v>136</v>
      </c>
      <c r="C229" s="258" t="s">
        <v>78</v>
      </c>
      <c r="D229" s="258" t="s">
        <v>137</v>
      </c>
      <c r="E229" s="258" t="s">
        <v>97</v>
      </c>
      <c r="F229" s="258" t="s">
        <v>100</v>
      </c>
      <c r="G229" s="258" t="s">
        <v>82</v>
      </c>
      <c r="H229" s="236">
        <f>iferror(vlookup(B229,'TỒN'!A:C,3,false),0)</f>
        <v>0</v>
      </c>
      <c r="I229" s="262">
        <v>1920000.0</v>
      </c>
      <c r="J229" s="261">
        <f t="shared" si="100"/>
        <v>0</v>
      </c>
      <c r="K229" s="258"/>
      <c r="L229" s="258"/>
      <c r="M229" s="258"/>
      <c r="N229" s="258"/>
      <c r="O229" s="258"/>
      <c r="P229" s="266"/>
      <c r="Q229" s="266"/>
      <c r="R229" s="266"/>
      <c r="S229" s="266"/>
      <c r="T229" s="266"/>
      <c r="U229" s="266"/>
      <c r="V229" s="266"/>
      <c r="W229" s="63"/>
      <c r="X229" s="63"/>
      <c r="Y229" s="63"/>
    </row>
    <row r="230">
      <c r="A230" s="256" t="s">
        <v>133</v>
      </c>
      <c r="B230" s="258" t="s">
        <v>175</v>
      </c>
      <c r="C230" s="258" t="s">
        <v>78</v>
      </c>
      <c r="D230" s="258" t="s">
        <v>176</v>
      </c>
      <c r="E230" s="258" t="s">
        <v>80</v>
      </c>
      <c r="F230" s="258" t="s">
        <v>177</v>
      </c>
      <c r="G230" s="258" t="s">
        <v>114</v>
      </c>
      <c r="H230" s="236">
        <f>iferror(vlookup(B230,'TỒN'!A:C,3,false),0)</f>
        <v>0</v>
      </c>
      <c r="I230" s="262">
        <v>2270000.0</v>
      </c>
      <c r="J230" s="261">
        <f t="shared" si="100"/>
        <v>0</v>
      </c>
      <c r="K230" s="258"/>
      <c r="L230" s="258"/>
      <c r="M230" s="258"/>
      <c r="N230" s="258"/>
      <c r="O230" s="258"/>
      <c r="P230" s="266"/>
      <c r="Q230" s="266"/>
      <c r="R230" s="266"/>
      <c r="S230" s="266"/>
      <c r="T230" s="266"/>
      <c r="U230" s="266"/>
      <c r="V230" s="266"/>
      <c r="W230" s="63"/>
      <c r="X230" s="63"/>
      <c r="Y230" s="63"/>
    </row>
    <row r="231">
      <c r="A231" s="256" t="s">
        <v>133</v>
      </c>
      <c r="B231" s="258" t="s">
        <v>178</v>
      </c>
      <c r="C231" s="258" t="s">
        <v>78</v>
      </c>
      <c r="D231" s="258" t="s">
        <v>79</v>
      </c>
      <c r="E231" s="258" t="s">
        <v>107</v>
      </c>
      <c r="F231" s="258" t="s">
        <v>100</v>
      </c>
      <c r="G231" s="258" t="s">
        <v>135</v>
      </c>
      <c r="H231" s="236">
        <f>iferror(vlookup(B231,'TỒN'!A:C,3,false),0)</f>
        <v>0</v>
      </c>
      <c r="I231" s="262">
        <v>1520000.0</v>
      </c>
      <c r="J231" s="261">
        <f t="shared" si="100"/>
        <v>0</v>
      </c>
      <c r="K231" s="258"/>
      <c r="L231" s="258"/>
      <c r="M231" s="263"/>
      <c r="N231" s="263"/>
      <c r="O231" s="263"/>
      <c r="P231" s="266"/>
      <c r="Q231" s="266"/>
      <c r="R231" s="266"/>
      <c r="S231" s="266"/>
      <c r="T231" s="266"/>
      <c r="U231" s="266"/>
      <c r="V231" s="266"/>
      <c r="W231" s="63"/>
      <c r="X231" s="63"/>
      <c r="Y231" s="63"/>
    </row>
    <row r="232">
      <c r="A232" s="178"/>
      <c r="B232" s="179"/>
      <c r="C232" s="179"/>
      <c r="D232" s="179"/>
      <c r="E232" s="179"/>
      <c r="F232" s="179"/>
      <c r="G232" s="179"/>
      <c r="H232" s="179"/>
      <c r="I232" s="264" t="s">
        <v>138</v>
      </c>
      <c r="J232" s="182">
        <f>SUM(J227:J231)</f>
        <v>2840000</v>
      </c>
      <c r="K232" s="179"/>
      <c r="L232" s="179"/>
      <c r="M232" s="179"/>
      <c r="N232" s="179"/>
      <c r="O232" s="179"/>
      <c r="P232" s="78"/>
      <c r="Q232" s="78"/>
      <c r="R232" s="78"/>
      <c r="S232" s="78"/>
      <c r="T232" s="78"/>
      <c r="U232" s="78"/>
      <c r="V232" s="78"/>
      <c r="W232" s="50"/>
      <c r="X232" s="50"/>
      <c r="Y232" s="50"/>
    </row>
    <row r="233">
      <c r="A233" s="192" t="s">
        <v>139</v>
      </c>
      <c r="C233" s="193"/>
      <c r="D233" s="193"/>
      <c r="E233" s="193"/>
      <c r="F233" s="193"/>
      <c r="G233" s="193"/>
      <c r="H233" s="193"/>
      <c r="I233" s="193"/>
      <c r="J233" s="193"/>
      <c r="K233" s="193"/>
      <c r="L233" s="193"/>
      <c r="M233" s="193"/>
      <c r="N233" s="193"/>
      <c r="O233" s="193"/>
      <c r="P233" s="78"/>
      <c r="Q233" s="78"/>
      <c r="R233" s="78"/>
      <c r="S233" s="78"/>
      <c r="T233" s="78"/>
      <c r="U233" s="78"/>
      <c r="V233" s="78"/>
      <c r="W233" s="50"/>
      <c r="X233" s="50"/>
      <c r="Y233" s="50"/>
    </row>
    <row r="234">
      <c r="A234" s="193"/>
      <c r="B234" s="193"/>
      <c r="C234" s="193"/>
      <c r="D234" s="195" t="s">
        <v>174</v>
      </c>
      <c r="F234" s="193"/>
      <c r="G234" s="193"/>
      <c r="H234" s="193"/>
      <c r="I234" s="193"/>
      <c r="J234" s="193"/>
      <c r="K234" s="193"/>
      <c r="L234" s="193"/>
      <c r="M234" s="193"/>
      <c r="N234" s="193"/>
      <c r="O234" s="193"/>
      <c r="P234" s="78"/>
      <c r="Q234" s="78"/>
      <c r="R234" s="78"/>
      <c r="S234" s="78"/>
      <c r="T234" s="78"/>
      <c r="U234" s="78"/>
      <c r="V234" s="78"/>
      <c r="W234" s="50"/>
      <c r="X234" s="50"/>
      <c r="Y234" s="50"/>
    </row>
    <row r="235">
      <c r="A235" s="193"/>
      <c r="B235" s="193"/>
      <c r="C235" s="193"/>
      <c r="D235" s="195" t="s">
        <v>141</v>
      </c>
      <c r="K235" s="193"/>
      <c r="L235" s="193"/>
      <c r="M235" s="193"/>
      <c r="N235" s="193"/>
      <c r="O235" s="193"/>
      <c r="P235" s="78"/>
      <c r="Q235" s="78"/>
      <c r="R235" s="78"/>
      <c r="S235" s="78"/>
      <c r="T235" s="78"/>
      <c r="U235" s="78"/>
      <c r="V235" s="78"/>
      <c r="W235" s="50"/>
      <c r="X235" s="50"/>
      <c r="Y235" s="50"/>
    </row>
    <row r="236">
      <c r="A236" s="193"/>
      <c r="B236" s="193"/>
      <c r="C236" s="193"/>
      <c r="D236" s="195" t="s">
        <v>188</v>
      </c>
      <c r="O236" s="49"/>
      <c r="P236" s="78"/>
      <c r="Q236" s="78"/>
      <c r="R236" s="78"/>
      <c r="S236" s="78"/>
      <c r="T236" s="78"/>
      <c r="U236" s="78"/>
      <c r="V236" s="78"/>
      <c r="W236" s="50"/>
      <c r="X236" s="50"/>
      <c r="Y236" s="50"/>
    </row>
    <row r="237">
      <c r="A237" s="193"/>
      <c r="B237" s="193"/>
      <c r="C237" s="193"/>
      <c r="D237" s="193"/>
      <c r="E237" s="271" t="s">
        <v>189</v>
      </c>
      <c r="L237" s="271"/>
      <c r="M237" s="193"/>
      <c r="N237" s="193"/>
      <c r="O237" s="193"/>
      <c r="P237" s="78"/>
      <c r="Q237" s="78"/>
      <c r="R237" s="78"/>
      <c r="S237" s="78"/>
      <c r="T237" s="78"/>
      <c r="U237" s="78"/>
      <c r="V237" s="78"/>
      <c r="W237" s="50"/>
      <c r="X237" s="50"/>
      <c r="Y237" s="50"/>
    </row>
    <row r="238">
      <c r="A238" s="193"/>
      <c r="B238" s="193"/>
      <c r="C238" s="193"/>
      <c r="D238" s="193"/>
      <c r="E238" s="271" t="s">
        <v>190</v>
      </c>
      <c r="L238" s="271"/>
      <c r="M238" s="193"/>
      <c r="N238" s="193"/>
      <c r="O238" s="193"/>
      <c r="P238" s="78"/>
      <c r="Q238" s="78"/>
      <c r="R238" s="78"/>
      <c r="S238" s="78"/>
      <c r="T238" s="78"/>
      <c r="U238" s="78"/>
      <c r="V238" s="78"/>
      <c r="W238" s="50"/>
      <c r="X238" s="50"/>
      <c r="Y238" s="50"/>
    </row>
    <row r="239">
      <c r="A239" s="193"/>
      <c r="B239" s="193"/>
      <c r="C239" s="193"/>
      <c r="D239" s="52" t="s">
        <v>191</v>
      </c>
      <c r="N239" s="52"/>
      <c r="O239" s="52"/>
      <c r="P239" s="78"/>
      <c r="Q239" s="78"/>
      <c r="R239" s="78"/>
      <c r="S239" s="78"/>
      <c r="T239" s="78"/>
      <c r="U239" s="78"/>
      <c r="V239" s="78"/>
      <c r="W239" s="50"/>
      <c r="X239" s="50"/>
      <c r="Y239" s="50"/>
    </row>
    <row r="240">
      <c r="A240" s="51"/>
      <c r="B240" s="51"/>
      <c r="C240" s="51"/>
      <c r="D240" s="51"/>
      <c r="E240" s="51"/>
      <c r="F240" s="51"/>
      <c r="G240" s="51"/>
      <c r="H240" s="51"/>
      <c r="I240" s="51"/>
      <c r="J240" s="51"/>
      <c r="K240" s="51"/>
      <c r="L240" s="51"/>
      <c r="M240" s="51"/>
      <c r="N240" s="51"/>
      <c r="O240" s="51"/>
      <c r="P240" s="78"/>
      <c r="Q240" s="78"/>
      <c r="R240" s="78"/>
      <c r="S240" s="78"/>
      <c r="T240" s="78"/>
      <c r="U240" s="78"/>
      <c r="V240" s="78"/>
      <c r="W240" s="50"/>
      <c r="X240" s="50"/>
      <c r="Y240" s="50"/>
    </row>
    <row r="241">
      <c r="A241" s="51"/>
      <c r="B241" s="51"/>
      <c r="C241" s="51"/>
      <c r="D241" s="52" t="s">
        <v>143</v>
      </c>
      <c r="G241" s="51"/>
      <c r="H241" s="51"/>
      <c r="I241" s="51"/>
      <c r="J241" s="51"/>
      <c r="K241" s="51"/>
      <c r="L241" s="51"/>
      <c r="M241" s="51"/>
      <c r="N241" s="51"/>
      <c r="O241" s="51"/>
      <c r="P241" s="78"/>
      <c r="Q241" s="78"/>
      <c r="R241" s="78"/>
      <c r="S241" s="78"/>
      <c r="T241" s="78"/>
      <c r="U241" s="78"/>
      <c r="V241" s="78"/>
      <c r="W241" s="50"/>
      <c r="X241" s="50"/>
      <c r="Y241" s="50"/>
    </row>
    <row r="242">
      <c r="A242" s="51"/>
      <c r="B242" s="51"/>
      <c r="C242" s="51"/>
      <c r="D242" s="51"/>
      <c r="E242" s="51"/>
      <c r="F242" s="51"/>
      <c r="G242" s="51"/>
      <c r="H242" s="51"/>
      <c r="I242" s="51"/>
      <c r="J242" s="51"/>
      <c r="K242" s="51"/>
      <c r="L242" s="51"/>
      <c r="M242" s="51"/>
      <c r="N242" s="51"/>
      <c r="O242" s="51"/>
      <c r="P242" s="78"/>
      <c r="Q242" s="78"/>
      <c r="R242" s="78"/>
      <c r="S242" s="78"/>
      <c r="T242" s="78"/>
      <c r="U242" s="78"/>
      <c r="V242" s="78"/>
      <c r="W242" s="50"/>
      <c r="X242" s="50"/>
      <c r="Y242" s="50"/>
    </row>
    <row r="243">
      <c r="A243" s="51"/>
      <c r="B243" s="51"/>
      <c r="C243" s="51"/>
      <c r="D243" s="51"/>
      <c r="E243" s="51"/>
      <c r="F243" s="51"/>
      <c r="G243" s="51"/>
      <c r="H243" s="51"/>
      <c r="I243" s="51"/>
      <c r="J243" s="51"/>
      <c r="K243" s="51"/>
      <c r="L243" s="51"/>
      <c r="M243" s="51"/>
      <c r="N243" s="51"/>
      <c r="O243" s="51"/>
      <c r="P243" s="78"/>
      <c r="Q243" s="78"/>
      <c r="R243" s="78"/>
      <c r="S243" s="78"/>
      <c r="T243" s="78"/>
      <c r="U243" s="78"/>
      <c r="V243" s="78"/>
      <c r="W243" s="50"/>
      <c r="X243" s="50"/>
      <c r="Y243" s="50"/>
    </row>
  </sheetData>
  <mergeCells count="63">
    <mergeCell ref="D189:J189"/>
    <mergeCell ref="D190:N190"/>
    <mergeCell ref="E191:K191"/>
    <mergeCell ref="E192:K192"/>
    <mergeCell ref="D193:M193"/>
    <mergeCell ref="D195:F195"/>
    <mergeCell ref="A198:N198"/>
    <mergeCell ref="B199:G199"/>
    <mergeCell ref="A200:J200"/>
    <mergeCell ref="A212:J212"/>
    <mergeCell ref="A221:G221"/>
    <mergeCell ref="A226:G226"/>
    <mergeCell ref="I226:N226"/>
    <mergeCell ref="A233:B233"/>
    <mergeCell ref="I2:P3"/>
    <mergeCell ref="A5:G5"/>
    <mergeCell ref="I5:L5"/>
    <mergeCell ref="N5:Q5"/>
    <mergeCell ref="R5:U5"/>
    <mergeCell ref="A6:H6"/>
    <mergeCell ref="A22:H22"/>
    <mergeCell ref="A28:H28"/>
    <mergeCell ref="A33:H33"/>
    <mergeCell ref="A38:B38"/>
    <mergeCell ref="I49:P50"/>
    <mergeCell ref="I52:K52"/>
    <mergeCell ref="N52:P52"/>
    <mergeCell ref="R52:T52"/>
    <mergeCell ref="A52:G52"/>
    <mergeCell ref="A53:H53"/>
    <mergeCell ref="A69:H69"/>
    <mergeCell ref="A75:H75"/>
    <mergeCell ref="A78:H78"/>
    <mergeCell ref="A83:B83"/>
    <mergeCell ref="A103:N103"/>
    <mergeCell ref="B104:G104"/>
    <mergeCell ref="A105:J106"/>
    <mergeCell ref="A122:J122"/>
    <mergeCell ref="A129:G129"/>
    <mergeCell ref="A135:G135"/>
    <mergeCell ref="I135:N135"/>
    <mergeCell ref="A141:B141"/>
    <mergeCell ref="D142:E142"/>
    <mergeCell ref="D143:J143"/>
    <mergeCell ref="D144:M144"/>
    <mergeCell ref="D145:G145"/>
    <mergeCell ref="D146:F146"/>
    <mergeCell ref="A152:N152"/>
    <mergeCell ref="B153:G153"/>
    <mergeCell ref="A154:J154"/>
    <mergeCell ref="A167:J167"/>
    <mergeCell ref="A174:G174"/>
    <mergeCell ref="A180:G180"/>
    <mergeCell ref="I180:N180"/>
    <mergeCell ref="A187:B187"/>
    <mergeCell ref="D188:E188"/>
    <mergeCell ref="D234:E234"/>
    <mergeCell ref="D235:J235"/>
    <mergeCell ref="D236:N236"/>
    <mergeCell ref="E237:K237"/>
    <mergeCell ref="E238:K238"/>
    <mergeCell ref="D239:M239"/>
    <mergeCell ref="D241:F241"/>
  </mergeCells>
  <printOptions/>
  <pageMargins bottom="0.75" footer="0.0" header="0.0" left="0.7" right="0.7" top="0.75"/>
  <pageSetup fitToHeight="0" paperSize="9"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38"/>
    <col customWidth="1" min="2" max="3" width="5.63"/>
    <col customWidth="1" min="5" max="5" width="8.75"/>
    <col customWidth="1" min="6" max="8" width="7.25"/>
    <col customWidth="1" min="9" max="20" width="10.25"/>
    <col customWidth="1" min="21" max="21" width="8.75"/>
    <col customWidth="1" hidden="1" min="22" max="22" width="9.38"/>
  </cols>
  <sheetData>
    <row r="1">
      <c r="A1" s="276"/>
      <c r="B1" s="276"/>
      <c r="C1" s="276"/>
      <c r="D1" s="276"/>
      <c r="E1" s="276"/>
      <c r="F1" s="276"/>
      <c r="G1" s="276"/>
      <c r="H1" s="276"/>
      <c r="I1" s="276"/>
      <c r="J1" s="276"/>
      <c r="K1" s="276"/>
      <c r="L1" s="277"/>
      <c r="M1" s="276"/>
      <c r="N1" s="276"/>
      <c r="O1" s="276"/>
      <c r="P1" s="277"/>
      <c r="Q1" s="276"/>
      <c r="R1" s="278"/>
      <c r="S1" s="278"/>
      <c r="T1" s="279"/>
      <c r="U1" s="280"/>
      <c r="V1" s="281"/>
    </row>
    <row r="2">
      <c r="A2" s="276"/>
      <c r="B2" s="276"/>
      <c r="C2" s="276"/>
      <c r="D2" s="276"/>
      <c r="E2" s="276"/>
      <c r="F2" s="276"/>
      <c r="G2" s="276"/>
      <c r="H2" s="276"/>
      <c r="I2" s="282" t="s">
        <v>200</v>
      </c>
      <c r="N2" s="276"/>
      <c r="O2" s="276"/>
      <c r="P2" s="277"/>
      <c r="Q2" s="276"/>
      <c r="R2" s="278"/>
      <c r="S2" s="278"/>
      <c r="T2" s="279"/>
      <c r="U2" s="280"/>
      <c r="V2" s="281"/>
    </row>
    <row r="3">
      <c r="A3" s="276"/>
      <c r="B3" s="276"/>
      <c r="C3" s="276"/>
      <c r="D3" s="276"/>
      <c r="E3" s="276"/>
      <c r="F3" s="276"/>
      <c r="G3" s="276"/>
      <c r="H3" s="276"/>
      <c r="N3" s="276"/>
      <c r="O3" s="276"/>
      <c r="P3" s="277"/>
      <c r="Q3" s="276"/>
      <c r="R3" s="278"/>
      <c r="S3" s="278"/>
      <c r="T3" s="279"/>
      <c r="U3" s="280"/>
      <c r="V3" s="281"/>
    </row>
    <row r="4">
      <c r="A4" s="283"/>
      <c r="B4" s="283"/>
      <c r="C4" s="283"/>
      <c r="D4" s="283"/>
      <c r="E4" s="283"/>
      <c r="F4" s="283"/>
      <c r="G4" s="283"/>
      <c r="H4" s="283"/>
      <c r="I4" s="283"/>
      <c r="J4" s="283"/>
      <c r="K4" s="283"/>
      <c r="L4" s="283"/>
      <c r="M4" s="283"/>
      <c r="N4" s="283"/>
      <c r="O4" s="283"/>
      <c r="P4" s="283"/>
      <c r="Q4" s="283"/>
      <c r="R4" s="284"/>
      <c r="S4" s="284"/>
      <c r="T4" s="285"/>
      <c r="U4" s="280"/>
      <c r="V4" s="281"/>
    </row>
    <row r="5">
      <c r="A5" s="286" t="s">
        <v>201</v>
      </c>
      <c r="B5" s="287"/>
      <c r="C5" s="287"/>
      <c r="D5" s="287"/>
      <c r="E5" s="288"/>
      <c r="F5" s="289" t="s">
        <v>202</v>
      </c>
      <c r="G5" s="290" t="s">
        <v>203</v>
      </c>
      <c r="H5" s="290" t="s">
        <v>204</v>
      </c>
      <c r="I5" s="291" t="s">
        <v>73</v>
      </c>
      <c r="J5" s="291" t="s">
        <v>161</v>
      </c>
      <c r="K5" s="291" t="s">
        <v>205</v>
      </c>
      <c r="L5" s="291" t="s">
        <v>163</v>
      </c>
      <c r="M5" s="292" t="str">
        <f t="shared" ref="M5:T5" si="1">I5</f>
        <v>Bán lẻ</v>
      </c>
      <c r="N5" s="293" t="str">
        <f t="shared" si="1"/>
        <v>Khung 1</v>
      </c>
      <c r="O5" s="293" t="str">
        <f t="shared" si="1"/>
        <v>Khung2</v>
      </c>
      <c r="P5" s="293" t="str">
        <f t="shared" si="1"/>
        <v>Khung 3</v>
      </c>
      <c r="Q5" s="294" t="str">
        <f t="shared" si="1"/>
        <v>Bán lẻ</v>
      </c>
      <c r="R5" s="295" t="str">
        <f t="shared" si="1"/>
        <v>Khung 1</v>
      </c>
      <c r="S5" s="296" t="str">
        <f t="shared" si="1"/>
        <v>Khung2</v>
      </c>
      <c r="T5" s="296" t="str">
        <f t="shared" si="1"/>
        <v>Khung 3</v>
      </c>
      <c r="U5" s="280"/>
      <c r="V5" s="281"/>
    </row>
    <row r="6">
      <c r="A6" s="297"/>
      <c r="E6" s="298"/>
      <c r="F6" s="299"/>
      <c r="G6" s="299"/>
      <c r="H6" s="299"/>
      <c r="I6" s="300"/>
      <c r="J6" s="301" t="s">
        <v>206</v>
      </c>
      <c r="K6" s="301" t="s">
        <v>207</v>
      </c>
      <c r="L6" s="301" t="s">
        <v>208</v>
      </c>
      <c r="M6" s="300"/>
      <c r="N6" s="302" t="str">
        <f t="shared" ref="N6:P6" si="2">J6</f>
        <v>10c/50tr ố Đồng</v>
      </c>
      <c r="O6" s="302" t="str">
        <f t="shared" si="2"/>
        <v>20c/120tr ố Đồng</v>
      </c>
      <c r="P6" s="302" t="str">
        <f t="shared" si="2"/>
        <v>30c/280tr ố Đồng</v>
      </c>
      <c r="Q6" s="300"/>
      <c r="R6" s="303" t="str">
        <f t="shared" ref="R6:T6" si="3">N6</f>
        <v>10c/50tr ố Đồng</v>
      </c>
      <c r="S6" s="303" t="str">
        <f t="shared" si="3"/>
        <v>20c/120tr ố Đồng</v>
      </c>
      <c r="T6" s="303" t="str">
        <f t="shared" si="3"/>
        <v>30c/280tr ố Đồng</v>
      </c>
      <c r="U6" s="304"/>
      <c r="V6" s="305"/>
    </row>
    <row r="7" ht="21.0" customHeight="1">
      <c r="A7" s="306" t="s">
        <v>209</v>
      </c>
      <c r="B7" s="307"/>
      <c r="C7" s="307"/>
      <c r="D7" s="307"/>
      <c r="E7" s="307"/>
      <c r="F7" s="307"/>
      <c r="G7" s="307"/>
      <c r="H7" s="307"/>
      <c r="I7" s="308" t="s">
        <v>210</v>
      </c>
      <c r="J7" s="309"/>
      <c r="K7" s="309"/>
      <c r="L7" s="310"/>
      <c r="M7" s="311" t="s">
        <v>70</v>
      </c>
      <c r="N7" s="309"/>
      <c r="O7" s="309"/>
      <c r="P7" s="310"/>
      <c r="Q7" s="312" t="s">
        <v>71</v>
      </c>
      <c r="R7" s="309"/>
      <c r="S7" s="309"/>
      <c r="T7" s="310"/>
      <c r="U7" s="280"/>
      <c r="V7" s="281"/>
    </row>
    <row r="8">
      <c r="A8" s="313" t="s">
        <v>211</v>
      </c>
      <c r="B8" s="307"/>
      <c r="C8" s="307"/>
      <c r="D8" s="307"/>
      <c r="E8" s="307"/>
      <c r="F8" s="307"/>
      <c r="G8" s="307"/>
      <c r="H8" s="307"/>
      <c r="I8" s="307"/>
      <c r="J8" s="307"/>
      <c r="K8" s="307"/>
      <c r="L8" s="307"/>
      <c r="M8" s="307"/>
      <c r="N8" s="307"/>
      <c r="O8" s="307"/>
      <c r="P8" s="307"/>
      <c r="Q8" s="307"/>
      <c r="R8" s="307"/>
      <c r="S8" s="307"/>
      <c r="T8" s="314"/>
      <c r="U8" s="315"/>
      <c r="V8" s="281"/>
    </row>
    <row r="9">
      <c r="A9" s="316">
        <v>1.0</v>
      </c>
      <c r="B9" s="317" t="s">
        <v>212</v>
      </c>
      <c r="C9" s="318" t="s">
        <v>213</v>
      </c>
      <c r="D9" s="319" t="s">
        <v>214</v>
      </c>
      <c r="E9" s="320"/>
      <c r="F9" s="321" t="s">
        <v>215</v>
      </c>
      <c r="G9" s="321">
        <f t="array" ref="G9">iferror(XLOOKUP(B9,'TỒN'!A:A,'TỒN'!E:E))</f>
        <v>0</v>
      </c>
      <c r="H9" s="321">
        <f t="array" ref="H9">iferror(XLOOKUP(C9,'TỒN'!A:A,'TỒN'!E:E))</f>
        <v>195</v>
      </c>
      <c r="I9" s="322">
        <f t="shared" ref="I9:I16" si="6">ROUND(L9/0.85,-3)</f>
        <v>79000</v>
      </c>
      <c r="J9" s="322">
        <f t="shared" ref="J9:J16" si="7">ROUND(L9/0.93,-3)</f>
        <v>72000</v>
      </c>
      <c r="K9" s="322">
        <f t="shared" ref="K9:K16" si="8">ROUND(L9/0.97,-3)</f>
        <v>69000</v>
      </c>
      <c r="L9" s="323">
        <v>67000.0</v>
      </c>
      <c r="M9" s="322">
        <f t="shared" ref="M9:P9" si="4">IF(ISBLANK(I9),,ROUND(I9/1.1,-1))</f>
        <v>71820</v>
      </c>
      <c r="N9" s="322">
        <f t="shared" si="4"/>
        <v>65450</v>
      </c>
      <c r="O9" s="322">
        <f t="shared" si="4"/>
        <v>62730</v>
      </c>
      <c r="P9" s="323">
        <f t="shared" si="4"/>
        <v>60910</v>
      </c>
      <c r="Q9" s="324">
        <f t="shared" ref="Q9:T9" si="5">IF(ISBLANK(I9),,ROUND(I9*(1-$V9),-3))</f>
        <v>75000</v>
      </c>
      <c r="R9" s="324">
        <f t="shared" si="5"/>
        <v>68000</v>
      </c>
      <c r="S9" s="324">
        <f t="shared" si="5"/>
        <v>66000</v>
      </c>
      <c r="T9" s="325">
        <f t="shared" si="5"/>
        <v>64000</v>
      </c>
      <c r="U9" s="326" t="s">
        <v>216</v>
      </c>
      <c r="V9" s="327">
        <v>0.05</v>
      </c>
    </row>
    <row r="10">
      <c r="A10" s="328">
        <v>2.0</v>
      </c>
      <c r="B10" s="329" t="s">
        <v>217</v>
      </c>
      <c r="C10" s="330" t="s">
        <v>218</v>
      </c>
      <c r="D10" s="331" t="s">
        <v>219</v>
      </c>
      <c r="E10" s="332"/>
      <c r="F10" s="333" t="s">
        <v>215</v>
      </c>
      <c r="G10" s="333">
        <f t="array" ref="G10">iferror(XLOOKUP(B10,'TỒN'!A:A,'TỒN'!E:E))</f>
        <v>0</v>
      </c>
      <c r="H10" s="333">
        <f t="array" ref="H10">iferror(XLOOKUP(C10,'TỒN'!A:A,'TỒN'!E:E))</f>
        <v>109</v>
      </c>
      <c r="I10" s="334">
        <f t="shared" si="6"/>
        <v>92000</v>
      </c>
      <c r="J10" s="334">
        <f t="shared" si="7"/>
        <v>84000</v>
      </c>
      <c r="K10" s="334">
        <f t="shared" si="8"/>
        <v>80000</v>
      </c>
      <c r="L10" s="335">
        <v>78000.0</v>
      </c>
      <c r="M10" s="336">
        <f t="shared" ref="M10:P10" si="9">IF(ISBLANK(I10),,ROUND(I10/1.1,-1))</f>
        <v>83640</v>
      </c>
      <c r="N10" s="336">
        <f t="shared" si="9"/>
        <v>76360</v>
      </c>
      <c r="O10" s="336">
        <f t="shared" si="9"/>
        <v>72730</v>
      </c>
      <c r="P10" s="337">
        <f t="shared" si="9"/>
        <v>70910</v>
      </c>
      <c r="Q10" s="338">
        <f t="shared" ref="Q10:T10" si="10">IF(ISBLANK(I10),,ROUND(I10*(1-$V10),-3))</f>
        <v>87000</v>
      </c>
      <c r="R10" s="338">
        <f t="shared" si="10"/>
        <v>80000</v>
      </c>
      <c r="S10" s="338">
        <f t="shared" si="10"/>
        <v>76000</v>
      </c>
      <c r="T10" s="339">
        <f t="shared" si="10"/>
        <v>74000</v>
      </c>
      <c r="U10" s="326" t="s">
        <v>216</v>
      </c>
      <c r="V10" s="327">
        <v>0.05</v>
      </c>
    </row>
    <row r="11">
      <c r="A11" s="316">
        <v>3.0</v>
      </c>
      <c r="B11" s="317" t="s">
        <v>220</v>
      </c>
      <c r="C11" s="318" t="s">
        <v>221</v>
      </c>
      <c r="D11" s="319" t="s">
        <v>222</v>
      </c>
      <c r="E11" s="320"/>
      <c r="F11" s="321" t="s">
        <v>215</v>
      </c>
      <c r="G11" s="321" t="str">
        <f t="array" ref="G11">iferror(XLOOKUP(B11,'TỒN'!A:A,'TỒN'!E:E))</f>
        <v/>
      </c>
      <c r="H11" s="321">
        <f t="array" ref="H11">iferror(XLOOKUP(C11,'TỒN'!A:A,'TỒN'!E:E))</f>
        <v>158</v>
      </c>
      <c r="I11" s="322">
        <f t="shared" si="6"/>
        <v>99000</v>
      </c>
      <c r="J11" s="322">
        <f t="shared" si="7"/>
        <v>90000</v>
      </c>
      <c r="K11" s="322">
        <f t="shared" si="8"/>
        <v>87000</v>
      </c>
      <c r="L11" s="323">
        <v>84000.0</v>
      </c>
      <c r="M11" s="322">
        <f t="shared" ref="M11:P11" si="11">IF(ISBLANK(I11),,ROUND(I11/1.1,-1))</f>
        <v>90000</v>
      </c>
      <c r="N11" s="322">
        <f t="shared" si="11"/>
        <v>81820</v>
      </c>
      <c r="O11" s="322">
        <f t="shared" si="11"/>
        <v>79090</v>
      </c>
      <c r="P11" s="323">
        <f t="shared" si="11"/>
        <v>76360</v>
      </c>
      <c r="Q11" s="324">
        <f t="shared" ref="Q11:T11" si="12">IF(ISBLANK(I11),,ROUND(I11*(1-$V11),-3))</f>
        <v>94000</v>
      </c>
      <c r="R11" s="324">
        <f t="shared" si="12"/>
        <v>86000</v>
      </c>
      <c r="S11" s="324">
        <f t="shared" si="12"/>
        <v>83000</v>
      </c>
      <c r="T11" s="325">
        <f t="shared" si="12"/>
        <v>80000</v>
      </c>
      <c r="U11" s="326" t="s">
        <v>216</v>
      </c>
      <c r="V11" s="327">
        <v>0.05</v>
      </c>
    </row>
    <row r="12">
      <c r="A12" s="328">
        <v>4.0</v>
      </c>
      <c r="B12" s="329" t="s">
        <v>223</v>
      </c>
      <c r="C12" s="330" t="s">
        <v>224</v>
      </c>
      <c r="D12" s="331" t="s">
        <v>225</v>
      </c>
      <c r="E12" s="332"/>
      <c r="F12" s="333" t="s">
        <v>215</v>
      </c>
      <c r="G12" s="333" t="str">
        <f t="array" ref="G12">iferror(XLOOKUP(B12,'TỒN'!A:A,'TỒN'!E:E))</f>
        <v/>
      </c>
      <c r="H12" s="333">
        <f t="array" ref="H12">iferror(XLOOKUP(C12,'TỒN'!A:A,'TỒN'!E:E))</f>
        <v>62</v>
      </c>
      <c r="I12" s="334">
        <f t="shared" si="6"/>
        <v>115000</v>
      </c>
      <c r="J12" s="334">
        <f t="shared" si="7"/>
        <v>105000</v>
      </c>
      <c r="K12" s="334">
        <f t="shared" si="8"/>
        <v>101000</v>
      </c>
      <c r="L12" s="335">
        <v>98000.0</v>
      </c>
      <c r="M12" s="336">
        <f t="shared" ref="M12:P12" si="13">IF(ISBLANK(I12),,ROUND(I12/1.1,-1))</f>
        <v>104550</v>
      </c>
      <c r="N12" s="336">
        <f t="shared" si="13"/>
        <v>95450</v>
      </c>
      <c r="O12" s="336">
        <f t="shared" si="13"/>
        <v>91820</v>
      </c>
      <c r="P12" s="337">
        <f t="shared" si="13"/>
        <v>89090</v>
      </c>
      <c r="Q12" s="338">
        <f t="shared" ref="Q12:T12" si="14">IF(ISBLANK(I12),,ROUND(I12*(1-$V12),-3))</f>
        <v>109000</v>
      </c>
      <c r="R12" s="338">
        <f t="shared" si="14"/>
        <v>100000</v>
      </c>
      <c r="S12" s="338">
        <f t="shared" si="14"/>
        <v>96000</v>
      </c>
      <c r="T12" s="339">
        <f t="shared" si="14"/>
        <v>93000</v>
      </c>
      <c r="U12" s="326" t="s">
        <v>216</v>
      </c>
      <c r="V12" s="327">
        <v>0.05</v>
      </c>
    </row>
    <row r="13">
      <c r="A13" s="316">
        <v>5.0</v>
      </c>
      <c r="B13" s="317" t="s">
        <v>226</v>
      </c>
      <c r="C13" s="318" t="s">
        <v>227</v>
      </c>
      <c r="D13" s="319" t="s">
        <v>228</v>
      </c>
      <c r="E13" s="320"/>
      <c r="F13" s="321" t="s">
        <v>215</v>
      </c>
      <c r="G13" s="321">
        <f t="array" ref="G13">iferror(XLOOKUP(B13,'TỒN'!A:A,'TỒN'!E:E))</f>
        <v>0</v>
      </c>
      <c r="H13" s="321">
        <f t="array" ref="H13">iferror(XLOOKUP(C13,'TỒN'!A:A,'TỒN'!E:E))</f>
        <v>60</v>
      </c>
      <c r="I13" s="322">
        <f t="shared" si="6"/>
        <v>156000</v>
      </c>
      <c r="J13" s="322">
        <f t="shared" si="7"/>
        <v>143000</v>
      </c>
      <c r="K13" s="322">
        <f t="shared" si="8"/>
        <v>137000</v>
      </c>
      <c r="L13" s="323">
        <v>133000.0</v>
      </c>
      <c r="M13" s="322">
        <f t="shared" ref="M13:P13" si="15">IF(ISBLANK(I13),,ROUND(I13/1.1,-1))</f>
        <v>141820</v>
      </c>
      <c r="N13" s="322">
        <f t="shared" si="15"/>
        <v>130000</v>
      </c>
      <c r="O13" s="322">
        <f t="shared" si="15"/>
        <v>124550</v>
      </c>
      <c r="P13" s="323">
        <f t="shared" si="15"/>
        <v>120910</v>
      </c>
      <c r="Q13" s="324">
        <f t="shared" ref="Q13:T13" si="16">IF(ISBLANK(I13),,ROUND(I13*(1-$V13),-3))</f>
        <v>148000</v>
      </c>
      <c r="R13" s="324">
        <f t="shared" si="16"/>
        <v>136000</v>
      </c>
      <c r="S13" s="324">
        <f t="shared" si="16"/>
        <v>130000</v>
      </c>
      <c r="T13" s="325">
        <f t="shared" si="16"/>
        <v>126000</v>
      </c>
      <c r="U13" s="326" t="s">
        <v>216</v>
      </c>
      <c r="V13" s="327">
        <v>0.05</v>
      </c>
    </row>
    <row r="14">
      <c r="A14" s="328">
        <v>6.0</v>
      </c>
      <c r="B14" s="329" t="s">
        <v>229</v>
      </c>
      <c r="C14" s="330" t="s">
        <v>230</v>
      </c>
      <c r="D14" s="331" t="s">
        <v>231</v>
      </c>
      <c r="E14" s="332"/>
      <c r="F14" s="333" t="s">
        <v>215</v>
      </c>
      <c r="G14" s="333" t="str">
        <f t="array" ref="G14">iferror(XLOOKUP(B14,'TỒN'!A:A,'TỒN'!E:E))</f>
        <v/>
      </c>
      <c r="H14" s="333">
        <f t="array" ref="H14">iferror(XLOOKUP(C14,'TỒN'!A:A,'TỒN'!E:E))</f>
        <v>28</v>
      </c>
      <c r="I14" s="334">
        <f t="shared" si="6"/>
        <v>207000</v>
      </c>
      <c r="J14" s="334">
        <f t="shared" si="7"/>
        <v>189000</v>
      </c>
      <c r="K14" s="334">
        <f t="shared" si="8"/>
        <v>181000</v>
      </c>
      <c r="L14" s="335">
        <v>176000.0</v>
      </c>
      <c r="M14" s="336">
        <f t="shared" ref="M14:P14" si="17">IF(ISBLANK(I14),,ROUND(I14/1.1,-1))</f>
        <v>188180</v>
      </c>
      <c r="N14" s="336">
        <f t="shared" si="17"/>
        <v>171820</v>
      </c>
      <c r="O14" s="336">
        <f t="shared" si="17"/>
        <v>164550</v>
      </c>
      <c r="P14" s="337">
        <f t="shared" si="17"/>
        <v>160000</v>
      </c>
      <c r="Q14" s="338">
        <f t="shared" ref="Q14:T14" si="18">IF(ISBLANK(I14),,ROUND(I14*(1-$V14),-3))</f>
        <v>197000</v>
      </c>
      <c r="R14" s="338">
        <f t="shared" si="18"/>
        <v>180000</v>
      </c>
      <c r="S14" s="338">
        <f t="shared" si="18"/>
        <v>172000</v>
      </c>
      <c r="T14" s="339">
        <f t="shared" si="18"/>
        <v>167000</v>
      </c>
      <c r="U14" s="326" t="s">
        <v>216</v>
      </c>
      <c r="V14" s="327">
        <v>0.05</v>
      </c>
    </row>
    <row r="15">
      <c r="A15" s="316">
        <v>7.0</v>
      </c>
      <c r="B15" s="317" t="s">
        <v>232</v>
      </c>
      <c r="C15" s="318" t="s">
        <v>233</v>
      </c>
      <c r="D15" s="319" t="s">
        <v>234</v>
      </c>
      <c r="E15" s="320"/>
      <c r="F15" s="321" t="s">
        <v>215</v>
      </c>
      <c r="G15" s="321" t="str">
        <f t="array" ref="G15">iferror(XLOOKUP(B15,'TỒN'!A:A,'TỒN'!E:E))</f>
        <v/>
      </c>
      <c r="H15" s="321">
        <f t="array" ref="H15">iferror(XLOOKUP(C15,'TỒN'!A:A,'TỒN'!E:E))</f>
        <v>11</v>
      </c>
      <c r="I15" s="322">
        <f t="shared" si="6"/>
        <v>256000</v>
      </c>
      <c r="J15" s="322">
        <f t="shared" si="7"/>
        <v>234000</v>
      </c>
      <c r="K15" s="322">
        <f t="shared" si="8"/>
        <v>225000</v>
      </c>
      <c r="L15" s="323">
        <v>218000.0</v>
      </c>
      <c r="M15" s="322">
        <f t="shared" ref="M15:P15" si="19">IF(ISBLANK(I15),,ROUND(I15/1.1,-1))</f>
        <v>232730</v>
      </c>
      <c r="N15" s="322">
        <f t="shared" si="19"/>
        <v>212730</v>
      </c>
      <c r="O15" s="322">
        <f t="shared" si="19"/>
        <v>204550</v>
      </c>
      <c r="P15" s="323">
        <f t="shared" si="19"/>
        <v>198180</v>
      </c>
      <c r="Q15" s="324">
        <f t="shared" ref="Q15:T15" si="20">IF(ISBLANK(I15),,ROUND(I15*(1-$V15),-3))</f>
        <v>243000</v>
      </c>
      <c r="R15" s="324">
        <f t="shared" si="20"/>
        <v>222000</v>
      </c>
      <c r="S15" s="324">
        <f t="shared" si="20"/>
        <v>214000</v>
      </c>
      <c r="T15" s="325">
        <f t="shared" si="20"/>
        <v>207000</v>
      </c>
      <c r="U15" s="326" t="s">
        <v>216</v>
      </c>
      <c r="V15" s="327">
        <v>0.05</v>
      </c>
    </row>
    <row r="16">
      <c r="A16" s="328">
        <v>8.0</v>
      </c>
      <c r="B16" s="329" t="s">
        <v>235</v>
      </c>
      <c r="C16" s="330" t="s">
        <v>236</v>
      </c>
      <c r="D16" s="331" t="s">
        <v>237</v>
      </c>
      <c r="E16" s="332"/>
      <c r="F16" s="333" t="s">
        <v>215</v>
      </c>
      <c r="G16" s="333" t="str">
        <f t="array" ref="G16">iferror(XLOOKUP(B16,'TỒN'!A:A,'TỒN'!E:E))</f>
        <v/>
      </c>
      <c r="H16" s="333">
        <f t="array" ref="H16">iferror(XLOOKUP(C16,'TỒN'!A:A,'TỒN'!E:E))</f>
        <v>0</v>
      </c>
      <c r="I16" s="334">
        <f t="shared" si="6"/>
        <v>296000</v>
      </c>
      <c r="J16" s="334">
        <f t="shared" si="7"/>
        <v>271000</v>
      </c>
      <c r="K16" s="334">
        <f t="shared" si="8"/>
        <v>260000</v>
      </c>
      <c r="L16" s="335">
        <v>252000.0</v>
      </c>
      <c r="M16" s="336">
        <f t="shared" ref="M16:P16" si="21">IF(ISBLANK(I16),,ROUND(I16/1.1,-1))</f>
        <v>269090</v>
      </c>
      <c r="N16" s="336">
        <f t="shared" si="21"/>
        <v>246360</v>
      </c>
      <c r="O16" s="336">
        <f t="shared" si="21"/>
        <v>236360</v>
      </c>
      <c r="P16" s="337">
        <f t="shared" si="21"/>
        <v>229090</v>
      </c>
      <c r="Q16" s="338">
        <f t="shared" ref="Q16:T16" si="22">IF(ISBLANK(I16),,ROUND(I16*(1-$V16),-3))</f>
        <v>281000</v>
      </c>
      <c r="R16" s="338">
        <f t="shared" si="22"/>
        <v>257000</v>
      </c>
      <c r="S16" s="338">
        <f t="shared" si="22"/>
        <v>247000</v>
      </c>
      <c r="T16" s="339">
        <f t="shared" si="22"/>
        <v>239000</v>
      </c>
      <c r="U16" s="326" t="s">
        <v>216</v>
      </c>
      <c r="V16" s="327">
        <v>0.05</v>
      </c>
    </row>
    <row r="17">
      <c r="A17" s="313" t="s">
        <v>238</v>
      </c>
      <c r="B17" s="307"/>
      <c r="C17" s="307"/>
      <c r="D17" s="307"/>
      <c r="E17" s="307"/>
      <c r="F17" s="307"/>
      <c r="G17" s="307"/>
      <c r="H17" s="307"/>
      <c r="I17" s="307"/>
      <c r="J17" s="307"/>
      <c r="K17" s="307"/>
      <c r="L17" s="307"/>
      <c r="M17" s="307"/>
      <c r="N17" s="307"/>
      <c r="O17" s="307"/>
      <c r="P17" s="307"/>
      <c r="Q17" s="307"/>
      <c r="R17" s="307"/>
      <c r="S17" s="307"/>
      <c r="T17" s="314"/>
      <c r="U17" s="326" t="s">
        <v>216</v>
      </c>
      <c r="V17" s="281"/>
    </row>
    <row r="18">
      <c r="A18" s="340">
        <v>1.0</v>
      </c>
      <c r="B18" s="318" t="s">
        <v>239</v>
      </c>
      <c r="C18" s="341" t="s">
        <v>240</v>
      </c>
      <c r="D18" s="319" t="s">
        <v>241</v>
      </c>
      <c r="E18" s="320"/>
      <c r="F18" s="342" t="s">
        <v>215</v>
      </c>
      <c r="G18" s="342" t="str">
        <f t="array" ref="G18">iferror(XLOOKUP(B18,'TỒN'!A:A,'TỒN'!E:E))</f>
        <v/>
      </c>
      <c r="H18" s="342">
        <f t="array" ref="H18">iferror(XLOOKUP(C18,'TỒN'!A:A,'TỒN'!E:E))</f>
        <v>0</v>
      </c>
      <c r="I18" s="322">
        <f t="shared" ref="I18:I23" si="25">ROUND(L18/0.85,-3)</f>
        <v>198000</v>
      </c>
      <c r="J18" s="322">
        <f t="shared" ref="J18:J23" si="26">ROUND(L18/0.93,-3)</f>
        <v>181000</v>
      </c>
      <c r="K18" s="322">
        <f t="shared" ref="K18:K23" si="27">ROUND(L18/0.97,-3)</f>
        <v>173000</v>
      </c>
      <c r="L18" s="323">
        <f t="shared" ref="L18:L23" si="28">round(T18*1.05,-3)</f>
        <v>168000</v>
      </c>
      <c r="M18" s="322">
        <f t="shared" ref="M18:P18" si="23">IF(ISBLANK(I18),,ROUND(I18/1.1,-1))</f>
        <v>180000</v>
      </c>
      <c r="N18" s="322">
        <f t="shared" si="23"/>
        <v>164550</v>
      </c>
      <c r="O18" s="322">
        <f t="shared" si="23"/>
        <v>157270</v>
      </c>
      <c r="P18" s="323">
        <f t="shared" si="23"/>
        <v>152730</v>
      </c>
      <c r="Q18" s="324">
        <f t="shared" ref="Q18:S18" si="24">IF(ISBLANK(I18),,ROUND(I18*(1-$V18),-3))</f>
        <v>188000</v>
      </c>
      <c r="R18" s="324">
        <f t="shared" si="24"/>
        <v>172000</v>
      </c>
      <c r="S18" s="324">
        <f t="shared" si="24"/>
        <v>164000</v>
      </c>
      <c r="T18" s="343">
        <v>160000.0</v>
      </c>
      <c r="U18" s="326" t="s">
        <v>216</v>
      </c>
      <c r="V18" s="327">
        <v>0.05</v>
      </c>
    </row>
    <row r="19">
      <c r="A19" s="344">
        <v>2.0</v>
      </c>
      <c r="B19" s="330" t="s">
        <v>242</v>
      </c>
      <c r="C19" s="345" t="s">
        <v>243</v>
      </c>
      <c r="D19" s="331" t="s">
        <v>244</v>
      </c>
      <c r="E19" s="332"/>
      <c r="F19" s="346" t="s">
        <v>215</v>
      </c>
      <c r="G19" s="346" t="str">
        <f t="array" ref="G19">iferror(XLOOKUP(B19,'TỒN'!A:A,'TỒN'!E:E))</f>
        <v/>
      </c>
      <c r="H19" s="346">
        <f t="array" ref="H19">iferror(XLOOKUP(C19,'TỒN'!A:A,'TỒN'!E:E))</f>
        <v>0</v>
      </c>
      <c r="I19" s="334">
        <f t="shared" si="25"/>
        <v>231000</v>
      </c>
      <c r="J19" s="334">
        <f t="shared" si="26"/>
        <v>211000</v>
      </c>
      <c r="K19" s="334">
        <f t="shared" si="27"/>
        <v>202000</v>
      </c>
      <c r="L19" s="335">
        <f t="shared" si="28"/>
        <v>196000</v>
      </c>
      <c r="M19" s="336">
        <f t="shared" ref="M19:P19" si="29">IF(ISBLANK(I19),,ROUND(I19/1.1,-1))</f>
        <v>210000</v>
      </c>
      <c r="N19" s="336">
        <f t="shared" si="29"/>
        <v>191820</v>
      </c>
      <c r="O19" s="336">
        <f t="shared" si="29"/>
        <v>183640</v>
      </c>
      <c r="P19" s="337">
        <f t="shared" si="29"/>
        <v>178180</v>
      </c>
      <c r="Q19" s="338">
        <f t="shared" ref="Q19:S19" si="30">IF(ISBLANK(I19),,ROUND(I19*(1-$V19),-3))</f>
        <v>219000</v>
      </c>
      <c r="R19" s="338">
        <f t="shared" si="30"/>
        <v>200000</v>
      </c>
      <c r="S19" s="338">
        <f t="shared" si="30"/>
        <v>192000</v>
      </c>
      <c r="T19" s="347">
        <v>187000.0</v>
      </c>
      <c r="U19" s="326" t="s">
        <v>216</v>
      </c>
      <c r="V19" s="327">
        <v>0.05</v>
      </c>
    </row>
    <row r="20">
      <c r="A20" s="340">
        <v>3.0</v>
      </c>
      <c r="B20" s="318" t="s">
        <v>245</v>
      </c>
      <c r="C20" s="341" t="s">
        <v>246</v>
      </c>
      <c r="D20" s="319" t="s">
        <v>247</v>
      </c>
      <c r="E20" s="320"/>
      <c r="F20" s="342" t="s">
        <v>215</v>
      </c>
      <c r="G20" s="342" t="str">
        <f t="array" ref="G20">iferror(XLOOKUP(B20,'TỒN'!A:A,'TỒN'!E:E))</f>
        <v/>
      </c>
      <c r="H20" s="342" t="str">
        <f t="array" ref="H20">iferror(XLOOKUP(C20,'TỒN'!A:A,'TỒN'!E:E))</f>
        <v/>
      </c>
      <c r="I20" s="322">
        <f t="shared" si="25"/>
        <v>287000</v>
      </c>
      <c r="J20" s="322">
        <f t="shared" si="26"/>
        <v>262000</v>
      </c>
      <c r="K20" s="322">
        <f t="shared" si="27"/>
        <v>252000</v>
      </c>
      <c r="L20" s="323">
        <f t="shared" si="28"/>
        <v>244000</v>
      </c>
      <c r="M20" s="322">
        <f t="shared" ref="M20:P20" si="31">IF(ISBLANK(I20),,ROUND(I20/1.1,-1))</f>
        <v>260910</v>
      </c>
      <c r="N20" s="322">
        <f t="shared" si="31"/>
        <v>238180</v>
      </c>
      <c r="O20" s="322">
        <f t="shared" si="31"/>
        <v>229090</v>
      </c>
      <c r="P20" s="323">
        <f t="shared" si="31"/>
        <v>221820</v>
      </c>
      <c r="Q20" s="324">
        <f t="shared" ref="Q20:S20" si="32">IF(ISBLANK(I20),,ROUND(I20*(1-$V20),-3))</f>
        <v>273000</v>
      </c>
      <c r="R20" s="324">
        <f t="shared" si="32"/>
        <v>249000</v>
      </c>
      <c r="S20" s="324">
        <f t="shared" si="32"/>
        <v>239000</v>
      </c>
      <c r="T20" s="343">
        <v>232000.0</v>
      </c>
      <c r="U20" s="326" t="s">
        <v>216</v>
      </c>
      <c r="V20" s="327">
        <v>0.05</v>
      </c>
    </row>
    <row r="21">
      <c r="A21" s="344">
        <v>4.0</v>
      </c>
      <c r="B21" s="330" t="s">
        <v>248</v>
      </c>
      <c r="C21" s="345" t="s">
        <v>249</v>
      </c>
      <c r="D21" s="331" t="s">
        <v>250</v>
      </c>
      <c r="E21" s="332"/>
      <c r="F21" s="346" t="s">
        <v>215</v>
      </c>
      <c r="G21" s="346" t="str">
        <f t="array" ref="G21">iferror(XLOOKUP(B21,'TỒN'!A:A,'TỒN'!E:E))</f>
        <v/>
      </c>
      <c r="H21" s="346" t="str">
        <f t="array" ref="H21">iferror(XLOOKUP(C21,'TỒN'!A:A,'TỒN'!E:E))</f>
        <v/>
      </c>
      <c r="I21" s="334">
        <f t="shared" si="25"/>
        <v>346000</v>
      </c>
      <c r="J21" s="334">
        <f t="shared" si="26"/>
        <v>316000</v>
      </c>
      <c r="K21" s="334">
        <f t="shared" si="27"/>
        <v>303000</v>
      </c>
      <c r="L21" s="335">
        <f t="shared" si="28"/>
        <v>294000</v>
      </c>
      <c r="M21" s="336">
        <f t="shared" ref="M21:P21" si="33">IF(ISBLANK(I21),,ROUND(I21/1.1,-1))</f>
        <v>314550</v>
      </c>
      <c r="N21" s="336">
        <f t="shared" si="33"/>
        <v>287270</v>
      </c>
      <c r="O21" s="336">
        <f t="shared" si="33"/>
        <v>275450</v>
      </c>
      <c r="P21" s="337">
        <f t="shared" si="33"/>
        <v>267270</v>
      </c>
      <c r="Q21" s="338">
        <f t="shared" ref="Q21:S21" si="34">IF(ISBLANK(I21),,ROUND(I21*(1-$V21),-3))</f>
        <v>329000</v>
      </c>
      <c r="R21" s="338">
        <f t="shared" si="34"/>
        <v>300000</v>
      </c>
      <c r="S21" s="338">
        <f t="shared" si="34"/>
        <v>288000</v>
      </c>
      <c r="T21" s="347">
        <v>280000.0</v>
      </c>
      <c r="U21" s="326" t="s">
        <v>216</v>
      </c>
      <c r="V21" s="327">
        <v>0.05</v>
      </c>
    </row>
    <row r="22">
      <c r="A22" s="340">
        <v>5.0</v>
      </c>
      <c r="B22" s="318" t="s">
        <v>251</v>
      </c>
      <c r="C22" s="341" t="s">
        <v>252</v>
      </c>
      <c r="D22" s="319" t="s">
        <v>253</v>
      </c>
      <c r="E22" s="320"/>
      <c r="F22" s="342" t="s">
        <v>215</v>
      </c>
      <c r="G22" s="342" t="str">
        <f t="array" ref="G22">iferror(XLOOKUP(B22,'TỒN'!A:A,'TỒN'!E:E))</f>
        <v/>
      </c>
      <c r="H22" s="342">
        <f t="array" ref="H22">iferror(XLOOKUP(C22,'TỒN'!A:A,'TỒN'!E:E))</f>
        <v>0</v>
      </c>
      <c r="I22" s="322">
        <f t="shared" si="25"/>
        <v>465000</v>
      </c>
      <c r="J22" s="322">
        <f t="shared" si="26"/>
        <v>425000</v>
      </c>
      <c r="K22" s="322">
        <f t="shared" si="27"/>
        <v>407000</v>
      </c>
      <c r="L22" s="323">
        <f t="shared" si="28"/>
        <v>395000</v>
      </c>
      <c r="M22" s="322">
        <f t="shared" ref="M22:P22" si="35">IF(ISBLANK(I22),,ROUND(I22/1.1,-1))</f>
        <v>422730</v>
      </c>
      <c r="N22" s="322">
        <f t="shared" si="35"/>
        <v>386360</v>
      </c>
      <c r="O22" s="322">
        <f t="shared" si="35"/>
        <v>370000</v>
      </c>
      <c r="P22" s="323">
        <f t="shared" si="35"/>
        <v>359090</v>
      </c>
      <c r="Q22" s="324">
        <f t="shared" ref="Q22:S22" si="36">IF(ISBLANK(I22),,ROUND(I22*(1-$V22),-3))</f>
        <v>442000</v>
      </c>
      <c r="R22" s="324">
        <f t="shared" si="36"/>
        <v>404000</v>
      </c>
      <c r="S22" s="324">
        <f t="shared" si="36"/>
        <v>387000</v>
      </c>
      <c r="T22" s="343">
        <v>376000.0</v>
      </c>
      <c r="U22" s="326" t="s">
        <v>216</v>
      </c>
      <c r="V22" s="327">
        <v>0.05</v>
      </c>
    </row>
    <row r="23">
      <c r="A23" s="344">
        <v>6.0</v>
      </c>
      <c r="B23" s="330" t="s">
        <v>254</v>
      </c>
      <c r="C23" s="345" t="s">
        <v>255</v>
      </c>
      <c r="D23" s="331" t="s">
        <v>256</v>
      </c>
      <c r="E23" s="332"/>
      <c r="F23" s="346" t="s">
        <v>215</v>
      </c>
      <c r="G23" s="346" t="str">
        <f t="array" ref="G23">iferror(XLOOKUP(B23,'TỒN'!A:A,'TỒN'!E:E))</f>
        <v/>
      </c>
      <c r="H23" s="346" t="str">
        <f t="array" ref="H23">iferror(XLOOKUP(C23,'TỒN'!A:A,'TỒN'!E:E))</f>
        <v/>
      </c>
      <c r="I23" s="334">
        <f t="shared" si="25"/>
        <v>551000</v>
      </c>
      <c r="J23" s="334">
        <f t="shared" si="26"/>
        <v>503000</v>
      </c>
      <c r="K23" s="334">
        <f t="shared" si="27"/>
        <v>482000</v>
      </c>
      <c r="L23" s="335">
        <f t="shared" si="28"/>
        <v>468000</v>
      </c>
      <c r="M23" s="336">
        <f t="shared" ref="M23:P23" si="37">IF(ISBLANK(I23),,ROUND(I23/1.1,-1))</f>
        <v>500910</v>
      </c>
      <c r="N23" s="336">
        <f t="shared" si="37"/>
        <v>457270</v>
      </c>
      <c r="O23" s="336">
        <f t="shared" si="37"/>
        <v>438180</v>
      </c>
      <c r="P23" s="337">
        <f t="shared" si="37"/>
        <v>425450</v>
      </c>
      <c r="Q23" s="338">
        <f t="shared" ref="Q23:S23" si="38">IF(ISBLANK(I23),,ROUND(I23*(1-$V23),-3))</f>
        <v>523000</v>
      </c>
      <c r="R23" s="338">
        <f t="shared" si="38"/>
        <v>478000</v>
      </c>
      <c r="S23" s="338">
        <f t="shared" si="38"/>
        <v>458000</v>
      </c>
      <c r="T23" s="347">
        <v>446000.0</v>
      </c>
      <c r="U23" s="326" t="s">
        <v>216</v>
      </c>
      <c r="V23" s="327">
        <v>0.05</v>
      </c>
    </row>
    <row r="24">
      <c r="A24" s="340">
        <v>7.0</v>
      </c>
      <c r="B24" s="318" t="s">
        <v>257</v>
      </c>
      <c r="C24" s="341" t="s">
        <v>258</v>
      </c>
      <c r="D24" s="319" t="s">
        <v>259</v>
      </c>
      <c r="E24" s="320"/>
      <c r="F24" s="342" t="s">
        <v>215</v>
      </c>
      <c r="G24" s="342" t="str">
        <f t="array" ref="G24">iferror(XLOOKUP(B24,'TỒN'!A:A,'TỒN'!E:E))</f>
        <v/>
      </c>
      <c r="H24" s="342" t="str">
        <f t="array" ref="H24">iferror(XLOOKUP(C24,'TỒN'!A:A,'TỒN'!E:E))</f>
        <v/>
      </c>
      <c r="I24" s="322"/>
      <c r="J24" s="322"/>
      <c r="K24" s="322"/>
      <c r="L24" s="348"/>
      <c r="M24" s="322"/>
      <c r="N24" s="322"/>
      <c r="O24" s="322"/>
      <c r="P24" s="323"/>
      <c r="Q24" s="324"/>
      <c r="R24" s="324"/>
      <c r="S24" s="324"/>
      <c r="T24" s="325"/>
      <c r="U24" s="326" t="s">
        <v>216</v>
      </c>
      <c r="V24" s="327">
        <v>0.05</v>
      </c>
    </row>
    <row r="25">
      <c r="A25" s="313" t="s">
        <v>260</v>
      </c>
      <c r="B25" s="307"/>
      <c r="C25" s="307"/>
      <c r="D25" s="307"/>
      <c r="E25" s="307"/>
      <c r="F25" s="307"/>
      <c r="G25" s="307"/>
      <c r="H25" s="307"/>
      <c r="I25" s="307"/>
      <c r="J25" s="307"/>
      <c r="K25" s="307"/>
      <c r="L25" s="307"/>
      <c r="M25" s="307"/>
      <c r="N25" s="307"/>
      <c r="O25" s="307"/>
      <c r="P25" s="307"/>
      <c r="Q25" s="307"/>
      <c r="R25" s="307"/>
      <c r="S25" s="307"/>
      <c r="T25" s="314"/>
      <c r="U25" s="326" t="s">
        <v>216</v>
      </c>
      <c r="V25" s="281"/>
    </row>
    <row r="26">
      <c r="A26" s="316">
        <v>1.0</v>
      </c>
      <c r="B26" s="317" t="s">
        <v>261</v>
      </c>
      <c r="C26" s="318" t="s">
        <v>262</v>
      </c>
      <c r="D26" s="319" t="s">
        <v>263</v>
      </c>
      <c r="E26" s="320"/>
      <c r="F26" s="321" t="s">
        <v>215</v>
      </c>
      <c r="G26" s="321">
        <f t="array" ref="G26">iferror(XLOOKUP(B26,'TỒN'!A:A,'TỒN'!E:E))</f>
        <v>0</v>
      </c>
      <c r="H26" s="321">
        <f t="array" ref="H26">iferror(XLOOKUP(C26,'TỒN'!A:A,'TỒN'!E:E))</f>
        <v>25</v>
      </c>
      <c r="I26" s="322">
        <f t="shared" ref="I26:I33" si="41">ROUND(L26/0.85,-3)</f>
        <v>181000</v>
      </c>
      <c r="J26" s="322">
        <f t="shared" ref="J26:J33" si="42">ROUND(L26/0.93,-3)</f>
        <v>166000</v>
      </c>
      <c r="K26" s="322">
        <f t="shared" ref="K26:K33" si="43">ROUND(L26/0.97,-3)</f>
        <v>159000</v>
      </c>
      <c r="L26" s="323">
        <v>154000.0</v>
      </c>
      <c r="M26" s="322">
        <f t="shared" ref="M26:P26" si="39">IF(ISBLANK(I26),,ROUND(I26/1.1,-1))</f>
        <v>164550</v>
      </c>
      <c r="N26" s="322">
        <f t="shared" si="39"/>
        <v>150910</v>
      </c>
      <c r="O26" s="322">
        <f t="shared" si="39"/>
        <v>144550</v>
      </c>
      <c r="P26" s="323">
        <f t="shared" si="39"/>
        <v>140000</v>
      </c>
      <c r="Q26" s="324">
        <f t="shared" ref="Q26:T26" si="40">IF(ISBLANK(I26),,ROUND(I26*(1-$V26),-3))</f>
        <v>172000</v>
      </c>
      <c r="R26" s="324">
        <f t="shared" si="40"/>
        <v>158000</v>
      </c>
      <c r="S26" s="324">
        <f t="shared" si="40"/>
        <v>151000</v>
      </c>
      <c r="T26" s="325">
        <f t="shared" si="40"/>
        <v>146000</v>
      </c>
      <c r="U26" s="326" t="s">
        <v>216</v>
      </c>
      <c r="V26" s="327">
        <v>0.05</v>
      </c>
    </row>
    <row r="27">
      <c r="A27" s="328">
        <v>2.0</v>
      </c>
      <c r="B27" s="329" t="s">
        <v>264</v>
      </c>
      <c r="C27" s="330" t="s">
        <v>265</v>
      </c>
      <c r="D27" s="331" t="s">
        <v>266</v>
      </c>
      <c r="E27" s="332"/>
      <c r="F27" s="333" t="s">
        <v>215</v>
      </c>
      <c r="G27" s="333" t="str">
        <f t="array" ref="G27">iferror(XLOOKUP(B27,'TỒN'!A:A,'TỒN'!E:E))</f>
        <v/>
      </c>
      <c r="H27" s="333" t="str">
        <f t="array" ref="H27">iferror(XLOOKUP(C27,'TỒN'!A:A,'TỒN'!E:E))</f>
        <v/>
      </c>
      <c r="I27" s="334">
        <f t="shared" si="41"/>
        <v>216000</v>
      </c>
      <c r="J27" s="334">
        <f t="shared" si="42"/>
        <v>198000</v>
      </c>
      <c r="K27" s="334">
        <f t="shared" si="43"/>
        <v>190000</v>
      </c>
      <c r="L27" s="335">
        <v>184000.0</v>
      </c>
      <c r="M27" s="336">
        <f t="shared" ref="M27:P27" si="44">IF(ISBLANK(I27),,ROUND(I27/1.1,-1))</f>
        <v>196360</v>
      </c>
      <c r="N27" s="336">
        <f t="shared" si="44"/>
        <v>180000</v>
      </c>
      <c r="O27" s="336">
        <f t="shared" si="44"/>
        <v>172730</v>
      </c>
      <c r="P27" s="337">
        <f t="shared" si="44"/>
        <v>167270</v>
      </c>
      <c r="Q27" s="338">
        <f t="shared" ref="Q27:T27" si="45">IF(ISBLANK(I27),,ROUND(I27*(1-$V27),-3))</f>
        <v>205000</v>
      </c>
      <c r="R27" s="338">
        <f t="shared" si="45"/>
        <v>188000</v>
      </c>
      <c r="S27" s="338">
        <f t="shared" si="45"/>
        <v>181000</v>
      </c>
      <c r="T27" s="339">
        <f t="shared" si="45"/>
        <v>175000</v>
      </c>
      <c r="U27" s="326" t="s">
        <v>216</v>
      </c>
      <c r="V27" s="327">
        <v>0.05</v>
      </c>
    </row>
    <row r="28">
      <c r="A28" s="316">
        <v>3.0</v>
      </c>
      <c r="B28" s="317" t="s">
        <v>267</v>
      </c>
      <c r="C28" s="318" t="s">
        <v>268</v>
      </c>
      <c r="D28" s="319" t="s">
        <v>269</v>
      </c>
      <c r="E28" s="320"/>
      <c r="F28" s="321" t="s">
        <v>215</v>
      </c>
      <c r="G28" s="321">
        <f t="array" ref="G28">iferror(XLOOKUP(B28,'TỒN'!A:A,'TỒN'!E:E))</f>
        <v>50</v>
      </c>
      <c r="H28" s="321">
        <f t="array" ref="H28">iferror(XLOOKUP(C28,'TỒN'!A:A,'TỒN'!E:E))</f>
        <v>132</v>
      </c>
      <c r="I28" s="322">
        <f t="shared" si="41"/>
        <v>238000</v>
      </c>
      <c r="J28" s="322">
        <f t="shared" si="42"/>
        <v>217000</v>
      </c>
      <c r="K28" s="322">
        <f t="shared" si="43"/>
        <v>208000</v>
      </c>
      <c r="L28" s="323">
        <v>202000.0</v>
      </c>
      <c r="M28" s="322">
        <f t="shared" ref="M28:P28" si="46">IF(ISBLANK(I28),,ROUND(I28/1.1,-1))</f>
        <v>216360</v>
      </c>
      <c r="N28" s="322">
        <f t="shared" si="46"/>
        <v>197270</v>
      </c>
      <c r="O28" s="322">
        <f t="shared" si="46"/>
        <v>189090</v>
      </c>
      <c r="P28" s="323">
        <f t="shared" si="46"/>
        <v>183640</v>
      </c>
      <c r="Q28" s="324">
        <f t="shared" ref="Q28:T28" si="47">IF(ISBLANK(I28),,ROUND(I28*(1-$V28),-3))</f>
        <v>226000</v>
      </c>
      <c r="R28" s="324">
        <f t="shared" si="47"/>
        <v>206000</v>
      </c>
      <c r="S28" s="324">
        <f t="shared" si="47"/>
        <v>198000</v>
      </c>
      <c r="T28" s="325">
        <f t="shared" si="47"/>
        <v>192000</v>
      </c>
      <c r="U28" s="326" t="s">
        <v>216</v>
      </c>
      <c r="V28" s="327">
        <v>0.05</v>
      </c>
    </row>
    <row r="29">
      <c r="A29" s="328">
        <v>4.0</v>
      </c>
      <c r="B29" s="329" t="s">
        <v>270</v>
      </c>
      <c r="C29" s="330" t="s">
        <v>271</v>
      </c>
      <c r="D29" s="331" t="s">
        <v>272</v>
      </c>
      <c r="E29" s="332"/>
      <c r="F29" s="333" t="s">
        <v>215</v>
      </c>
      <c r="G29" s="333">
        <f t="array" ref="G29">iferror(XLOOKUP(B29,'TỒN'!A:A,'TỒN'!E:E))</f>
        <v>104</v>
      </c>
      <c r="H29" s="333">
        <f t="array" ref="H29">iferror(XLOOKUP(C29,'TỒN'!A:A,'TỒN'!E:E))</f>
        <v>110</v>
      </c>
      <c r="I29" s="334">
        <f t="shared" si="41"/>
        <v>293000</v>
      </c>
      <c r="J29" s="334">
        <f t="shared" si="42"/>
        <v>268000</v>
      </c>
      <c r="K29" s="334">
        <f t="shared" si="43"/>
        <v>257000</v>
      </c>
      <c r="L29" s="335">
        <v>249000.0</v>
      </c>
      <c r="M29" s="336">
        <f t="shared" ref="M29:P29" si="48">IF(ISBLANK(I29),,ROUND(I29/1.1,-1))</f>
        <v>266360</v>
      </c>
      <c r="N29" s="336">
        <f t="shared" si="48"/>
        <v>243640</v>
      </c>
      <c r="O29" s="336">
        <f t="shared" si="48"/>
        <v>233640</v>
      </c>
      <c r="P29" s="337">
        <f t="shared" si="48"/>
        <v>226360</v>
      </c>
      <c r="Q29" s="338">
        <f t="shared" ref="Q29:T29" si="49">IF(ISBLANK(I29),,ROUND(I29*(1-$V29),-3))</f>
        <v>278000</v>
      </c>
      <c r="R29" s="338">
        <f t="shared" si="49"/>
        <v>255000</v>
      </c>
      <c r="S29" s="338">
        <f t="shared" si="49"/>
        <v>244000</v>
      </c>
      <c r="T29" s="339">
        <f t="shared" si="49"/>
        <v>237000</v>
      </c>
      <c r="U29" s="326" t="s">
        <v>216</v>
      </c>
      <c r="V29" s="327">
        <v>0.05</v>
      </c>
    </row>
    <row r="30">
      <c r="A30" s="316">
        <v>5.0</v>
      </c>
      <c r="B30" s="317" t="s">
        <v>273</v>
      </c>
      <c r="C30" s="318" t="s">
        <v>274</v>
      </c>
      <c r="D30" s="319" t="s">
        <v>275</v>
      </c>
      <c r="E30" s="320"/>
      <c r="F30" s="321" t="s">
        <v>215</v>
      </c>
      <c r="G30" s="321">
        <f t="array" ref="G30">iferror(XLOOKUP(B30,'TỒN'!A:A,'TỒN'!E:E))</f>
        <v>50</v>
      </c>
      <c r="H30" s="321">
        <f t="array" ref="H30">iferror(XLOOKUP(C30,'TỒN'!A:A,'TỒN'!E:E))</f>
        <v>149</v>
      </c>
      <c r="I30" s="322">
        <f t="shared" si="41"/>
        <v>386000</v>
      </c>
      <c r="J30" s="322">
        <f t="shared" si="42"/>
        <v>353000</v>
      </c>
      <c r="K30" s="322">
        <f t="shared" si="43"/>
        <v>338000</v>
      </c>
      <c r="L30" s="323">
        <v>328000.0</v>
      </c>
      <c r="M30" s="322">
        <f t="shared" ref="M30:P30" si="50">IF(ISBLANK(I30),,ROUND(I30/1.1,-1))</f>
        <v>350910</v>
      </c>
      <c r="N30" s="322">
        <f t="shared" si="50"/>
        <v>320910</v>
      </c>
      <c r="O30" s="322">
        <f t="shared" si="50"/>
        <v>307270</v>
      </c>
      <c r="P30" s="323">
        <f t="shared" si="50"/>
        <v>298180</v>
      </c>
      <c r="Q30" s="324">
        <f t="shared" ref="Q30:T30" si="51">IF(ISBLANK(I30),,ROUND(I30*(1-$V30),-3))</f>
        <v>367000</v>
      </c>
      <c r="R30" s="324">
        <f t="shared" si="51"/>
        <v>335000</v>
      </c>
      <c r="S30" s="324">
        <f t="shared" si="51"/>
        <v>321000</v>
      </c>
      <c r="T30" s="325">
        <f t="shared" si="51"/>
        <v>312000</v>
      </c>
      <c r="U30" s="326" t="s">
        <v>216</v>
      </c>
      <c r="V30" s="327">
        <v>0.05</v>
      </c>
    </row>
    <row r="31">
      <c r="A31" s="328">
        <v>6.0</v>
      </c>
      <c r="B31" s="329" t="s">
        <v>276</v>
      </c>
      <c r="C31" s="330" t="s">
        <v>277</v>
      </c>
      <c r="D31" s="331" t="s">
        <v>278</v>
      </c>
      <c r="E31" s="332"/>
      <c r="F31" s="333" t="s">
        <v>215</v>
      </c>
      <c r="G31" s="333">
        <f t="array" ref="G31">iferror(XLOOKUP(B31,'TỒN'!A:A,'TỒN'!E:E))</f>
        <v>16</v>
      </c>
      <c r="H31" s="333">
        <f t="array" ref="H31">iferror(XLOOKUP(C31,'TỒN'!A:A,'TỒN'!E:E))</f>
        <v>109</v>
      </c>
      <c r="I31" s="334">
        <f t="shared" si="41"/>
        <v>473000</v>
      </c>
      <c r="J31" s="334">
        <f t="shared" si="42"/>
        <v>432000</v>
      </c>
      <c r="K31" s="334">
        <f t="shared" si="43"/>
        <v>414000</v>
      </c>
      <c r="L31" s="335">
        <v>402000.0</v>
      </c>
      <c r="M31" s="336">
        <f t="shared" ref="M31:P31" si="52">IF(ISBLANK(I31),,ROUND(I31/1.1,-1))</f>
        <v>430000</v>
      </c>
      <c r="N31" s="336">
        <f t="shared" si="52"/>
        <v>392730</v>
      </c>
      <c r="O31" s="336">
        <f t="shared" si="52"/>
        <v>376360</v>
      </c>
      <c r="P31" s="337">
        <f t="shared" si="52"/>
        <v>365450</v>
      </c>
      <c r="Q31" s="338">
        <f t="shared" ref="Q31:T31" si="53">IF(ISBLANK(I31),,ROUND(I31*(1-$V31),-3))</f>
        <v>449000</v>
      </c>
      <c r="R31" s="338">
        <f t="shared" si="53"/>
        <v>410000</v>
      </c>
      <c r="S31" s="338">
        <f t="shared" si="53"/>
        <v>393000</v>
      </c>
      <c r="T31" s="339">
        <f t="shared" si="53"/>
        <v>382000</v>
      </c>
      <c r="U31" s="326" t="s">
        <v>216</v>
      </c>
      <c r="V31" s="327">
        <v>0.05</v>
      </c>
    </row>
    <row r="32">
      <c r="A32" s="316">
        <v>7.0</v>
      </c>
      <c r="B32" s="317" t="s">
        <v>279</v>
      </c>
      <c r="C32" s="318" t="s">
        <v>280</v>
      </c>
      <c r="D32" s="319" t="s">
        <v>281</v>
      </c>
      <c r="E32" s="320"/>
      <c r="F32" s="321" t="s">
        <v>215</v>
      </c>
      <c r="G32" s="321" t="str">
        <f t="array" ref="G32">iferror(XLOOKUP(B32,'TỒN'!A:A,'TỒN'!E:E))</f>
        <v/>
      </c>
      <c r="H32" s="321">
        <f t="array" ref="H32">iferror(XLOOKUP(C32,'TỒN'!A:A,'TỒN'!E:E))</f>
        <v>48</v>
      </c>
      <c r="I32" s="322">
        <f t="shared" si="41"/>
        <v>574000</v>
      </c>
      <c r="J32" s="322">
        <f t="shared" si="42"/>
        <v>525000</v>
      </c>
      <c r="K32" s="322">
        <f t="shared" si="43"/>
        <v>503000</v>
      </c>
      <c r="L32" s="323">
        <v>488000.0</v>
      </c>
      <c r="M32" s="322">
        <f t="shared" ref="M32:P32" si="54">IF(ISBLANK(I32),,ROUND(I32/1.1,-1))</f>
        <v>521820</v>
      </c>
      <c r="N32" s="322">
        <f t="shared" si="54"/>
        <v>477270</v>
      </c>
      <c r="O32" s="322">
        <f t="shared" si="54"/>
        <v>457270</v>
      </c>
      <c r="P32" s="323">
        <f t="shared" si="54"/>
        <v>443640</v>
      </c>
      <c r="Q32" s="324">
        <f t="shared" ref="Q32:T32" si="55">IF(ISBLANK(I32),,ROUND(I32*(1-$V32),-3))</f>
        <v>545000</v>
      </c>
      <c r="R32" s="324">
        <f t="shared" si="55"/>
        <v>499000</v>
      </c>
      <c r="S32" s="324">
        <f t="shared" si="55"/>
        <v>478000</v>
      </c>
      <c r="T32" s="325">
        <f t="shared" si="55"/>
        <v>464000</v>
      </c>
      <c r="U32" s="326" t="s">
        <v>216</v>
      </c>
      <c r="V32" s="327">
        <v>0.05</v>
      </c>
    </row>
    <row r="33">
      <c r="A33" s="328">
        <v>8.0</v>
      </c>
      <c r="B33" s="329" t="s">
        <v>282</v>
      </c>
      <c r="C33" s="330" t="s">
        <v>283</v>
      </c>
      <c r="D33" s="331" t="s">
        <v>284</v>
      </c>
      <c r="E33" s="332"/>
      <c r="F33" s="333" t="s">
        <v>215</v>
      </c>
      <c r="G33" s="333" t="str">
        <f t="array" ref="G33">iferror(XLOOKUP(B33,'TỒN'!A:A,'TỒN'!E:E))</f>
        <v/>
      </c>
      <c r="H33" s="333">
        <f t="array" ref="H33">iferror(XLOOKUP(C33,'TỒN'!A:A,'TỒN'!E:E))</f>
        <v>0</v>
      </c>
      <c r="I33" s="334">
        <f t="shared" si="41"/>
        <v>680000</v>
      </c>
      <c r="J33" s="334">
        <f t="shared" si="42"/>
        <v>622000</v>
      </c>
      <c r="K33" s="334">
        <f t="shared" si="43"/>
        <v>596000</v>
      </c>
      <c r="L33" s="335">
        <v>578000.0</v>
      </c>
      <c r="M33" s="336">
        <f t="shared" ref="M33:P33" si="56">IF(ISBLANK(I33),,ROUND(I33/1.1,-1))</f>
        <v>618180</v>
      </c>
      <c r="N33" s="336">
        <f t="shared" si="56"/>
        <v>565450</v>
      </c>
      <c r="O33" s="336">
        <f t="shared" si="56"/>
        <v>541820</v>
      </c>
      <c r="P33" s="337">
        <f t="shared" si="56"/>
        <v>525450</v>
      </c>
      <c r="Q33" s="338">
        <f t="shared" ref="Q33:T33" si="57">IF(ISBLANK(I33),,ROUND(I33*(1-$V33),-3))</f>
        <v>646000</v>
      </c>
      <c r="R33" s="338">
        <f t="shared" si="57"/>
        <v>591000</v>
      </c>
      <c r="S33" s="338">
        <f t="shared" si="57"/>
        <v>566000</v>
      </c>
      <c r="T33" s="339">
        <f t="shared" si="57"/>
        <v>549000</v>
      </c>
      <c r="U33" s="326" t="s">
        <v>216</v>
      </c>
      <c r="V33" s="327">
        <v>0.05</v>
      </c>
    </row>
    <row r="34">
      <c r="A34" s="316">
        <v>9.0</v>
      </c>
      <c r="B34" s="317" t="s">
        <v>285</v>
      </c>
      <c r="C34" s="318" t="s">
        <v>286</v>
      </c>
      <c r="D34" s="319" t="s">
        <v>287</v>
      </c>
      <c r="E34" s="320"/>
      <c r="F34" s="321" t="s">
        <v>215</v>
      </c>
      <c r="G34" s="349" t="str">
        <f t="array" ref="G34">iferror(XLOOKUP(B34,'TỒN'!A:A,'TỒN'!E:E))</f>
        <v/>
      </c>
      <c r="H34" s="349" t="str">
        <f t="array" ref="H34">iferror(XLOOKUP(C34,'TỒN'!A:A,'TỒN'!E:E))</f>
        <v/>
      </c>
      <c r="I34" s="322"/>
      <c r="J34" s="322"/>
      <c r="K34" s="322"/>
      <c r="L34" s="348"/>
      <c r="M34" s="350"/>
      <c r="N34" s="322"/>
      <c r="O34" s="351"/>
      <c r="P34" s="352"/>
      <c r="Q34" s="324"/>
      <c r="R34" s="324"/>
      <c r="S34" s="324"/>
      <c r="T34" s="325"/>
      <c r="U34" s="326" t="s">
        <v>216</v>
      </c>
      <c r="V34" s="327">
        <v>0.05</v>
      </c>
    </row>
    <row r="35">
      <c r="A35" s="313" t="s">
        <v>288</v>
      </c>
      <c r="B35" s="307"/>
      <c r="C35" s="307"/>
      <c r="D35" s="307"/>
      <c r="E35" s="307"/>
      <c r="F35" s="307"/>
      <c r="G35" s="307"/>
      <c r="H35" s="307"/>
      <c r="I35" s="307"/>
      <c r="J35" s="307"/>
      <c r="K35" s="307"/>
      <c r="L35" s="307"/>
      <c r="M35" s="307"/>
      <c r="N35" s="307"/>
      <c r="O35" s="307"/>
      <c r="P35" s="307"/>
      <c r="Q35" s="307"/>
      <c r="R35" s="307"/>
      <c r="S35" s="307"/>
      <c r="T35" s="314"/>
      <c r="U35" s="353"/>
      <c r="V35" s="281"/>
    </row>
    <row r="36">
      <c r="A36" s="328">
        <v>1.0</v>
      </c>
      <c r="B36" s="354" t="s">
        <v>289</v>
      </c>
      <c r="C36" s="354" t="s">
        <v>290</v>
      </c>
      <c r="D36" s="331" t="s">
        <v>263</v>
      </c>
      <c r="E36" s="332"/>
      <c r="F36" s="333" t="s">
        <v>215</v>
      </c>
      <c r="G36" s="333" t="str">
        <f t="array" ref="G36">iferror(XLOOKUP(B36,'TỒN'!A:A,'TỒN'!E:E))</f>
        <v/>
      </c>
      <c r="H36" s="333" t="str">
        <f t="array" ref="H36">iferror(XLOOKUP(C36,'TỒN'!A:A,'TỒN'!E:E))</f>
        <v/>
      </c>
      <c r="I36" s="334">
        <f t="shared" ref="I36:I43" si="60">ROUND(L36/0.85,-3)</f>
        <v>214000</v>
      </c>
      <c r="J36" s="334">
        <f t="shared" ref="J36:J43" si="61">ROUND(L36/0.93,-3)</f>
        <v>196000</v>
      </c>
      <c r="K36" s="334">
        <f t="shared" ref="K36:K43" si="62">ROUND(L36/0.97,-3)</f>
        <v>188000</v>
      </c>
      <c r="L36" s="355">
        <v>182000.0</v>
      </c>
      <c r="M36" s="336">
        <f t="shared" ref="M36:P36" si="58">IF(ISBLANK(I36),,ROUND(I36/1.1,-1))</f>
        <v>194550</v>
      </c>
      <c r="N36" s="336">
        <f t="shared" si="58"/>
        <v>178180</v>
      </c>
      <c r="O36" s="336">
        <f t="shared" si="58"/>
        <v>170910</v>
      </c>
      <c r="P36" s="337">
        <f t="shared" si="58"/>
        <v>165450</v>
      </c>
      <c r="Q36" s="324">
        <f t="shared" ref="Q36:T36" si="59">IF(ISBLANK(I36),,ROUND(I36*(1-$V36),-3))</f>
        <v>203000</v>
      </c>
      <c r="R36" s="324">
        <f t="shared" si="59"/>
        <v>186000</v>
      </c>
      <c r="S36" s="324">
        <f t="shared" si="59"/>
        <v>179000</v>
      </c>
      <c r="T36" s="325">
        <f t="shared" si="59"/>
        <v>173000</v>
      </c>
      <c r="U36" s="353"/>
      <c r="V36" s="327">
        <v>0.05</v>
      </c>
    </row>
    <row r="37">
      <c r="A37" s="356">
        <v>2.0</v>
      </c>
      <c r="B37" s="357" t="s">
        <v>291</v>
      </c>
      <c r="C37" s="357" t="s">
        <v>292</v>
      </c>
      <c r="D37" s="319" t="s">
        <v>269</v>
      </c>
      <c r="E37" s="320"/>
      <c r="F37" s="321" t="s">
        <v>215</v>
      </c>
      <c r="G37" s="321" t="str">
        <f t="array" ref="G37">iferror(XLOOKUP(B37,'TỒN'!A:A,'TỒN'!E:E))</f>
        <v/>
      </c>
      <c r="H37" s="321" t="str">
        <f t="array" ref="H37">iferror(XLOOKUP(C37,'TỒN'!A:A,'TỒN'!E:E))</f>
        <v/>
      </c>
      <c r="I37" s="322">
        <f t="shared" si="60"/>
        <v>265000</v>
      </c>
      <c r="J37" s="322">
        <f t="shared" si="61"/>
        <v>242000</v>
      </c>
      <c r="K37" s="322">
        <f t="shared" si="62"/>
        <v>232000</v>
      </c>
      <c r="L37" s="348">
        <v>225000.0</v>
      </c>
      <c r="M37" s="322">
        <f t="shared" ref="M37:P37" si="63">IF(ISBLANK(I37),,ROUND(I37/1.1,-1))</f>
        <v>240910</v>
      </c>
      <c r="N37" s="322">
        <f t="shared" si="63"/>
        <v>220000</v>
      </c>
      <c r="O37" s="322">
        <f t="shared" si="63"/>
        <v>210910</v>
      </c>
      <c r="P37" s="323">
        <f t="shared" si="63"/>
        <v>204550</v>
      </c>
      <c r="Q37" s="338">
        <f t="shared" ref="Q37:T37" si="64">IF(ISBLANK(I37),,ROUND(I37*(1-$V37),-3))</f>
        <v>252000</v>
      </c>
      <c r="R37" s="338">
        <f t="shared" si="64"/>
        <v>230000</v>
      </c>
      <c r="S37" s="338">
        <f t="shared" si="64"/>
        <v>220000</v>
      </c>
      <c r="T37" s="339">
        <f t="shared" si="64"/>
        <v>214000</v>
      </c>
      <c r="U37" s="353"/>
      <c r="V37" s="327">
        <v>0.05</v>
      </c>
    </row>
    <row r="38">
      <c r="A38" s="328">
        <v>3.0</v>
      </c>
      <c r="B38" s="354" t="s">
        <v>293</v>
      </c>
      <c r="C38" s="354" t="s">
        <v>294</v>
      </c>
      <c r="D38" s="331" t="s">
        <v>272</v>
      </c>
      <c r="E38" s="332"/>
      <c r="F38" s="333" t="s">
        <v>215</v>
      </c>
      <c r="G38" s="333">
        <f t="array" ref="G38">iferror(XLOOKUP(B38,'TỒN'!A:A,'TỒN'!E:E))</f>
        <v>0</v>
      </c>
      <c r="H38" s="333" t="str">
        <f t="array" ref="H38">iferror(XLOOKUP(C38,'TỒN'!A:A,'TỒN'!E:E))</f>
        <v/>
      </c>
      <c r="I38" s="334">
        <f t="shared" si="60"/>
        <v>308000</v>
      </c>
      <c r="J38" s="334">
        <f t="shared" si="61"/>
        <v>282000</v>
      </c>
      <c r="K38" s="334">
        <f t="shared" si="62"/>
        <v>270000</v>
      </c>
      <c r="L38" s="355">
        <v>262000.0</v>
      </c>
      <c r="M38" s="336">
        <f t="shared" ref="M38:P38" si="65">IF(ISBLANK(I38),,ROUND(I38/1.1,-1))</f>
        <v>280000</v>
      </c>
      <c r="N38" s="336">
        <f t="shared" si="65"/>
        <v>256360</v>
      </c>
      <c r="O38" s="336">
        <f t="shared" si="65"/>
        <v>245450</v>
      </c>
      <c r="P38" s="337">
        <f t="shared" si="65"/>
        <v>238180</v>
      </c>
      <c r="Q38" s="324">
        <f t="shared" ref="Q38:T38" si="66">IF(ISBLANK(I38),,ROUND(I38*(1-$V38),-3))</f>
        <v>293000</v>
      </c>
      <c r="R38" s="324">
        <f t="shared" si="66"/>
        <v>268000</v>
      </c>
      <c r="S38" s="324">
        <f t="shared" si="66"/>
        <v>257000</v>
      </c>
      <c r="T38" s="325">
        <f t="shared" si="66"/>
        <v>249000</v>
      </c>
      <c r="U38" s="353"/>
      <c r="V38" s="327">
        <v>0.05</v>
      </c>
    </row>
    <row r="39">
      <c r="A39" s="356">
        <v>4.0</v>
      </c>
      <c r="B39" s="357" t="s">
        <v>295</v>
      </c>
      <c r="C39" s="357" t="s">
        <v>296</v>
      </c>
      <c r="D39" s="319" t="s">
        <v>275</v>
      </c>
      <c r="E39" s="320"/>
      <c r="F39" s="321" t="s">
        <v>215</v>
      </c>
      <c r="G39" s="321">
        <f t="array" ref="G39">iferror(XLOOKUP(B39,'TỒN'!A:A,'TỒN'!E:E))</f>
        <v>0</v>
      </c>
      <c r="H39" s="321" t="str">
        <f t="array" ref="H39">iferror(XLOOKUP(C39,'TỒN'!A:A,'TỒN'!E:E))</f>
        <v/>
      </c>
      <c r="I39" s="322">
        <f t="shared" si="60"/>
        <v>391000</v>
      </c>
      <c r="J39" s="322">
        <f t="shared" si="61"/>
        <v>357000</v>
      </c>
      <c r="K39" s="322">
        <f t="shared" si="62"/>
        <v>342000</v>
      </c>
      <c r="L39" s="348">
        <v>332000.0</v>
      </c>
      <c r="M39" s="322">
        <f t="shared" ref="M39:P39" si="67">IF(ISBLANK(I39),,ROUND(I39/1.1,-1))</f>
        <v>355450</v>
      </c>
      <c r="N39" s="322">
        <f t="shared" si="67"/>
        <v>324550</v>
      </c>
      <c r="O39" s="322">
        <f t="shared" si="67"/>
        <v>310910</v>
      </c>
      <c r="P39" s="323">
        <f t="shared" si="67"/>
        <v>301820</v>
      </c>
      <c r="Q39" s="338">
        <f t="shared" ref="Q39:T39" si="68">IF(ISBLANK(I39),,ROUND(I39*(1-$V39),-3))</f>
        <v>371000</v>
      </c>
      <c r="R39" s="338">
        <f t="shared" si="68"/>
        <v>339000</v>
      </c>
      <c r="S39" s="338">
        <f t="shared" si="68"/>
        <v>325000</v>
      </c>
      <c r="T39" s="339">
        <f t="shared" si="68"/>
        <v>315000</v>
      </c>
      <c r="U39" s="353"/>
      <c r="V39" s="327">
        <v>0.05</v>
      </c>
    </row>
    <row r="40">
      <c r="A40" s="328">
        <v>5.0</v>
      </c>
      <c r="B40" s="354" t="s">
        <v>297</v>
      </c>
      <c r="C40" s="354" t="s">
        <v>298</v>
      </c>
      <c r="D40" s="331" t="s">
        <v>278</v>
      </c>
      <c r="E40" s="332"/>
      <c r="F40" s="333" t="s">
        <v>215</v>
      </c>
      <c r="G40" s="333">
        <f t="array" ref="G40">iferror(XLOOKUP(B40,'TỒN'!A:A,'TỒN'!E:E))</f>
        <v>0</v>
      </c>
      <c r="H40" s="333" t="str">
        <f t="array" ref="H40">iferror(XLOOKUP(C40,'TỒN'!A:A,'TỒN'!E:E))</f>
        <v/>
      </c>
      <c r="I40" s="334">
        <f t="shared" si="60"/>
        <v>504000</v>
      </c>
      <c r="J40" s="334">
        <f t="shared" si="61"/>
        <v>460000</v>
      </c>
      <c r="K40" s="334">
        <f t="shared" si="62"/>
        <v>441000</v>
      </c>
      <c r="L40" s="355">
        <v>428000.0</v>
      </c>
      <c r="M40" s="336">
        <f t="shared" ref="M40:P40" si="69">IF(ISBLANK(I40),,ROUND(I40/1.1,-1))</f>
        <v>458180</v>
      </c>
      <c r="N40" s="336">
        <f t="shared" si="69"/>
        <v>418180</v>
      </c>
      <c r="O40" s="336">
        <f t="shared" si="69"/>
        <v>400910</v>
      </c>
      <c r="P40" s="337">
        <f t="shared" si="69"/>
        <v>389090</v>
      </c>
      <c r="Q40" s="324">
        <f t="shared" ref="Q40:T40" si="70">IF(ISBLANK(I40),,ROUND(I40*(1-$V40),-3))</f>
        <v>479000</v>
      </c>
      <c r="R40" s="324">
        <f t="shared" si="70"/>
        <v>437000</v>
      </c>
      <c r="S40" s="324">
        <f t="shared" si="70"/>
        <v>419000</v>
      </c>
      <c r="T40" s="325">
        <f t="shared" si="70"/>
        <v>407000</v>
      </c>
      <c r="U40" s="353"/>
      <c r="V40" s="327">
        <v>0.05</v>
      </c>
    </row>
    <row r="41">
      <c r="A41" s="356">
        <v>6.0</v>
      </c>
      <c r="B41" s="357" t="s">
        <v>299</v>
      </c>
      <c r="C41" s="357" t="s">
        <v>300</v>
      </c>
      <c r="D41" s="319" t="s">
        <v>281</v>
      </c>
      <c r="E41" s="320"/>
      <c r="F41" s="321" t="s">
        <v>215</v>
      </c>
      <c r="G41" s="321" t="str">
        <f t="array" ref="G41">iferror(XLOOKUP(B41,'TỒN'!A:A,'TỒN'!E:E))</f>
        <v/>
      </c>
      <c r="H41" s="321" t="str">
        <f t="array" ref="H41">iferror(XLOOKUP(C41,'TỒN'!A:A,'TỒN'!E:E))</f>
        <v/>
      </c>
      <c r="I41" s="322">
        <f t="shared" si="60"/>
        <v>549000</v>
      </c>
      <c r="J41" s="322">
        <f t="shared" si="61"/>
        <v>502000</v>
      </c>
      <c r="K41" s="322">
        <f t="shared" si="62"/>
        <v>481000</v>
      </c>
      <c r="L41" s="348">
        <v>467000.0</v>
      </c>
      <c r="M41" s="322">
        <f t="shared" ref="M41:P41" si="71">IF(ISBLANK(I41),,ROUND(I41/1.1,-1))</f>
        <v>499090</v>
      </c>
      <c r="N41" s="322">
        <f t="shared" si="71"/>
        <v>456360</v>
      </c>
      <c r="O41" s="322">
        <f t="shared" si="71"/>
        <v>437270</v>
      </c>
      <c r="P41" s="323">
        <f t="shared" si="71"/>
        <v>424550</v>
      </c>
      <c r="Q41" s="338">
        <f t="shared" ref="Q41:T41" si="72">IF(ISBLANK(I41),,ROUND(I41*(1-$V41),-3))</f>
        <v>522000</v>
      </c>
      <c r="R41" s="338">
        <f t="shared" si="72"/>
        <v>477000</v>
      </c>
      <c r="S41" s="338">
        <f t="shared" si="72"/>
        <v>457000</v>
      </c>
      <c r="T41" s="339">
        <f t="shared" si="72"/>
        <v>444000</v>
      </c>
      <c r="U41" s="353"/>
      <c r="V41" s="327">
        <v>0.05</v>
      </c>
    </row>
    <row r="42">
      <c r="A42" s="328">
        <v>7.0</v>
      </c>
      <c r="B42" s="354" t="s">
        <v>301</v>
      </c>
      <c r="C42" s="354" t="s">
        <v>302</v>
      </c>
      <c r="D42" s="331" t="s">
        <v>284</v>
      </c>
      <c r="E42" s="332"/>
      <c r="F42" s="333" t="s">
        <v>215</v>
      </c>
      <c r="G42" s="333" t="str">
        <f t="array" ref="G42">iferror(XLOOKUP(B42,'TỒN'!A:A,'TỒN'!E:E))</f>
        <v/>
      </c>
      <c r="H42" s="333" t="str">
        <f t="array" ref="H42">iferror(XLOOKUP(C42,'TỒN'!A:A,'TỒN'!E:E))</f>
        <v/>
      </c>
      <c r="I42" s="334">
        <f t="shared" si="60"/>
        <v>641000</v>
      </c>
      <c r="J42" s="334">
        <f t="shared" si="61"/>
        <v>586000</v>
      </c>
      <c r="K42" s="334">
        <f t="shared" si="62"/>
        <v>562000</v>
      </c>
      <c r="L42" s="355">
        <v>545000.0</v>
      </c>
      <c r="M42" s="336">
        <f t="shared" ref="M42:P42" si="73">IF(ISBLANK(I42),,ROUND(I42/1.1,-1))</f>
        <v>582730</v>
      </c>
      <c r="N42" s="336">
        <f t="shared" si="73"/>
        <v>532730</v>
      </c>
      <c r="O42" s="336">
        <f t="shared" si="73"/>
        <v>510910</v>
      </c>
      <c r="P42" s="337">
        <f t="shared" si="73"/>
        <v>495450</v>
      </c>
      <c r="Q42" s="324">
        <f t="shared" ref="Q42:T42" si="74">IF(ISBLANK(I42),,ROUND(I42*(1-$V42),-3))</f>
        <v>609000</v>
      </c>
      <c r="R42" s="324">
        <f t="shared" si="74"/>
        <v>557000</v>
      </c>
      <c r="S42" s="324">
        <f t="shared" si="74"/>
        <v>534000</v>
      </c>
      <c r="T42" s="325">
        <f t="shared" si="74"/>
        <v>518000</v>
      </c>
      <c r="U42" s="353"/>
      <c r="V42" s="327">
        <v>0.05</v>
      </c>
    </row>
    <row r="43">
      <c r="A43" s="316">
        <v>8.0</v>
      </c>
      <c r="B43" s="317" t="s">
        <v>303</v>
      </c>
      <c r="C43" s="318" t="s">
        <v>304</v>
      </c>
      <c r="D43" s="319" t="s">
        <v>287</v>
      </c>
      <c r="E43" s="320"/>
      <c r="F43" s="321" t="s">
        <v>215</v>
      </c>
      <c r="G43" s="349" t="str">
        <f t="array" ref="G43">iferror(XLOOKUP(B43,'TỒN'!A:A,'TỒN'!E:E))</f>
        <v/>
      </c>
      <c r="H43" s="349" t="str">
        <f t="array" ref="H43">iferror(XLOOKUP(C43,'TỒN'!A:A,'TỒN'!E:E))</f>
        <v/>
      </c>
      <c r="I43" s="322">
        <f t="shared" si="60"/>
        <v>854000</v>
      </c>
      <c r="J43" s="322">
        <f t="shared" si="61"/>
        <v>781000</v>
      </c>
      <c r="K43" s="322">
        <f t="shared" si="62"/>
        <v>748000</v>
      </c>
      <c r="L43" s="348">
        <v>726000.0</v>
      </c>
      <c r="M43" s="350">
        <f t="shared" ref="M43:P43" si="75">IF(ISBLANK(I43),,ROUND(I43/1.1,-1))</f>
        <v>776360</v>
      </c>
      <c r="N43" s="322">
        <f t="shared" si="75"/>
        <v>710000</v>
      </c>
      <c r="O43" s="351">
        <f t="shared" si="75"/>
        <v>680000</v>
      </c>
      <c r="P43" s="352">
        <f t="shared" si="75"/>
        <v>660000</v>
      </c>
      <c r="Q43" s="324">
        <f t="shared" ref="Q43:T43" si="76">IF(ISBLANK(I43),,ROUND(I43*(1-$V43),-3))</f>
        <v>811000</v>
      </c>
      <c r="R43" s="324">
        <f t="shared" si="76"/>
        <v>742000</v>
      </c>
      <c r="S43" s="324">
        <f t="shared" si="76"/>
        <v>711000</v>
      </c>
      <c r="T43" s="325">
        <f t="shared" si="76"/>
        <v>690000</v>
      </c>
      <c r="U43" s="353"/>
      <c r="V43" s="327">
        <v>0.05</v>
      </c>
    </row>
    <row r="44">
      <c r="A44" s="358"/>
      <c r="B44" s="52" t="s">
        <v>305</v>
      </c>
      <c r="R44" s="359"/>
      <c r="S44" s="359"/>
      <c r="T44" s="360"/>
      <c r="U44" s="353"/>
      <c r="V44" s="281"/>
    </row>
    <row r="45">
      <c r="A45" s="361">
        <v>1.0</v>
      </c>
      <c r="B45" s="362"/>
      <c r="C45" s="362"/>
      <c r="D45" s="363"/>
      <c r="E45" s="359"/>
      <c r="F45" s="359"/>
      <c r="G45" s="359"/>
      <c r="H45" s="359"/>
      <c r="I45" s="359"/>
      <c r="J45" s="359"/>
      <c r="K45" s="359"/>
      <c r="L45" s="360"/>
      <c r="M45" s="359"/>
      <c r="N45" s="359"/>
      <c r="O45" s="359"/>
      <c r="P45" s="360"/>
      <c r="Q45" s="359"/>
      <c r="R45" s="359"/>
      <c r="S45" s="359"/>
      <c r="T45" s="360"/>
      <c r="U45" s="353"/>
      <c r="V45" s="281"/>
    </row>
    <row r="46">
      <c r="B46" s="362" t="s">
        <v>306</v>
      </c>
      <c r="C46" s="362"/>
      <c r="D46" s="363"/>
      <c r="E46" s="363"/>
      <c r="F46" s="363"/>
      <c r="G46" s="363"/>
      <c r="H46" s="363"/>
      <c r="I46" s="363"/>
      <c r="J46" s="363"/>
      <c r="K46" s="363"/>
      <c r="L46" s="364"/>
      <c r="M46" s="363"/>
      <c r="N46" s="359"/>
      <c r="O46" s="359"/>
      <c r="P46" s="360"/>
      <c r="Q46" s="359"/>
      <c r="R46" s="359"/>
      <c r="S46" s="359"/>
      <c r="T46" s="360"/>
      <c r="U46" s="353"/>
      <c r="V46" s="281"/>
    </row>
    <row r="47">
      <c r="A47" s="361">
        <v>2.0</v>
      </c>
      <c r="B47" s="362" t="s">
        <v>307</v>
      </c>
      <c r="C47" s="362"/>
      <c r="D47" s="363"/>
      <c r="E47" s="363"/>
      <c r="F47" s="359"/>
      <c r="G47" s="359"/>
      <c r="H47" s="359"/>
      <c r="I47" s="359"/>
      <c r="J47" s="359"/>
      <c r="K47" s="359"/>
      <c r="L47" s="360"/>
      <c r="M47" s="359"/>
      <c r="N47" s="359"/>
      <c r="O47" s="359"/>
      <c r="P47" s="360"/>
      <c r="Q47" s="359"/>
      <c r="R47" s="359"/>
      <c r="S47" s="359"/>
      <c r="T47" s="360"/>
      <c r="U47" s="353"/>
      <c r="V47" s="281"/>
    </row>
    <row r="48">
      <c r="A48" s="361">
        <v>3.0</v>
      </c>
      <c r="B48" s="362" t="s">
        <v>308</v>
      </c>
      <c r="C48" s="362"/>
      <c r="D48" s="363"/>
      <c r="E48" s="363"/>
      <c r="F48" s="363"/>
      <c r="G48" s="363"/>
      <c r="H48" s="363"/>
      <c r="I48" s="363"/>
      <c r="J48" s="363"/>
      <c r="K48" s="363"/>
      <c r="L48" s="360"/>
      <c r="M48" s="359"/>
      <c r="N48" s="359"/>
      <c r="O48" s="359"/>
      <c r="P48" s="360"/>
      <c r="Q48" s="359"/>
      <c r="R48" s="359"/>
      <c r="S48" s="359"/>
      <c r="T48" s="360"/>
      <c r="U48" s="353"/>
      <c r="V48" s="281"/>
    </row>
    <row r="49">
      <c r="A49" s="365"/>
      <c r="B49" s="365"/>
      <c r="C49" s="365"/>
      <c r="D49" s="366"/>
      <c r="E49" s="365"/>
      <c r="F49" s="365"/>
      <c r="G49" s="365"/>
      <c r="H49" s="365"/>
      <c r="I49" s="366"/>
      <c r="J49" s="366"/>
      <c r="K49" s="366"/>
      <c r="L49" s="367"/>
      <c r="M49" s="366"/>
      <c r="N49" s="368"/>
      <c r="O49" s="368"/>
      <c r="P49" s="369"/>
      <c r="Q49" s="284"/>
      <c r="R49" s="284"/>
      <c r="S49" s="284"/>
      <c r="T49" s="285"/>
      <c r="U49" s="280"/>
      <c r="V49" s="281"/>
    </row>
    <row r="50">
      <c r="A50" s="365"/>
      <c r="B50" s="365"/>
      <c r="C50" s="365"/>
      <c r="D50" s="366"/>
      <c r="E50" s="365"/>
      <c r="F50" s="365"/>
      <c r="G50" s="365"/>
      <c r="H50" s="365"/>
      <c r="I50" s="366"/>
      <c r="J50" s="366"/>
      <c r="K50" s="366"/>
      <c r="L50" s="367"/>
      <c r="M50" s="366"/>
      <c r="N50" s="368"/>
      <c r="O50" s="368"/>
      <c r="P50" s="369"/>
      <c r="Q50" s="284"/>
      <c r="R50" s="284"/>
      <c r="S50" s="284"/>
      <c r="T50" s="285"/>
      <c r="U50" s="280"/>
      <c r="V50" s="281"/>
    </row>
    <row r="51">
      <c r="A51" s="365"/>
      <c r="B51" s="365"/>
      <c r="C51" s="365"/>
      <c r="D51" s="366"/>
      <c r="E51" s="365"/>
      <c r="F51" s="365"/>
      <c r="G51" s="365"/>
      <c r="H51" s="365"/>
      <c r="I51" s="366"/>
      <c r="J51" s="366"/>
      <c r="K51" s="366"/>
      <c r="L51" s="367"/>
      <c r="M51" s="366"/>
      <c r="N51" s="368"/>
      <c r="O51" s="368"/>
      <c r="P51" s="369"/>
      <c r="Q51" s="284"/>
      <c r="R51" s="284"/>
      <c r="S51" s="284"/>
      <c r="T51" s="285"/>
      <c r="U51" s="280"/>
      <c r="V51" s="281"/>
    </row>
    <row r="52">
      <c r="A52" s="370"/>
      <c r="B52" s="370"/>
      <c r="C52" s="370"/>
      <c r="D52" s="371"/>
      <c r="E52" s="370"/>
      <c r="F52" s="370"/>
      <c r="G52" s="370"/>
      <c r="H52" s="370"/>
      <c r="I52" s="371"/>
      <c r="J52" s="371"/>
      <c r="K52" s="371"/>
      <c r="L52" s="372"/>
      <c r="M52" s="371"/>
      <c r="N52" s="373"/>
      <c r="O52" s="373"/>
      <c r="P52" s="374"/>
      <c r="Q52" s="375"/>
      <c r="R52" s="375"/>
      <c r="S52" s="375"/>
      <c r="T52" s="376"/>
      <c r="U52" s="377"/>
      <c r="V52" s="378"/>
    </row>
    <row r="53">
      <c r="A53" s="365"/>
      <c r="B53" s="365"/>
      <c r="C53" s="365"/>
      <c r="D53" s="366"/>
      <c r="E53" s="365"/>
      <c r="F53" s="365"/>
      <c r="G53" s="365"/>
      <c r="H53" s="365"/>
      <c r="I53" s="366"/>
      <c r="J53" s="366"/>
      <c r="K53" s="366"/>
      <c r="L53" s="367"/>
      <c r="M53" s="366"/>
      <c r="N53" s="368"/>
      <c r="O53" s="368"/>
      <c r="P53" s="369"/>
      <c r="Q53" s="284"/>
      <c r="R53" s="284"/>
      <c r="S53" s="284"/>
      <c r="T53" s="285"/>
      <c r="U53" s="280"/>
      <c r="V53" s="281"/>
    </row>
    <row r="54">
      <c r="A54" s="365"/>
      <c r="B54" s="365"/>
      <c r="C54" s="365"/>
      <c r="D54" s="366"/>
      <c r="E54" s="365"/>
      <c r="F54" s="365"/>
      <c r="G54" s="365"/>
      <c r="H54" s="365"/>
      <c r="I54" s="366"/>
      <c r="J54" s="366"/>
      <c r="K54" s="366"/>
      <c r="L54" s="367"/>
      <c r="M54" s="366"/>
      <c r="N54" s="368"/>
      <c r="O54" s="368"/>
      <c r="P54" s="369"/>
      <c r="Q54" s="284"/>
      <c r="R54" s="284"/>
      <c r="S54" s="284"/>
      <c r="T54" s="285"/>
      <c r="U54" s="280"/>
      <c r="V54" s="281"/>
    </row>
    <row r="55">
      <c r="A55" s="365"/>
      <c r="B55" s="365"/>
      <c r="C55" s="365"/>
      <c r="D55" s="366"/>
      <c r="E55" s="365"/>
      <c r="F55" s="365"/>
      <c r="G55" s="365"/>
      <c r="H55" s="365"/>
      <c r="I55" s="366"/>
      <c r="J55" s="366"/>
      <c r="K55" s="366"/>
      <c r="L55" s="367"/>
      <c r="M55" s="366"/>
      <c r="N55" s="368"/>
      <c r="O55" s="368"/>
      <c r="P55" s="369"/>
      <c r="Q55" s="284"/>
      <c r="R55" s="284"/>
      <c r="S55" s="284"/>
      <c r="T55" s="285"/>
      <c r="U55" s="280"/>
      <c r="V55" s="281"/>
    </row>
    <row r="56">
      <c r="A56" s="365"/>
      <c r="B56" s="365"/>
      <c r="C56" s="365"/>
      <c r="D56" s="366"/>
      <c r="E56" s="365"/>
      <c r="F56" s="365"/>
      <c r="G56" s="365"/>
      <c r="H56" s="365"/>
      <c r="I56" s="366"/>
      <c r="J56" s="366"/>
      <c r="K56" s="366"/>
      <c r="L56" s="367"/>
      <c r="M56" s="366"/>
      <c r="N56" s="368"/>
      <c r="O56" s="368"/>
      <c r="P56" s="369"/>
      <c r="Q56" s="284"/>
      <c r="R56" s="284"/>
      <c r="S56" s="284"/>
      <c r="T56" s="285"/>
      <c r="U56" s="280"/>
      <c r="V56" s="281"/>
    </row>
    <row r="57">
      <c r="A57" s="365"/>
      <c r="B57" s="365"/>
      <c r="C57" s="365"/>
      <c r="D57" s="366"/>
      <c r="E57" s="365"/>
      <c r="F57" s="365"/>
      <c r="G57" s="365"/>
      <c r="H57" s="365"/>
      <c r="I57" s="366"/>
      <c r="J57" s="366"/>
      <c r="K57" s="366"/>
      <c r="L57" s="367"/>
      <c r="M57" s="366"/>
      <c r="N57" s="368"/>
      <c r="O57" s="368"/>
      <c r="P57" s="369"/>
      <c r="Q57" s="284"/>
      <c r="R57" s="284"/>
      <c r="S57" s="284"/>
      <c r="T57" s="285"/>
      <c r="U57" s="280"/>
      <c r="V57" s="281"/>
    </row>
    <row r="58">
      <c r="A58" s="365"/>
      <c r="B58" s="365"/>
      <c r="C58" s="365"/>
      <c r="D58" s="366"/>
      <c r="E58" s="365"/>
      <c r="F58" s="365"/>
      <c r="G58" s="365"/>
      <c r="H58" s="365"/>
      <c r="I58" s="366"/>
      <c r="J58" s="366"/>
      <c r="K58" s="366"/>
      <c r="L58" s="367"/>
      <c r="M58" s="366"/>
      <c r="N58" s="368"/>
      <c r="O58" s="368"/>
      <c r="P58" s="369"/>
      <c r="Q58" s="284"/>
      <c r="R58" s="284"/>
      <c r="S58" s="284"/>
      <c r="T58" s="285"/>
      <c r="U58" s="280"/>
      <c r="V58" s="281"/>
    </row>
    <row r="59">
      <c r="A59" s="365"/>
      <c r="B59" s="365"/>
      <c r="C59" s="365"/>
      <c r="D59" s="366"/>
      <c r="E59" s="365"/>
      <c r="F59" s="365"/>
      <c r="G59" s="365"/>
      <c r="H59" s="365"/>
      <c r="I59" s="366"/>
      <c r="J59" s="366"/>
      <c r="K59" s="366"/>
      <c r="L59" s="367"/>
      <c r="M59" s="366"/>
      <c r="N59" s="368"/>
      <c r="O59" s="368"/>
      <c r="P59" s="369"/>
      <c r="Q59" s="284"/>
      <c r="R59" s="284"/>
      <c r="S59" s="284"/>
      <c r="T59" s="285"/>
      <c r="U59" s="280"/>
      <c r="V59" s="281"/>
    </row>
    <row r="60">
      <c r="A60" s="365"/>
      <c r="B60" s="365"/>
      <c r="C60" s="365"/>
      <c r="D60" s="366"/>
      <c r="E60" s="365"/>
      <c r="F60" s="365"/>
      <c r="G60" s="365"/>
      <c r="H60" s="365"/>
      <c r="I60" s="366"/>
      <c r="J60" s="366"/>
      <c r="K60" s="366"/>
      <c r="L60" s="367"/>
      <c r="M60" s="366"/>
      <c r="N60" s="368"/>
      <c r="O60" s="368"/>
      <c r="P60" s="369"/>
      <c r="Q60" s="284"/>
      <c r="R60" s="284"/>
      <c r="S60" s="284"/>
      <c r="T60" s="285"/>
      <c r="U60" s="280"/>
      <c r="V60" s="281"/>
    </row>
    <row r="61">
      <c r="A61" s="379"/>
      <c r="B61" s="380"/>
      <c r="C61" s="380"/>
      <c r="D61" s="381" t="s">
        <v>309</v>
      </c>
      <c r="E61" s="380"/>
      <c r="F61" s="380"/>
      <c r="G61" s="380"/>
      <c r="H61" s="380"/>
      <c r="I61" s="382"/>
      <c r="J61" s="382"/>
      <c r="K61" s="382"/>
      <c r="L61" s="383"/>
      <c r="M61" s="382"/>
      <c r="N61" s="368"/>
      <c r="O61" s="368"/>
      <c r="P61" s="369"/>
      <c r="Q61" s="284"/>
      <c r="R61" s="284"/>
      <c r="S61" s="284"/>
      <c r="T61" s="285"/>
      <c r="U61" s="280"/>
      <c r="V61" s="281"/>
    </row>
    <row r="62">
      <c r="A62" s="384" t="s">
        <v>310</v>
      </c>
      <c r="B62" s="384" t="s">
        <v>311</v>
      </c>
      <c r="C62" s="384"/>
      <c r="D62" s="384" t="s">
        <v>312</v>
      </c>
      <c r="F62" s="384" t="s">
        <v>202</v>
      </c>
      <c r="G62" s="384"/>
      <c r="H62" s="384"/>
      <c r="I62" s="384"/>
      <c r="J62" s="384" t="s">
        <v>313</v>
      </c>
      <c r="K62" s="385" t="s">
        <v>161</v>
      </c>
      <c r="L62" s="385"/>
      <c r="M62" s="386" t="s">
        <v>205</v>
      </c>
      <c r="N62" s="386"/>
      <c r="O62" s="386"/>
      <c r="P62" s="385"/>
      <c r="Q62" s="284"/>
      <c r="R62" s="387" t="s">
        <v>205</v>
      </c>
      <c r="S62" s="387"/>
      <c r="T62" s="387"/>
      <c r="U62" s="388"/>
      <c r="V62" s="389"/>
    </row>
    <row r="63">
      <c r="C63" s="384"/>
      <c r="G63" s="384"/>
      <c r="H63" s="384"/>
      <c r="I63" s="384"/>
      <c r="K63" s="384" t="s">
        <v>314</v>
      </c>
      <c r="L63" s="384"/>
      <c r="M63" s="390" t="s">
        <v>315</v>
      </c>
      <c r="N63" s="390"/>
      <c r="O63" s="390"/>
      <c r="P63" s="384"/>
      <c r="Q63" s="284"/>
      <c r="R63" s="391" t="s">
        <v>315</v>
      </c>
      <c r="S63" s="391"/>
      <c r="T63" s="391"/>
      <c r="U63" s="392"/>
      <c r="V63" s="393"/>
    </row>
    <row r="64">
      <c r="A64" s="394" t="s">
        <v>316</v>
      </c>
      <c r="N64" s="394"/>
      <c r="O64" s="394"/>
      <c r="P64" s="394"/>
      <c r="Q64" s="284"/>
      <c r="R64" s="284"/>
      <c r="S64" s="284"/>
      <c r="T64" s="285"/>
      <c r="U64" s="280"/>
      <c r="V64" s="281"/>
    </row>
    <row r="65">
      <c r="A65" s="395">
        <v>1.0</v>
      </c>
      <c r="B65" s="395" t="s">
        <v>212</v>
      </c>
      <c r="C65" s="395"/>
      <c r="D65" s="396" t="s">
        <v>317</v>
      </c>
      <c r="E65" s="397"/>
      <c r="F65" s="395" t="s">
        <v>215</v>
      </c>
      <c r="G65" s="395"/>
      <c r="H65" s="395"/>
      <c r="I65" s="398"/>
      <c r="J65" s="398">
        <v>76000.0</v>
      </c>
      <c r="K65" s="398">
        <v>70000.0</v>
      </c>
      <c r="L65" s="399"/>
      <c r="M65" s="398">
        <v>64000.0</v>
      </c>
      <c r="N65" s="398"/>
      <c r="O65" s="398"/>
      <c r="P65" s="399"/>
      <c r="Q65" s="284"/>
      <c r="R65" s="284"/>
      <c r="S65" s="284"/>
      <c r="T65" s="285"/>
      <c r="U65" s="280"/>
      <c r="V65" s="281"/>
    </row>
    <row r="66">
      <c r="A66" s="395">
        <v>2.0</v>
      </c>
      <c r="B66" s="395" t="s">
        <v>217</v>
      </c>
      <c r="C66" s="395"/>
      <c r="D66" s="396" t="s">
        <v>318</v>
      </c>
      <c r="E66" s="397"/>
      <c r="F66" s="395" t="s">
        <v>215</v>
      </c>
      <c r="G66" s="395"/>
      <c r="H66" s="395"/>
      <c r="I66" s="398"/>
      <c r="J66" s="398">
        <v>89000.0</v>
      </c>
      <c r="K66" s="398">
        <v>83000.0</v>
      </c>
      <c r="L66" s="399"/>
      <c r="M66" s="398">
        <v>76000.0</v>
      </c>
      <c r="N66" s="398"/>
      <c r="O66" s="398"/>
      <c r="P66" s="399"/>
      <c r="Q66" s="284"/>
      <c r="R66" s="284"/>
      <c r="S66" s="284"/>
      <c r="T66" s="285"/>
      <c r="U66" s="280"/>
      <c r="V66" s="281"/>
    </row>
    <row r="67">
      <c r="A67" s="395">
        <v>3.0</v>
      </c>
      <c r="B67" s="395" t="s">
        <v>220</v>
      </c>
      <c r="C67" s="395"/>
      <c r="D67" s="396" t="s">
        <v>319</v>
      </c>
      <c r="E67" s="397"/>
      <c r="F67" s="395" t="s">
        <v>215</v>
      </c>
      <c r="G67" s="395"/>
      <c r="H67" s="395"/>
      <c r="I67" s="398"/>
      <c r="J67" s="398">
        <v>89000.0</v>
      </c>
      <c r="K67" s="398">
        <v>83000.0</v>
      </c>
      <c r="L67" s="399"/>
      <c r="M67" s="398">
        <v>76000.0</v>
      </c>
      <c r="N67" s="398"/>
      <c r="O67" s="398"/>
      <c r="P67" s="399"/>
      <c r="Q67" s="284"/>
      <c r="R67" s="284"/>
      <c r="S67" s="284"/>
      <c r="T67" s="285"/>
      <c r="U67" s="280"/>
      <c r="V67" s="281"/>
    </row>
    <row r="68">
      <c r="A68" s="395">
        <v>4.0</v>
      </c>
      <c r="B68" s="395" t="s">
        <v>223</v>
      </c>
      <c r="C68" s="395"/>
      <c r="D68" s="396" t="s">
        <v>320</v>
      </c>
      <c r="E68" s="397"/>
      <c r="F68" s="395" t="s">
        <v>215</v>
      </c>
      <c r="G68" s="395"/>
      <c r="H68" s="395"/>
      <c r="I68" s="398"/>
      <c r="J68" s="398">
        <v>116000.0</v>
      </c>
      <c r="K68" s="398">
        <v>110000.0</v>
      </c>
      <c r="L68" s="399"/>
      <c r="M68" s="398">
        <v>103000.0</v>
      </c>
      <c r="N68" s="398"/>
      <c r="O68" s="398"/>
      <c r="P68" s="399"/>
      <c r="Q68" s="284"/>
      <c r="R68" s="284"/>
      <c r="S68" s="284"/>
      <c r="T68" s="285"/>
      <c r="U68" s="280"/>
      <c r="V68" s="281"/>
    </row>
    <row r="69">
      <c r="A69" s="395">
        <v>5.0</v>
      </c>
      <c r="B69" s="395" t="s">
        <v>226</v>
      </c>
      <c r="C69" s="395"/>
      <c r="D69" s="396" t="s">
        <v>321</v>
      </c>
      <c r="E69" s="397"/>
      <c r="F69" s="395" t="s">
        <v>215</v>
      </c>
      <c r="G69" s="395"/>
      <c r="H69" s="395"/>
      <c r="I69" s="398"/>
      <c r="J69" s="398">
        <v>147000.0</v>
      </c>
      <c r="K69" s="398">
        <v>136000.0</v>
      </c>
      <c r="L69" s="399"/>
      <c r="M69" s="398">
        <v>124000.0</v>
      </c>
      <c r="N69" s="398"/>
      <c r="O69" s="398"/>
      <c r="P69" s="399"/>
      <c r="Q69" s="284"/>
      <c r="R69" s="284"/>
      <c r="S69" s="284"/>
      <c r="T69" s="285"/>
      <c r="U69" s="280"/>
      <c r="V69" s="281"/>
    </row>
    <row r="70">
      <c r="A70" s="395">
        <v>6.0</v>
      </c>
      <c r="B70" s="395" t="s">
        <v>229</v>
      </c>
      <c r="C70" s="395"/>
      <c r="D70" s="396" t="s">
        <v>322</v>
      </c>
      <c r="E70" s="397"/>
      <c r="F70" s="395" t="s">
        <v>215</v>
      </c>
      <c r="G70" s="395"/>
      <c r="H70" s="395"/>
      <c r="I70" s="398"/>
      <c r="J70" s="398">
        <v>178000.0</v>
      </c>
      <c r="K70" s="398">
        <v>166000.0</v>
      </c>
      <c r="L70" s="399"/>
      <c r="M70" s="398">
        <v>154000.0</v>
      </c>
      <c r="N70" s="398"/>
      <c r="O70" s="398"/>
      <c r="P70" s="399"/>
      <c r="Q70" s="284"/>
      <c r="R70" s="284"/>
      <c r="S70" s="284"/>
      <c r="T70" s="285"/>
      <c r="U70" s="280"/>
      <c r="V70" s="281"/>
    </row>
    <row r="71">
      <c r="A71" s="395">
        <v>7.0</v>
      </c>
      <c r="B71" s="395" t="s">
        <v>232</v>
      </c>
      <c r="C71" s="395"/>
      <c r="D71" s="400" t="s">
        <v>323</v>
      </c>
      <c r="E71" s="397"/>
      <c r="F71" s="395" t="s">
        <v>215</v>
      </c>
      <c r="G71" s="395"/>
      <c r="H71" s="395"/>
      <c r="I71" s="398"/>
      <c r="J71" s="398">
        <v>225000.0</v>
      </c>
      <c r="K71" s="398">
        <v>213000.0</v>
      </c>
      <c r="L71" s="399"/>
      <c r="M71" s="398">
        <v>200000.0</v>
      </c>
      <c r="N71" s="398"/>
      <c r="O71" s="398"/>
      <c r="P71" s="399"/>
      <c r="Q71" s="284"/>
      <c r="R71" s="284"/>
      <c r="S71" s="284"/>
      <c r="T71" s="285"/>
      <c r="U71" s="280"/>
      <c r="V71" s="281"/>
    </row>
    <row r="72">
      <c r="A72" s="395">
        <v>8.0</v>
      </c>
      <c r="B72" s="395" t="s">
        <v>235</v>
      </c>
      <c r="C72" s="395"/>
      <c r="D72" s="400" t="s">
        <v>324</v>
      </c>
      <c r="E72" s="397"/>
      <c r="F72" s="395" t="s">
        <v>215</v>
      </c>
      <c r="G72" s="395"/>
      <c r="H72" s="395"/>
      <c r="I72" s="398"/>
      <c r="J72" s="398">
        <v>294000.0</v>
      </c>
      <c r="K72" s="398">
        <v>271000.0</v>
      </c>
      <c r="L72" s="399"/>
      <c r="M72" s="398">
        <v>249000.0</v>
      </c>
      <c r="N72" s="398"/>
      <c r="O72" s="398"/>
      <c r="P72" s="399"/>
      <c r="Q72" s="284"/>
      <c r="R72" s="284"/>
      <c r="S72" s="284"/>
      <c r="T72" s="285"/>
      <c r="U72" s="280"/>
      <c r="V72" s="281"/>
    </row>
    <row r="73">
      <c r="A73" s="394" t="s">
        <v>325</v>
      </c>
      <c r="N73" s="394"/>
      <c r="O73" s="394"/>
      <c r="P73" s="394"/>
      <c r="Q73" s="284"/>
      <c r="R73" s="401"/>
      <c r="S73" s="401"/>
      <c r="T73" s="402"/>
      <c r="U73" s="403"/>
      <c r="V73" s="404"/>
    </row>
    <row r="74">
      <c r="A74" s="395">
        <v>1.0</v>
      </c>
      <c r="B74" s="395" t="s">
        <v>240</v>
      </c>
      <c r="C74" s="395"/>
      <c r="D74" s="396" t="s">
        <v>241</v>
      </c>
      <c r="E74" s="397"/>
      <c r="F74" s="395" t="s">
        <v>215</v>
      </c>
      <c r="G74" s="395"/>
      <c r="H74" s="395"/>
      <c r="I74" s="398"/>
      <c r="J74" s="398">
        <v>171000.0</v>
      </c>
      <c r="K74" s="398">
        <v>159000.0</v>
      </c>
      <c r="L74" s="399"/>
      <c r="M74" s="398">
        <v>148000.0</v>
      </c>
      <c r="N74" s="398"/>
      <c r="O74" s="398"/>
      <c r="P74" s="399"/>
      <c r="Q74" s="284"/>
      <c r="R74" s="405" t="str">
        <f t="shared" ref="R74:R80" si="77">+#REF!+10000</f>
        <v>#REF!</v>
      </c>
      <c r="S74" s="405"/>
      <c r="T74" s="406"/>
      <c r="U74" s="407"/>
      <c r="V74" s="408"/>
    </row>
    <row r="75">
      <c r="A75" s="395">
        <v>2.0</v>
      </c>
      <c r="B75" s="395" t="s">
        <v>243</v>
      </c>
      <c r="C75" s="395"/>
      <c r="D75" s="396" t="s">
        <v>244</v>
      </c>
      <c r="E75" s="397"/>
      <c r="F75" s="395" t="s">
        <v>215</v>
      </c>
      <c r="G75" s="395"/>
      <c r="H75" s="395"/>
      <c r="I75" s="398"/>
      <c r="J75" s="398">
        <v>202000.0</v>
      </c>
      <c r="K75" s="398">
        <v>190000.0</v>
      </c>
      <c r="L75" s="399"/>
      <c r="M75" s="398">
        <v>179000.0</v>
      </c>
      <c r="N75" s="398"/>
      <c r="O75" s="398"/>
      <c r="P75" s="399"/>
      <c r="Q75" s="284"/>
      <c r="R75" s="405" t="str">
        <f t="shared" si="77"/>
        <v>#REF!</v>
      </c>
      <c r="S75" s="405"/>
      <c r="T75" s="406"/>
      <c r="U75" s="407"/>
      <c r="V75" s="408"/>
    </row>
    <row r="76">
      <c r="A76" s="395">
        <v>3.0</v>
      </c>
      <c r="B76" s="395" t="s">
        <v>246</v>
      </c>
      <c r="C76" s="395"/>
      <c r="D76" s="396" t="s">
        <v>247</v>
      </c>
      <c r="E76" s="397"/>
      <c r="F76" s="395" t="s">
        <v>215</v>
      </c>
      <c r="G76" s="395"/>
      <c r="H76" s="395"/>
      <c r="I76" s="398"/>
      <c r="J76" s="398">
        <v>230000.0</v>
      </c>
      <c r="K76" s="398">
        <v>219000.0</v>
      </c>
      <c r="L76" s="399"/>
      <c r="M76" s="398">
        <v>207000.0</v>
      </c>
      <c r="N76" s="398"/>
      <c r="O76" s="398"/>
      <c r="P76" s="399"/>
      <c r="Q76" s="284"/>
      <c r="R76" s="405" t="str">
        <f t="shared" si="77"/>
        <v>#REF!</v>
      </c>
      <c r="S76" s="405"/>
      <c r="T76" s="406"/>
      <c r="U76" s="407"/>
      <c r="V76" s="408"/>
    </row>
    <row r="77">
      <c r="A77" s="395">
        <v>4.0</v>
      </c>
      <c r="B77" s="395" t="s">
        <v>249</v>
      </c>
      <c r="C77" s="395"/>
      <c r="D77" s="396" t="s">
        <v>250</v>
      </c>
      <c r="E77" s="397"/>
      <c r="F77" s="395" t="s">
        <v>215</v>
      </c>
      <c r="G77" s="395"/>
      <c r="H77" s="395"/>
      <c r="I77" s="398"/>
      <c r="J77" s="398">
        <v>248000.0</v>
      </c>
      <c r="K77" s="398">
        <v>237000.0</v>
      </c>
      <c r="L77" s="399"/>
      <c r="M77" s="398">
        <v>226000.0</v>
      </c>
      <c r="N77" s="398"/>
      <c r="O77" s="398"/>
      <c r="P77" s="399"/>
      <c r="Q77" s="284"/>
      <c r="R77" s="405" t="str">
        <f t="shared" si="77"/>
        <v>#REF!</v>
      </c>
      <c r="S77" s="405"/>
      <c r="T77" s="406"/>
      <c r="U77" s="407"/>
      <c r="V77" s="408"/>
    </row>
    <row r="78">
      <c r="A78" s="395">
        <v>5.0</v>
      </c>
      <c r="B78" s="395" t="s">
        <v>252</v>
      </c>
      <c r="C78" s="395"/>
      <c r="D78" s="396" t="s">
        <v>253</v>
      </c>
      <c r="E78" s="397"/>
      <c r="F78" s="395" t="s">
        <v>215</v>
      </c>
      <c r="G78" s="395"/>
      <c r="H78" s="395"/>
      <c r="I78" s="398"/>
      <c r="J78" s="398">
        <v>359000.0</v>
      </c>
      <c r="K78" s="398">
        <v>336000.0</v>
      </c>
      <c r="L78" s="399"/>
      <c r="M78" s="398">
        <v>314000.0</v>
      </c>
      <c r="N78" s="398"/>
      <c r="O78" s="398"/>
      <c r="P78" s="399"/>
      <c r="Q78" s="284"/>
      <c r="R78" s="405" t="str">
        <f t="shared" si="77"/>
        <v>#REF!</v>
      </c>
      <c r="S78" s="405"/>
      <c r="T78" s="406"/>
      <c r="U78" s="407"/>
      <c r="V78" s="408"/>
    </row>
    <row r="79">
      <c r="A79" s="395">
        <v>6.0</v>
      </c>
      <c r="B79" s="395" t="s">
        <v>255</v>
      </c>
      <c r="C79" s="395"/>
      <c r="D79" s="396" t="s">
        <v>256</v>
      </c>
      <c r="E79" s="397"/>
      <c r="F79" s="395" t="s">
        <v>215</v>
      </c>
      <c r="G79" s="395"/>
      <c r="H79" s="395"/>
      <c r="I79" s="398"/>
      <c r="J79" s="398">
        <v>412000.0</v>
      </c>
      <c r="K79" s="398">
        <v>390000.0</v>
      </c>
      <c r="L79" s="399"/>
      <c r="M79" s="398">
        <v>367000.0</v>
      </c>
      <c r="N79" s="398"/>
      <c r="O79" s="398"/>
      <c r="P79" s="399"/>
      <c r="Q79" s="284"/>
      <c r="R79" s="405" t="str">
        <f t="shared" si="77"/>
        <v>#REF!</v>
      </c>
      <c r="S79" s="405"/>
      <c r="T79" s="406"/>
      <c r="U79" s="407"/>
      <c r="V79" s="408"/>
    </row>
    <row r="80">
      <c r="A80" s="395">
        <v>7.0</v>
      </c>
      <c r="B80" s="395" t="s">
        <v>258</v>
      </c>
      <c r="C80" s="395"/>
      <c r="D80" s="396" t="s">
        <v>259</v>
      </c>
      <c r="E80" s="397"/>
      <c r="F80" s="395" t="s">
        <v>215</v>
      </c>
      <c r="G80" s="395"/>
      <c r="H80" s="395"/>
      <c r="I80" s="398"/>
      <c r="J80" s="398">
        <v>475000.0</v>
      </c>
      <c r="K80" s="398">
        <v>453000.0</v>
      </c>
      <c r="L80" s="399"/>
      <c r="M80" s="398">
        <v>431000.0</v>
      </c>
      <c r="N80" s="398"/>
      <c r="O80" s="398"/>
      <c r="P80" s="399"/>
      <c r="Q80" s="284"/>
      <c r="R80" s="405" t="str">
        <f t="shared" si="77"/>
        <v>#REF!</v>
      </c>
      <c r="S80" s="405"/>
      <c r="T80" s="406"/>
      <c r="U80" s="407"/>
      <c r="V80" s="408"/>
    </row>
    <row r="81">
      <c r="A81" s="409"/>
      <c r="B81" s="409"/>
      <c r="C81" s="409"/>
      <c r="D81" s="409"/>
      <c r="E81" s="409"/>
      <c r="F81" s="409"/>
      <c r="G81" s="409"/>
      <c r="H81" s="409"/>
      <c r="I81" s="409"/>
      <c r="J81" s="409"/>
      <c r="K81" s="409"/>
      <c r="L81" s="410"/>
      <c r="M81" s="409"/>
      <c r="N81" s="409"/>
      <c r="O81" s="409"/>
      <c r="P81" s="410"/>
      <c r="Q81" s="284"/>
      <c r="R81" s="284"/>
      <c r="S81" s="284"/>
      <c r="T81" s="285"/>
      <c r="U81" s="280"/>
      <c r="V81" s="281"/>
    </row>
    <row r="82">
      <c r="A82" s="394" t="s">
        <v>326</v>
      </c>
      <c r="N82" s="394"/>
      <c r="O82" s="394"/>
      <c r="P82" s="394"/>
      <c r="Q82" s="284"/>
      <c r="R82" s="284"/>
      <c r="S82" s="284"/>
      <c r="T82" s="285"/>
      <c r="U82" s="280"/>
      <c r="V82" s="281"/>
    </row>
    <row r="83">
      <c r="A83" s="395">
        <v>1.0</v>
      </c>
      <c r="B83" s="395" t="s">
        <v>261</v>
      </c>
      <c r="C83" s="395"/>
      <c r="D83" s="396" t="s">
        <v>327</v>
      </c>
      <c r="E83" s="397"/>
      <c r="F83" s="395" t="s">
        <v>215</v>
      </c>
      <c r="G83" s="395"/>
      <c r="H83" s="395"/>
      <c r="I83" s="398"/>
      <c r="J83" s="398">
        <v>171000.0</v>
      </c>
      <c r="K83" s="398">
        <v>159000.0</v>
      </c>
      <c r="L83" s="399"/>
      <c r="M83" s="398">
        <v>148000.0</v>
      </c>
      <c r="N83" s="398"/>
      <c r="O83" s="398"/>
      <c r="P83" s="399"/>
      <c r="Q83" s="284"/>
      <c r="R83" s="284"/>
      <c r="S83" s="284"/>
      <c r="T83" s="285"/>
      <c r="U83" s="280"/>
      <c r="V83" s="281"/>
    </row>
    <row r="84">
      <c r="A84" s="395">
        <v>2.0</v>
      </c>
      <c r="B84" s="395" t="s">
        <v>264</v>
      </c>
      <c r="C84" s="395"/>
      <c r="D84" s="396" t="s">
        <v>328</v>
      </c>
      <c r="E84" s="397"/>
      <c r="F84" s="395" t="s">
        <v>215</v>
      </c>
      <c r="G84" s="395"/>
      <c r="H84" s="395"/>
      <c r="I84" s="398"/>
      <c r="J84" s="398">
        <v>202000.0</v>
      </c>
      <c r="K84" s="398">
        <v>190000.0</v>
      </c>
      <c r="L84" s="399"/>
      <c r="M84" s="398">
        <v>179000.0</v>
      </c>
      <c r="N84" s="398"/>
      <c r="O84" s="398"/>
      <c r="P84" s="399"/>
      <c r="Q84" s="284"/>
      <c r="R84" s="284"/>
      <c r="S84" s="284"/>
      <c r="T84" s="285"/>
      <c r="U84" s="280"/>
      <c r="V84" s="281"/>
    </row>
    <row r="85">
      <c r="A85" s="395">
        <v>3.0</v>
      </c>
      <c r="B85" s="395" t="s">
        <v>267</v>
      </c>
      <c r="C85" s="395"/>
      <c r="D85" s="396" t="s">
        <v>329</v>
      </c>
      <c r="E85" s="397"/>
      <c r="F85" s="395" t="s">
        <v>215</v>
      </c>
      <c r="G85" s="395"/>
      <c r="H85" s="395"/>
      <c r="I85" s="398"/>
      <c r="J85" s="398">
        <v>202000.0</v>
      </c>
      <c r="K85" s="398">
        <v>190000.0</v>
      </c>
      <c r="L85" s="399"/>
      <c r="M85" s="398">
        <v>179000.0</v>
      </c>
      <c r="N85" s="398"/>
      <c r="O85" s="398"/>
      <c r="P85" s="399"/>
      <c r="Q85" s="284"/>
      <c r="R85" s="284"/>
      <c r="S85" s="284"/>
      <c r="T85" s="285"/>
      <c r="U85" s="280"/>
      <c r="V85" s="281"/>
    </row>
    <row r="86">
      <c r="A86" s="395">
        <v>4.0</v>
      </c>
      <c r="B86" s="395" t="s">
        <v>270</v>
      </c>
      <c r="C86" s="395"/>
      <c r="D86" s="396" t="s">
        <v>330</v>
      </c>
      <c r="E86" s="397"/>
      <c r="F86" s="395" t="s">
        <v>215</v>
      </c>
      <c r="G86" s="395"/>
      <c r="H86" s="395"/>
      <c r="I86" s="398"/>
      <c r="J86" s="398">
        <v>230000.0</v>
      </c>
      <c r="K86" s="398">
        <v>219000.0</v>
      </c>
      <c r="L86" s="399"/>
      <c r="M86" s="398">
        <v>207000.0</v>
      </c>
      <c r="N86" s="398"/>
      <c r="O86" s="398"/>
      <c r="P86" s="399"/>
      <c r="Q86" s="284"/>
      <c r="R86" s="284"/>
      <c r="S86" s="284"/>
      <c r="T86" s="285"/>
      <c r="U86" s="280"/>
      <c r="V86" s="281"/>
    </row>
    <row r="87">
      <c r="A87" s="395">
        <v>5.0</v>
      </c>
      <c r="B87" s="395" t="s">
        <v>273</v>
      </c>
      <c r="C87" s="395"/>
      <c r="D87" s="396" t="s">
        <v>331</v>
      </c>
      <c r="E87" s="397"/>
      <c r="F87" s="395" t="s">
        <v>215</v>
      </c>
      <c r="G87" s="395"/>
      <c r="H87" s="395"/>
      <c r="I87" s="398"/>
      <c r="J87" s="398">
        <v>248000.0</v>
      </c>
      <c r="K87" s="398">
        <v>237000.0</v>
      </c>
      <c r="L87" s="399"/>
      <c r="M87" s="398">
        <v>226000.0</v>
      </c>
      <c r="N87" s="398"/>
      <c r="O87" s="398"/>
      <c r="P87" s="399"/>
      <c r="Q87" s="284"/>
      <c r="R87" s="284"/>
      <c r="S87" s="284"/>
      <c r="T87" s="285"/>
      <c r="U87" s="280"/>
      <c r="V87" s="281"/>
    </row>
    <row r="88">
      <c r="A88" s="395">
        <v>6.0</v>
      </c>
      <c r="B88" s="395" t="s">
        <v>276</v>
      </c>
      <c r="C88" s="395"/>
      <c r="D88" s="396" t="s">
        <v>332</v>
      </c>
      <c r="E88" s="397"/>
      <c r="F88" s="395" t="s">
        <v>215</v>
      </c>
      <c r="G88" s="395"/>
      <c r="H88" s="395"/>
      <c r="I88" s="398"/>
      <c r="J88" s="398">
        <v>359000.0</v>
      </c>
      <c r="K88" s="398">
        <v>336000.0</v>
      </c>
      <c r="L88" s="399"/>
      <c r="M88" s="398">
        <v>314000.0</v>
      </c>
      <c r="N88" s="398"/>
      <c r="O88" s="398"/>
      <c r="P88" s="399"/>
      <c r="Q88" s="284"/>
      <c r="R88" s="284"/>
      <c r="S88" s="284"/>
      <c r="T88" s="285"/>
      <c r="U88" s="280"/>
      <c r="V88" s="281"/>
    </row>
    <row r="89">
      <c r="A89" s="395">
        <v>7.0</v>
      </c>
      <c r="B89" s="395" t="s">
        <v>279</v>
      </c>
      <c r="C89" s="395"/>
      <c r="D89" s="396" t="s">
        <v>333</v>
      </c>
      <c r="E89" s="397"/>
      <c r="F89" s="395" t="s">
        <v>215</v>
      </c>
      <c r="G89" s="395"/>
      <c r="H89" s="395"/>
      <c r="I89" s="398"/>
      <c r="J89" s="398">
        <v>412000.0</v>
      </c>
      <c r="K89" s="398">
        <v>390000.0</v>
      </c>
      <c r="L89" s="399"/>
      <c r="M89" s="398">
        <v>367000.0</v>
      </c>
      <c r="N89" s="398"/>
      <c r="O89" s="398"/>
      <c r="P89" s="399"/>
      <c r="Q89" s="284"/>
      <c r="R89" s="284"/>
      <c r="S89" s="284"/>
      <c r="T89" s="285"/>
      <c r="U89" s="280"/>
      <c r="V89" s="281"/>
    </row>
    <row r="90">
      <c r="A90" s="395">
        <v>8.0</v>
      </c>
      <c r="B90" s="395" t="s">
        <v>282</v>
      </c>
      <c r="C90" s="395"/>
      <c r="D90" s="396" t="s">
        <v>334</v>
      </c>
      <c r="E90" s="397"/>
      <c r="F90" s="395" t="s">
        <v>215</v>
      </c>
      <c r="G90" s="395"/>
      <c r="H90" s="395"/>
      <c r="I90" s="398"/>
      <c r="J90" s="398">
        <v>475000.0</v>
      </c>
      <c r="K90" s="398">
        <v>453000.0</v>
      </c>
      <c r="L90" s="399"/>
      <c r="M90" s="398">
        <v>431000.0</v>
      </c>
      <c r="N90" s="398"/>
      <c r="O90" s="398"/>
      <c r="P90" s="399"/>
      <c r="Q90" s="284"/>
      <c r="R90" s="284"/>
      <c r="S90" s="284"/>
      <c r="T90" s="285"/>
      <c r="U90" s="280"/>
      <c r="V90" s="281"/>
    </row>
    <row r="91">
      <c r="A91" s="395">
        <v>9.0</v>
      </c>
      <c r="B91" s="395" t="s">
        <v>285</v>
      </c>
      <c r="C91" s="395"/>
      <c r="D91" s="396" t="s">
        <v>335</v>
      </c>
      <c r="E91" s="397"/>
      <c r="F91" s="395" t="s">
        <v>215</v>
      </c>
      <c r="G91" s="395"/>
      <c r="H91" s="395"/>
      <c r="I91" s="411"/>
      <c r="J91" s="411">
        <v>610000.0</v>
      </c>
      <c r="K91" s="411">
        <v>590000.0</v>
      </c>
      <c r="L91" s="412"/>
      <c r="M91" s="411">
        <v>570000.0</v>
      </c>
      <c r="N91" s="411"/>
      <c r="O91" s="411"/>
      <c r="P91" s="412"/>
      <c r="Q91" s="284"/>
      <c r="R91" s="284"/>
      <c r="S91" s="284"/>
      <c r="T91" s="285"/>
      <c r="U91" s="280"/>
      <c r="V91" s="281"/>
    </row>
    <row r="92">
      <c r="A92" s="413"/>
      <c r="B92" s="413"/>
      <c r="C92" s="413"/>
      <c r="D92" s="413"/>
      <c r="E92" s="413"/>
      <c r="F92" s="413"/>
      <c r="G92" s="413"/>
      <c r="H92" s="413"/>
      <c r="I92" s="413"/>
      <c r="J92" s="413"/>
      <c r="K92" s="413"/>
      <c r="L92" s="414"/>
      <c r="M92" s="413"/>
      <c r="N92" s="413"/>
      <c r="O92" s="413"/>
      <c r="P92" s="414"/>
      <c r="Q92" s="284"/>
      <c r="R92" s="284"/>
      <c r="S92" s="284"/>
      <c r="T92" s="285"/>
      <c r="U92" s="280"/>
      <c r="V92" s="281"/>
    </row>
    <row r="93">
      <c r="A93" s="413"/>
      <c r="B93" s="413"/>
      <c r="C93" s="413"/>
      <c r="D93" s="413"/>
      <c r="E93" s="413"/>
      <c r="F93" s="413"/>
      <c r="G93" s="413"/>
      <c r="H93" s="413"/>
      <c r="I93" s="413"/>
      <c r="J93" s="413"/>
      <c r="K93" s="413"/>
      <c r="L93" s="414"/>
      <c r="M93" s="413"/>
      <c r="N93" s="413"/>
      <c r="O93" s="413"/>
      <c r="P93" s="414"/>
      <c r="Q93" s="284"/>
      <c r="R93" s="284"/>
      <c r="S93" s="284"/>
      <c r="T93" s="285"/>
      <c r="U93" s="280"/>
      <c r="V93" s="281"/>
    </row>
    <row r="94">
      <c r="A94" s="413"/>
      <c r="B94" s="413"/>
      <c r="C94" s="413"/>
      <c r="D94" s="413"/>
      <c r="E94" s="413"/>
      <c r="F94" s="413"/>
      <c r="G94" s="413"/>
      <c r="H94" s="413"/>
      <c r="I94" s="413"/>
      <c r="J94" s="413"/>
      <c r="K94" s="413"/>
      <c r="L94" s="414"/>
      <c r="M94" s="413"/>
      <c r="N94" s="413"/>
      <c r="O94" s="413"/>
      <c r="P94" s="414"/>
      <c r="Q94" s="284"/>
      <c r="R94" s="284"/>
      <c r="S94" s="284"/>
      <c r="T94" s="285"/>
      <c r="U94" s="280"/>
      <c r="V94" s="281"/>
    </row>
    <row r="95">
      <c r="A95" s="413"/>
      <c r="B95" s="413"/>
      <c r="C95" s="413"/>
      <c r="D95" s="413"/>
      <c r="E95" s="413"/>
      <c r="F95" s="413"/>
      <c r="G95" s="413"/>
      <c r="H95" s="413"/>
      <c r="I95" s="413"/>
      <c r="J95" s="413"/>
      <c r="K95" s="413"/>
      <c r="L95" s="414"/>
      <c r="M95" s="413"/>
      <c r="N95" s="413"/>
      <c r="O95" s="413"/>
      <c r="P95" s="414"/>
      <c r="Q95" s="284"/>
      <c r="R95" s="284"/>
      <c r="S95" s="284"/>
      <c r="T95" s="285"/>
      <c r="U95" s="280"/>
      <c r="V95" s="281"/>
    </row>
    <row r="96">
      <c r="A96" s="413"/>
      <c r="B96" s="413"/>
      <c r="C96" s="413"/>
      <c r="D96" s="413"/>
      <c r="E96" s="413"/>
      <c r="F96" s="413"/>
      <c r="G96" s="413"/>
      <c r="H96" s="413"/>
      <c r="I96" s="413"/>
      <c r="J96" s="413"/>
      <c r="K96" s="413"/>
      <c r="L96" s="414"/>
      <c r="M96" s="413"/>
      <c r="N96" s="413"/>
      <c r="O96" s="413"/>
      <c r="P96" s="414"/>
      <c r="Q96" s="284"/>
      <c r="R96" s="284"/>
      <c r="S96" s="284"/>
      <c r="T96" s="285"/>
      <c r="U96" s="280"/>
      <c r="V96" s="281"/>
    </row>
    <row r="97">
      <c r="A97" s="413"/>
      <c r="B97" s="413"/>
      <c r="C97" s="413"/>
      <c r="D97" s="413"/>
      <c r="E97" s="413"/>
      <c r="F97" s="413"/>
      <c r="G97" s="413"/>
      <c r="H97" s="413"/>
      <c r="I97" s="413"/>
      <c r="J97" s="413"/>
      <c r="K97" s="413"/>
      <c r="L97" s="414"/>
      <c r="M97" s="413"/>
      <c r="N97" s="413"/>
      <c r="O97" s="413"/>
      <c r="P97" s="414"/>
      <c r="Q97" s="284"/>
      <c r="R97" s="284"/>
      <c r="S97" s="284"/>
      <c r="T97" s="285"/>
      <c r="U97" s="280"/>
      <c r="V97" s="281"/>
    </row>
    <row r="98">
      <c r="A98" s="413"/>
      <c r="B98" s="413"/>
      <c r="C98" s="413"/>
      <c r="D98" s="413"/>
      <c r="E98" s="413"/>
      <c r="F98" s="413"/>
      <c r="G98" s="413"/>
      <c r="H98" s="413"/>
      <c r="I98" s="413"/>
      <c r="J98" s="413"/>
      <c r="K98" s="413"/>
      <c r="L98" s="414"/>
      <c r="M98" s="413"/>
      <c r="N98" s="413"/>
      <c r="O98" s="413"/>
      <c r="P98" s="414"/>
      <c r="Q98" s="284"/>
      <c r="R98" s="284"/>
      <c r="S98" s="284"/>
      <c r="T98" s="285"/>
      <c r="U98" s="280"/>
      <c r="V98" s="281"/>
    </row>
    <row r="99">
      <c r="A99" s="413"/>
      <c r="B99" s="413"/>
      <c r="C99" s="413"/>
      <c r="D99" s="413"/>
      <c r="E99" s="413"/>
      <c r="F99" s="413"/>
      <c r="G99" s="413"/>
      <c r="H99" s="413"/>
      <c r="I99" s="413"/>
      <c r="J99" s="413"/>
      <c r="K99" s="413"/>
      <c r="L99" s="414"/>
      <c r="M99" s="413"/>
      <c r="N99" s="413"/>
      <c r="O99" s="413"/>
      <c r="P99" s="414"/>
      <c r="Q99" s="284"/>
      <c r="R99" s="284"/>
      <c r="S99" s="284"/>
      <c r="T99" s="285"/>
      <c r="U99" s="280"/>
      <c r="V99" s="281"/>
    </row>
    <row r="100">
      <c r="A100" s="415" t="s">
        <v>336</v>
      </c>
      <c r="N100" s="415"/>
      <c r="O100" s="415"/>
      <c r="P100" s="415"/>
      <c r="Q100" s="284"/>
      <c r="R100" s="284"/>
      <c r="S100" s="284"/>
      <c r="T100" s="285"/>
      <c r="U100" s="280"/>
      <c r="V100" s="281"/>
    </row>
    <row r="101">
      <c r="A101" s="395">
        <v>1.0</v>
      </c>
      <c r="B101" s="395" t="s">
        <v>243</v>
      </c>
      <c r="C101" s="395"/>
      <c r="D101" s="397" t="s">
        <v>337</v>
      </c>
      <c r="E101" s="397" t="s">
        <v>338</v>
      </c>
      <c r="F101" s="395" t="s">
        <v>339</v>
      </c>
      <c r="G101" s="395"/>
      <c r="H101" s="395"/>
      <c r="I101" s="411"/>
      <c r="J101" s="411" t="str">
        <f t="shared" ref="J101:J103" si="78">+K101+30000</f>
        <v>#REF!</v>
      </c>
      <c r="K101" s="411" t="str">
        <f t="shared" ref="K101:K103" si="79">+M101+20000</f>
        <v>#REF!</v>
      </c>
      <c r="L101" s="412"/>
      <c r="M101" s="411" t="str">
        <f t="shared" ref="M101:M103" si="80">+#REF!+20000</f>
        <v>#REF!</v>
      </c>
      <c r="N101" s="411"/>
      <c r="O101" s="411"/>
      <c r="P101" s="412"/>
      <c r="Q101" s="284"/>
      <c r="R101" s="284"/>
      <c r="S101" s="284"/>
      <c r="T101" s="285"/>
      <c r="U101" s="280"/>
      <c r="V101" s="281"/>
    </row>
    <row r="102">
      <c r="A102" s="395">
        <v>2.0</v>
      </c>
      <c r="B102" s="395" t="s">
        <v>243</v>
      </c>
      <c r="C102" s="395"/>
      <c r="D102" s="397" t="s">
        <v>337</v>
      </c>
      <c r="E102" s="397" t="s">
        <v>340</v>
      </c>
      <c r="F102" s="395" t="s">
        <v>339</v>
      </c>
      <c r="G102" s="395"/>
      <c r="H102" s="395"/>
      <c r="I102" s="411"/>
      <c r="J102" s="411" t="str">
        <f t="shared" si="78"/>
        <v>#REF!</v>
      </c>
      <c r="K102" s="411" t="str">
        <f t="shared" si="79"/>
        <v>#REF!</v>
      </c>
      <c r="L102" s="412"/>
      <c r="M102" s="411" t="str">
        <f t="shared" si="80"/>
        <v>#REF!</v>
      </c>
      <c r="N102" s="411"/>
      <c r="O102" s="411"/>
      <c r="P102" s="412"/>
      <c r="Q102" s="284"/>
      <c r="R102" s="284"/>
      <c r="S102" s="284"/>
      <c r="T102" s="285"/>
      <c r="U102" s="280"/>
      <c r="V102" s="281"/>
    </row>
    <row r="103">
      <c r="A103" s="395">
        <v>3.0</v>
      </c>
      <c r="B103" s="395" t="s">
        <v>246</v>
      </c>
      <c r="C103" s="395"/>
      <c r="D103" s="397" t="s">
        <v>337</v>
      </c>
      <c r="E103" s="397" t="s">
        <v>341</v>
      </c>
      <c r="F103" s="395" t="s">
        <v>342</v>
      </c>
      <c r="G103" s="395"/>
      <c r="H103" s="395"/>
      <c r="I103" s="411"/>
      <c r="J103" s="411" t="str">
        <f t="shared" si="78"/>
        <v>#REF!</v>
      </c>
      <c r="K103" s="411" t="str">
        <f t="shared" si="79"/>
        <v>#REF!</v>
      </c>
      <c r="L103" s="412"/>
      <c r="M103" s="411" t="str">
        <f t="shared" si="80"/>
        <v>#REF!</v>
      </c>
      <c r="N103" s="411"/>
      <c r="O103" s="411"/>
      <c r="P103" s="412"/>
      <c r="Q103" s="284"/>
      <c r="R103" s="284"/>
      <c r="S103" s="284"/>
      <c r="T103" s="285"/>
      <c r="U103" s="280"/>
      <c r="V103" s="281"/>
    </row>
    <row r="104">
      <c r="A104" s="415" t="s">
        <v>343</v>
      </c>
      <c r="N104" s="415"/>
      <c r="O104" s="415"/>
      <c r="P104" s="415"/>
      <c r="Q104" s="284"/>
      <c r="R104" s="284"/>
      <c r="S104" s="284"/>
      <c r="T104" s="285"/>
      <c r="U104" s="280"/>
      <c r="V104" s="281"/>
    </row>
    <row r="105">
      <c r="A105" s="395">
        <v>1.0</v>
      </c>
      <c r="B105" s="395" t="s">
        <v>243</v>
      </c>
      <c r="C105" s="395"/>
      <c r="D105" s="397" t="s">
        <v>337</v>
      </c>
      <c r="E105" s="397" t="s">
        <v>344</v>
      </c>
      <c r="F105" s="395" t="s">
        <v>339</v>
      </c>
      <c r="G105" s="395"/>
      <c r="H105" s="395"/>
      <c r="I105" s="411"/>
      <c r="J105" s="411" t="str">
        <f t="shared" ref="J105:J107" si="81">+K105+30000</f>
        <v>#REF!</v>
      </c>
      <c r="K105" s="411" t="str">
        <f t="shared" ref="K105:K107" si="82">+M105+20000</f>
        <v>#REF!</v>
      </c>
      <c r="L105" s="412"/>
      <c r="M105" s="411" t="str">
        <f t="shared" ref="M105:M107" si="83">+#REF!+20000</f>
        <v>#REF!</v>
      </c>
      <c r="N105" s="411"/>
      <c r="O105" s="411"/>
      <c r="P105" s="412"/>
      <c r="Q105" s="284"/>
      <c r="R105" s="284"/>
      <c r="S105" s="284"/>
      <c r="T105" s="285"/>
      <c r="U105" s="280"/>
      <c r="V105" s="281"/>
    </row>
    <row r="106">
      <c r="A106" s="395">
        <v>2.0</v>
      </c>
      <c r="B106" s="395" t="s">
        <v>243</v>
      </c>
      <c r="C106" s="395"/>
      <c r="D106" s="397" t="s">
        <v>337</v>
      </c>
      <c r="E106" s="397" t="s">
        <v>345</v>
      </c>
      <c r="F106" s="395" t="s">
        <v>339</v>
      </c>
      <c r="G106" s="395"/>
      <c r="H106" s="395"/>
      <c r="I106" s="411"/>
      <c r="J106" s="411" t="str">
        <f t="shared" si="81"/>
        <v>#REF!</v>
      </c>
      <c r="K106" s="411" t="str">
        <f t="shared" si="82"/>
        <v>#REF!</v>
      </c>
      <c r="L106" s="412"/>
      <c r="M106" s="411" t="str">
        <f t="shared" si="83"/>
        <v>#REF!</v>
      </c>
      <c r="N106" s="411"/>
      <c r="O106" s="411"/>
      <c r="P106" s="412"/>
      <c r="Q106" s="284"/>
      <c r="R106" s="284"/>
      <c r="S106" s="284"/>
      <c r="T106" s="285"/>
      <c r="U106" s="280"/>
      <c r="V106" s="281"/>
    </row>
    <row r="107">
      <c r="A107" s="395">
        <v>3.0</v>
      </c>
      <c r="B107" s="395" t="s">
        <v>246</v>
      </c>
      <c r="C107" s="395"/>
      <c r="D107" s="397" t="s">
        <v>337</v>
      </c>
      <c r="E107" s="397" t="s">
        <v>346</v>
      </c>
      <c r="F107" s="395" t="s">
        <v>342</v>
      </c>
      <c r="G107" s="395"/>
      <c r="H107" s="395"/>
      <c r="I107" s="411"/>
      <c r="J107" s="411" t="str">
        <f t="shared" si="81"/>
        <v>#REF!</v>
      </c>
      <c r="K107" s="411" t="str">
        <f t="shared" si="82"/>
        <v>#REF!</v>
      </c>
      <c r="L107" s="412"/>
      <c r="M107" s="411" t="str">
        <f t="shared" si="83"/>
        <v>#REF!</v>
      </c>
      <c r="N107" s="411"/>
      <c r="O107" s="411"/>
      <c r="P107" s="412"/>
      <c r="Q107" s="284"/>
      <c r="R107" s="284"/>
      <c r="S107" s="284"/>
      <c r="T107" s="285"/>
      <c r="U107" s="280"/>
      <c r="V107" s="281"/>
    </row>
    <row r="108">
      <c r="A108" s="413"/>
      <c r="K108" s="413"/>
      <c r="N108" s="413"/>
      <c r="O108" s="413"/>
      <c r="P108" s="414"/>
      <c r="Q108" s="284"/>
      <c r="R108" s="284"/>
      <c r="S108" s="284"/>
      <c r="T108" s="285"/>
      <c r="U108" s="280"/>
      <c r="V108" s="281"/>
    </row>
    <row r="109">
      <c r="A109" s="416"/>
      <c r="B109" s="417"/>
      <c r="C109" s="418"/>
      <c r="D109" s="418"/>
      <c r="E109" s="418"/>
      <c r="F109" s="418"/>
      <c r="G109" s="418"/>
      <c r="H109" s="418"/>
      <c r="I109" s="418"/>
      <c r="J109" s="418"/>
      <c r="K109" s="418"/>
      <c r="L109" s="418"/>
      <c r="M109" s="419"/>
      <c r="N109" s="413"/>
      <c r="O109" s="413"/>
      <c r="P109" s="414"/>
      <c r="Q109" s="284"/>
      <c r="R109" s="284"/>
      <c r="S109" s="284"/>
      <c r="T109" s="285"/>
      <c r="U109" s="280"/>
      <c r="V109" s="281"/>
    </row>
    <row r="110">
      <c r="A110" s="420">
        <v>1.0</v>
      </c>
      <c r="B110" s="421" t="s">
        <v>347</v>
      </c>
      <c r="N110" s="421"/>
      <c r="O110" s="421"/>
      <c r="P110" s="422"/>
      <c r="Q110" s="284"/>
      <c r="R110" s="284"/>
      <c r="S110" s="284"/>
      <c r="T110" s="285"/>
      <c r="U110" s="280"/>
      <c r="V110" s="281"/>
    </row>
    <row r="111">
      <c r="B111" s="421" t="s">
        <v>306</v>
      </c>
      <c r="N111" s="421"/>
      <c r="O111" s="421"/>
      <c r="P111" s="422"/>
      <c r="Q111" s="284"/>
      <c r="R111" s="284"/>
      <c r="S111" s="284"/>
      <c r="T111" s="285"/>
      <c r="U111" s="280"/>
      <c r="V111" s="281"/>
    </row>
    <row r="112">
      <c r="B112" s="421" t="s">
        <v>348</v>
      </c>
      <c r="N112" s="421"/>
      <c r="O112" s="421"/>
      <c r="P112" s="422"/>
      <c r="Q112" s="284"/>
      <c r="R112" s="284"/>
      <c r="S112" s="284"/>
      <c r="T112" s="285"/>
      <c r="U112" s="280"/>
      <c r="V112" s="281"/>
    </row>
    <row r="113">
      <c r="A113" s="420">
        <v>2.0</v>
      </c>
      <c r="B113" s="421" t="s">
        <v>307</v>
      </c>
      <c r="N113" s="421"/>
      <c r="O113" s="421"/>
      <c r="P113" s="422"/>
      <c r="Q113" s="284"/>
      <c r="R113" s="284"/>
      <c r="S113" s="284"/>
      <c r="T113" s="285"/>
      <c r="U113" s="280"/>
      <c r="V113" s="281"/>
    </row>
    <row r="114">
      <c r="A114" s="420">
        <v>3.0</v>
      </c>
      <c r="B114" s="421" t="s">
        <v>349</v>
      </c>
      <c r="N114" s="421"/>
      <c r="O114" s="421"/>
      <c r="P114" s="422"/>
      <c r="Q114" s="284"/>
      <c r="R114" s="284"/>
      <c r="S114" s="284"/>
      <c r="T114" s="285"/>
      <c r="U114" s="280"/>
      <c r="V114" s="281"/>
    </row>
    <row r="115">
      <c r="A115" s="365"/>
      <c r="B115" s="423" t="s">
        <v>350</v>
      </c>
      <c r="C115" s="418"/>
      <c r="D115" s="418"/>
      <c r="E115" s="418"/>
      <c r="F115" s="418"/>
      <c r="G115" s="418"/>
      <c r="H115" s="418"/>
      <c r="I115" s="418"/>
      <c r="J115" s="418"/>
      <c r="K115" s="418"/>
      <c r="L115" s="418"/>
      <c r="M115" s="418"/>
      <c r="N115" s="421"/>
      <c r="O115" s="421"/>
      <c r="P115" s="422"/>
      <c r="Q115" s="284"/>
      <c r="R115" s="284"/>
      <c r="S115" s="284"/>
      <c r="T115" s="285"/>
      <c r="U115" s="280"/>
      <c r="V115" s="281"/>
    </row>
    <row r="116">
      <c r="A116" s="416"/>
      <c r="B116" s="424"/>
      <c r="C116" s="424"/>
      <c r="D116" s="425" t="s">
        <v>309</v>
      </c>
      <c r="E116" s="424"/>
      <c r="F116" s="424"/>
      <c r="G116" s="424"/>
      <c r="H116" s="424"/>
      <c r="I116" s="426"/>
      <c r="J116" s="426"/>
      <c r="K116" s="426"/>
      <c r="L116" s="427"/>
      <c r="M116" s="426"/>
      <c r="N116" s="368"/>
      <c r="O116" s="368"/>
      <c r="P116" s="369"/>
      <c r="Q116" s="284"/>
      <c r="R116" s="284"/>
      <c r="S116" s="284"/>
      <c r="T116" s="285"/>
      <c r="U116" s="280"/>
      <c r="V116" s="281"/>
    </row>
    <row r="117">
      <c r="A117" s="428"/>
      <c r="B117" s="428"/>
      <c r="C117" s="428"/>
      <c r="D117" s="428"/>
      <c r="E117" s="428"/>
      <c r="F117" s="428"/>
      <c r="G117" s="428"/>
      <c r="H117" s="428"/>
      <c r="I117" s="428"/>
      <c r="J117" s="428"/>
      <c r="K117" s="428"/>
      <c r="L117" s="429"/>
      <c r="M117" s="428"/>
      <c r="N117" s="428"/>
      <c r="O117" s="428"/>
      <c r="P117" s="429"/>
      <c r="Q117" s="284"/>
      <c r="R117" s="284"/>
      <c r="S117" s="284"/>
      <c r="T117" s="285"/>
      <c r="U117" s="280"/>
      <c r="V117" s="281"/>
    </row>
    <row r="118">
      <c r="A118" s="428"/>
      <c r="B118" s="428"/>
      <c r="C118" s="428"/>
      <c r="D118" s="428"/>
      <c r="E118" s="428"/>
      <c r="F118" s="428"/>
      <c r="G118" s="428"/>
      <c r="H118" s="428"/>
      <c r="I118" s="428"/>
      <c r="J118" s="428"/>
      <c r="K118" s="428"/>
      <c r="L118" s="429"/>
      <c r="M118" s="428"/>
      <c r="N118" s="428"/>
      <c r="O118" s="428"/>
      <c r="P118" s="429"/>
      <c r="Q118" s="284"/>
      <c r="R118" s="284"/>
      <c r="S118" s="284"/>
      <c r="T118" s="285"/>
      <c r="U118" s="280"/>
      <c r="V118" s="281"/>
    </row>
    <row r="119">
      <c r="A119" s="428"/>
      <c r="B119" s="428"/>
      <c r="C119" s="428"/>
      <c r="D119" s="428"/>
      <c r="E119" s="428"/>
      <c r="F119" s="428"/>
      <c r="G119" s="428"/>
      <c r="H119" s="428"/>
      <c r="I119" s="428"/>
      <c r="J119" s="428"/>
      <c r="K119" s="428"/>
      <c r="L119" s="429"/>
      <c r="M119" s="428"/>
      <c r="N119" s="428"/>
      <c r="O119" s="428"/>
      <c r="P119" s="429"/>
      <c r="Q119" s="284"/>
      <c r="R119" s="284"/>
      <c r="S119" s="284"/>
      <c r="T119" s="285"/>
      <c r="U119" s="280"/>
      <c r="V119" s="281"/>
    </row>
    <row r="120">
      <c r="A120" s="365"/>
      <c r="B120" s="365"/>
      <c r="C120" s="365"/>
      <c r="D120" s="365"/>
      <c r="E120" s="365"/>
      <c r="F120" s="365"/>
      <c r="G120" s="365"/>
      <c r="H120" s="365"/>
      <c r="I120" s="365"/>
      <c r="J120" s="365"/>
      <c r="K120" s="365"/>
      <c r="L120" s="430"/>
      <c r="M120" s="365"/>
      <c r="N120" s="428"/>
      <c r="O120" s="428"/>
      <c r="P120" s="429"/>
      <c r="Q120" s="284"/>
      <c r="R120" s="284"/>
      <c r="S120" s="284"/>
      <c r="T120" s="285"/>
      <c r="U120" s="280"/>
      <c r="V120" s="281"/>
    </row>
    <row r="121">
      <c r="A121" s="431" t="s">
        <v>351</v>
      </c>
      <c r="B121" s="418"/>
      <c r="C121" s="418"/>
      <c r="D121" s="418"/>
      <c r="E121" s="418"/>
      <c r="F121" s="418"/>
      <c r="G121" s="418"/>
      <c r="H121" s="418"/>
      <c r="I121" s="418"/>
      <c r="J121" s="418"/>
      <c r="K121" s="418"/>
      <c r="L121" s="418"/>
      <c r="M121" s="419"/>
      <c r="N121" s="432"/>
      <c r="O121" s="432"/>
      <c r="P121" s="432"/>
      <c r="Q121" s="284"/>
      <c r="R121" s="284"/>
      <c r="S121" s="284"/>
      <c r="T121" s="285"/>
      <c r="U121" s="280"/>
      <c r="V121" s="281"/>
    </row>
    <row r="122">
      <c r="A122" s="433" t="s">
        <v>352</v>
      </c>
      <c r="M122" s="434"/>
      <c r="N122" s="283"/>
      <c r="O122" s="283"/>
      <c r="P122" s="283"/>
      <c r="Q122" s="284"/>
      <c r="R122" s="284"/>
      <c r="S122" s="284"/>
      <c r="T122" s="285"/>
      <c r="U122" s="280"/>
      <c r="V122" s="281"/>
    </row>
    <row r="123">
      <c r="A123" s="435"/>
      <c r="B123" s="418"/>
      <c r="C123" s="418"/>
      <c r="D123" s="418"/>
      <c r="E123" s="418"/>
      <c r="F123" s="418"/>
      <c r="G123" s="418"/>
      <c r="H123" s="418"/>
      <c r="I123" s="418"/>
      <c r="J123" s="418"/>
      <c r="K123" s="418"/>
      <c r="L123" s="418"/>
      <c r="M123" s="419"/>
      <c r="N123" s="283"/>
      <c r="O123" s="283"/>
      <c r="P123" s="283"/>
      <c r="Q123" s="284"/>
      <c r="R123" s="284"/>
      <c r="S123" s="284"/>
      <c r="T123" s="285"/>
      <c r="U123" s="280"/>
      <c r="V123" s="281"/>
    </row>
    <row r="124">
      <c r="A124" s="413"/>
      <c r="B124" s="413"/>
      <c r="C124" s="413"/>
      <c r="D124" s="413"/>
      <c r="E124" s="413"/>
      <c r="F124" s="413"/>
      <c r="G124" s="413"/>
      <c r="H124" s="413"/>
      <c r="I124" s="413"/>
      <c r="J124" s="413"/>
      <c r="K124" s="413"/>
      <c r="L124" s="414"/>
      <c r="M124" s="413"/>
      <c r="N124" s="413"/>
      <c r="O124" s="413"/>
      <c r="P124" s="414"/>
      <c r="Q124" s="284"/>
      <c r="R124" s="284"/>
      <c r="S124" s="284"/>
      <c r="T124" s="285"/>
      <c r="U124" s="280"/>
      <c r="V124" s="281"/>
    </row>
    <row r="125">
      <c r="A125" s="436" t="s">
        <v>353</v>
      </c>
      <c r="G125" s="436"/>
      <c r="H125" s="436"/>
      <c r="I125" s="436"/>
      <c r="J125" s="436" t="s">
        <v>354</v>
      </c>
      <c r="L125" s="436"/>
      <c r="M125" s="437" t="s">
        <v>355</v>
      </c>
      <c r="N125" s="437"/>
      <c r="O125" s="437"/>
      <c r="P125" s="438"/>
      <c r="Q125" s="284"/>
      <c r="R125" s="439"/>
      <c r="U125" s="440"/>
      <c r="V125" s="441"/>
    </row>
    <row r="126">
      <c r="A126" s="436" t="s">
        <v>356</v>
      </c>
      <c r="G126" s="436"/>
      <c r="H126" s="436"/>
      <c r="I126" s="436"/>
      <c r="J126" s="436" t="s">
        <v>357</v>
      </c>
      <c r="L126" s="436"/>
      <c r="M126" s="442" t="s">
        <v>358</v>
      </c>
      <c r="N126" s="442"/>
      <c r="O126" s="442"/>
      <c r="P126" s="443"/>
      <c r="Q126" s="284"/>
      <c r="U126" s="440"/>
      <c r="V126" s="441"/>
    </row>
    <row r="127">
      <c r="A127" s="436" t="s">
        <v>359</v>
      </c>
      <c r="G127" s="436"/>
      <c r="H127" s="436"/>
      <c r="I127" s="436"/>
      <c r="J127" s="436" t="s">
        <v>360</v>
      </c>
      <c r="L127" s="436"/>
      <c r="M127" s="444" t="s">
        <v>361</v>
      </c>
      <c r="N127" s="444"/>
      <c r="O127" s="444"/>
      <c r="P127" s="445"/>
      <c r="Q127" s="284"/>
      <c r="U127" s="440"/>
      <c r="V127" s="441"/>
    </row>
    <row r="128">
      <c r="A128" s="417"/>
      <c r="B128" s="418"/>
      <c r="C128" s="418"/>
      <c r="D128" s="418"/>
      <c r="E128" s="418"/>
      <c r="F128" s="419"/>
      <c r="G128" s="446"/>
      <c r="H128" s="446"/>
      <c r="I128" s="446"/>
      <c r="J128" s="417"/>
      <c r="K128" s="418"/>
      <c r="L128" s="418"/>
      <c r="M128" s="419"/>
      <c r="N128" s="413"/>
      <c r="O128" s="413"/>
      <c r="P128" s="414"/>
      <c r="Q128" s="284"/>
      <c r="R128" s="284"/>
      <c r="S128" s="284"/>
      <c r="T128" s="285"/>
      <c r="U128" s="280"/>
      <c r="V128" s="281"/>
    </row>
    <row r="129">
      <c r="A129" s="447" t="s">
        <v>362</v>
      </c>
      <c r="B129" s="418"/>
      <c r="C129" s="418"/>
      <c r="D129" s="418"/>
      <c r="E129" s="418"/>
      <c r="F129" s="418"/>
      <c r="G129" s="418"/>
      <c r="H129" s="418"/>
      <c r="I129" s="418"/>
      <c r="J129" s="418"/>
      <c r="K129" s="418"/>
      <c r="L129" s="418"/>
      <c r="M129" s="419"/>
      <c r="N129" s="448"/>
      <c r="O129" s="448"/>
      <c r="P129" s="449"/>
      <c r="Q129" s="284"/>
      <c r="R129" s="284"/>
      <c r="S129" s="284"/>
      <c r="T129" s="285"/>
      <c r="U129" s="280"/>
      <c r="V129" s="281"/>
    </row>
    <row r="130">
      <c r="A130" s="413"/>
      <c r="J130" s="434"/>
      <c r="K130" s="450"/>
      <c r="L130" s="451"/>
      <c r="M130" s="382"/>
      <c r="N130" s="368"/>
      <c r="O130" s="368"/>
      <c r="P130" s="369"/>
      <c r="Q130" s="284"/>
      <c r="R130" s="284"/>
      <c r="S130" s="284"/>
      <c r="T130" s="285"/>
      <c r="U130" s="280"/>
      <c r="V130" s="281"/>
    </row>
    <row r="131">
      <c r="A131" s="384" t="s">
        <v>310</v>
      </c>
      <c r="B131" s="384" t="s">
        <v>311</v>
      </c>
      <c r="C131" s="384"/>
      <c r="D131" s="384" t="s">
        <v>312</v>
      </c>
      <c r="F131" s="384" t="s">
        <v>202</v>
      </c>
      <c r="G131" s="384"/>
      <c r="H131" s="384"/>
      <c r="I131" s="384"/>
      <c r="J131" s="384" t="s">
        <v>313</v>
      </c>
      <c r="K131" s="385" t="s">
        <v>161</v>
      </c>
      <c r="L131" s="385"/>
      <c r="M131" s="386" t="s">
        <v>205</v>
      </c>
      <c r="N131" s="386"/>
      <c r="O131" s="386"/>
      <c r="P131" s="385"/>
      <c r="Q131" s="284"/>
      <c r="R131" s="387" t="s">
        <v>205</v>
      </c>
      <c r="S131" s="387"/>
      <c r="T131" s="387"/>
      <c r="U131" s="388"/>
      <c r="V131" s="389"/>
    </row>
    <row r="132">
      <c r="C132" s="384"/>
      <c r="G132" s="384"/>
      <c r="H132" s="384"/>
      <c r="I132" s="384"/>
      <c r="K132" s="384" t="s">
        <v>314</v>
      </c>
      <c r="L132" s="384"/>
      <c r="M132" s="390" t="s">
        <v>315</v>
      </c>
      <c r="N132" s="390"/>
      <c r="O132" s="390"/>
      <c r="P132" s="384"/>
      <c r="Q132" s="284"/>
      <c r="R132" s="391" t="s">
        <v>315</v>
      </c>
      <c r="S132" s="391"/>
      <c r="T132" s="391"/>
      <c r="U132" s="392"/>
      <c r="V132" s="393"/>
    </row>
    <row r="133">
      <c r="A133" s="394" t="s">
        <v>363</v>
      </c>
      <c r="N133" s="394"/>
      <c r="O133" s="394"/>
      <c r="P133" s="394"/>
      <c r="Q133" s="284"/>
      <c r="R133" s="284"/>
      <c r="S133" s="284"/>
      <c r="T133" s="285"/>
      <c r="U133" s="280"/>
      <c r="V133" s="281"/>
    </row>
    <row r="134">
      <c r="A134" s="395">
        <v>1.0</v>
      </c>
      <c r="B134" s="395" t="s">
        <v>212</v>
      </c>
      <c r="C134" s="395"/>
      <c r="D134" s="396" t="s">
        <v>317</v>
      </c>
      <c r="E134" s="397"/>
      <c r="F134" s="395" t="s">
        <v>215</v>
      </c>
      <c r="G134" s="395"/>
      <c r="H134" s="395"/>
      <c r="I134" s="398"/>
      <c r="J134" s="398">
        <v>76000.0</v>
      </c>
      <c r="K134" s="398">
        <v>70000.0</v>
      </c>
      <c r="L134" s="399"/>
      <c r="M134" s="398">
        <v>64000.0</v>
      </c>
      <c r="N134" s="398"/>
      <c r="O134" s="398"/>
      <c r="P134" s="399"/>
      <c r="Q134" s="284"/>
      <c r="R134" s="405" t="str">
        <f t="shared" ref="R134:R137" si="84">+#REF!+5000</f>
        <v>#REF!</v>
      </c>
      <c r="S134" s="405"/>
      <c r="T134" s="406"/>
      <c r="U134" s="407"/>
      <c r="V134" s="408"/>
    </row>
    <row r="135">
      <c r="A135" s="395">
        <v>2.0</v>
      </c>
      <c r="B135" s="395" t="s">
        <v>217</v>
      </c>
      <c r="C135" s="395"/>
      <c r="D135" s="396" t="s">
        <v>318</v>
      </c>
      <c r="E135" s="397"/>
      <c r="F135" s="395" t="s">
        <v>215</v>
      </c>
      <c r="G135" s="395"/>
      <c r="H135" s="395"/>
      <c r="I135" s="398"/>
      <c r="J135" s="398">
        <v>89000.0</v>
      </c>
      <c r="K135" s="398">
        <v>83000.0</v>
      </c>
      <c r="L135" s="399"/>
      <c r="M135" s="398">
        <v>76000.0</v>
      </c>
      <c r="N135" s="398"/>
      <c r="O135" s="398"/>
      <c r="P135" s="399"/>
      <c r="Q135" s="284"/>
      <c r="R135" s="405" t="str">
        <f t="shared" si="84"/>
        <v>#REF!</v>
      </c>
      <c r="S135" s="405"/>
      <c r="T135" s="406"/>
      <c r="U135" s="407"/>
      <c r="V135" s="408"/>
    </row>
    <row r="136">
      <c r="A136" s="395">
        <v>3.0</v>
      </c>
      <c r="B136" s="395" t="s">
        <v>220</v>
      </c>
      <c r="C136" s="395"/>
      <c r="D136" s="396" t="s">
        <v>319</v>
      </c>
      <c r="E136" s="397"/>
      <c r="F136" s="395" t="s">
        <v>215</v>
      </c>
      <c r="G136" s="395"/>
      <c r="H136" s="395"/>
      <c r="I136" s="398"/>
      <c r="J136" s="398">
        <v>89000.0</v>
      </c>
      <c r="K136" s="398">
        <v>83000.0</v>
      </c>
      <c r="L136" s="399"/>
      <c r="M136" s="398">
        <v>76000.0</v>
      </c>
      <c r="N136" s="398"/>
      <c r="O136" s="398"/>
      <c r="P136" s="399"/>
      <c r="Q136" s="284"/>
      <c r="R136" s="405" t="str">
        <f t="shared" si="84"/>
        <v>#REF!</v>
      </c>
      <c r="S136" s="405"/>
      <c r="T136" s="406"/>
      <c r="U136" s="407"/>
      <c r="V136" s="408"/>
    </row>
    <row r="137">
      <c r="A137" s="395">
        <v>4.0</v>
      </c>
      <c r="B137" s="395" t="s">
        <v>223</v>
      </c>
      <c r="C137" s="395"/>
      <c r="D137" s="396" t="s">
        <v>320</v>
      </c>
      <c r="E137" s="397"/>
      <c r="F137" s="395" t="s">
        <v>215</v>
      </c>
      <c r="G137" s="395"/>
      <c r="H137" s="395"/>
      <c r="I137" s="398"/>
      <c r="J137" s="398">
        <v>116000.0</v>
      </c>
      <c r="K137" s="398">
        <v>110000.0</v>
      </c>
      <c r="L137" s="399"/>
      <c r="M137" s="398">
        <v>103000.0</v>
      </c>
      <c r="N137" s="398"/>
      <c r="O137" s="398"/>
      <c r="P137" s="399"/>
      <c r="Q137" s="284"/>
      <c r="R137" s="405" t="str">
        <f t="shared" si="84"/>
        <v>#REF!</v>
      </c>
      <c r="S137" s="405"/>
      <c r="T137" s="406"/>
      <c r="U137" s="407"/>
      <c r="V137" s="408"/>
    </row>
    <row r="138">
      <c r="A138" s="395">
        <v>5.0</v>
      </c>
      <c r="B138" s="395" t="s">
        <v>226</v>
      </c>
      <c r="C138" s="395"/>
      <c r="D138" s="396" t="s">
        <v>321</v>
      </c>
      <c r="E138" s="397"/>
      <c r="F138" s="395" t="s">
        <v>215</v>
      </c>
      <c r="G138" s="395"/>
      <c r="H138" s="395"/>
      <c r="I138" s="398"/>
      <c r="J138" s="398">
        <v>147000.0</v>
      </c>
      <c r="K138" s="398">
        <v>136000.0</v>
      </c>
      <c r="L138" s="399"/>
      <c r="M138" s="398">
        <v>124000.0</v>
      </c>
      <c r="N138" s="398"/>
      <c r="O138" s="398"/>
      <c r="P138" s="399"/>
      <c r="Q138" s="284"/>
      <c r="R138" s="405" t="str">
        <f t="shared" ref="R138:R140" si="85">+#REF!+10000</f>
        <v>#REF!</v>
      </c>
      <c r="S138" s="405"/>
      <c r="T138" s="406"/>
      <c r="U138" s="407"/>
      <c r="V138" s="408"/>
    </row>
    <row r="139">
      <c r="A139" s="395">
        <v>6.0</v>
      </c>
      <c r="B139" s="395" t="s">
        <v>229</v>
      </c>
      <c r="C139" s="395"/>
      <c r="D139" s="396" t="s">
        <v>322</v>
      </c>
      <c r="E139" s="397"/>
      <c r="F139" s="395" t="s">
        <v>215</v>
      </c>
      <c r="G139" s="395"/>
      <c r="H139" s="395"/>
      <c r="I139" s="398"/>
      <c r="J139" s="398">
        <v>178000.0</v>
      </c>
      <c r="K139" s="398">
        <v>166000.0</v>
      </c>
      <c r="L139" s="399"/>
      <c r="M139" s="398">
        <v>154000.0</v>
      </c>
      <c r="N139" s="398"/>
      <c r="O139" s="398"/>
      <c r="P139" s="399"/>
      <c r="Q139" s="284"/>
      <c r="R139" s="405" t="str">
        <f t="shared" si="85"/>
        <v>#REF!</v>
      </c>
      <c r="S139" s="405"/>
      <c r="T139" s="406"/>
      <c r="U139" s="407"/>
      <c r="V139" s="408"/>
    </row>
    <row r="140">
      <c r="A140" s="395">
        <v>7.0</v>
      </c>
      <c r="B140" s="395" t="s">
        <v>232</v>
      </c>
      <c r="C140" s="395"/>
      <c r="D140" s="400" t="s">
        <v>323</v>
      </c>
      <c r="E140" s="397"/>
      <c r="F140" s="395" t="s">
        <v>215</v>
      </c>
      <c r="G140" s="395"/>
      <c r="H140" s="395"/>
      <c r="I140" s="398"/>
      <c r="J140" s="398">
        <v>225000.0</v>
      </c>
      <c r="K140" s="398">
        <v>213000.0</v>
      </c>
      <c r="L140" s="399"/>
      <c r="M140" s="398">
        <v>200000.0</v>
      </c>
      <c r="N140" s="398"/>
      <c r="O140" s="398"/>
      <c r="P140" s="399"/>
      <c r="Q140" s="284"/>
      <c r="R140" s="405" t="str">
        <f t="shared" si="85"/>
        <v>#REF!</v>
      </c>
      <c r="S140" s="405"/>
      <c r="T140" s="406"/>
      <c r="U140" s="407"/>
      <c r="V140" s="408"/>
    </row>
    <row r="141">
      <c r="A141" s="395">
        <v>8.0</v>
      </c>
      <c r="B141" s="395" t="s">
        <v>235</v>
      </c>
      <c r="C141" s="395"/>
      <c r="D141" s="400" t="s">
        <v>324</v>
      </c>
      <c r="E141" s="397"/>
      <c r="F141" s="395" t="s">
        <v>215</v>
      </c>
      <c r="G141" s="395"/>
      <c r="H141" s="395"/>
      <c r="I141" s="398"/>
      <c r="J141" s="398">
        <v>294000.0</v>
      </c>
      <c r="K141" s="398">
        <v>271000.0</v>
      </c>
      <c r="L141" s="399"/>
      <c r="M141" s="398">
        <v>249000.0</v>
      </c>
      <c r="N141" s="398"/>
      <c r="O141" s="398"/>
      <c r="P141" s="399"/>
      <c r="Q141" s="284"/>
      <c r="R141" s="405" t="str">
        <f>+#REF!+20000</f>
        <v>#REF!</v>
      </c>
      <c r="S141" s="405"/>
      <c r="T141" s="406"/>
      <c r="U141" s="407"/>
      <c r="V141" s="408"/>
    </row>
    <row r="142">
      <c r="A142" s="394" t="s">
        <v>364</v>
      </c>
      <c r="N142" s="394"/>
      <c r="O142" s="394"/>
      <c r="P142" s="394"/>
      <c r="Q142" s="284"/>
      <c r="R142" s="401"/>
      <c r="S142" s="401"/>
      <c r="T142" s="402"/>
      <c r="U142" s="403"/>
      <c r="V142" s="404"/>
    </row>
    <row r="143">
      <c r="A143" s="395">
        <v>1.0</v>
      </c>
      <c r="B143" s="395" t="s">
        <v>261</v>
      </c>
      <c r="C143" s="395"/>
      <c r="D143" s="396" t="s">
        <v>327</v>
      </c>
      <c r="E143" s="397"/>
      <c r="F143" s="395" t="s">
        <v>215</v>
      </c>
      <c r="G143" s="395"/>
      <c r="H143" s="395"/>
      <c r="I143" s="398"/>
      <c r="J143" s="398">
        <v>171000.0</v>
      </c>
      <c r="K143" s="398">
        <v>159000.0</v>
      </c>
      <c r="L143" s="399"/>
      <c r="M143" s="398">
        <v>148000.0</v>
      </c>
      <c r="N143" s="398"/>
      <c r="O143" s="398"/>
      <c r="P143" s="399"/>
      <c r="Q143" s="284"/>
      <c r="R143" s="405" t="str">
        <f t="shared" ref="R143:R147" si="86">#REF!+10000</f>
        <v>#REF!</v>
      </c>
      <c r="S143" s="405"/>
      <c r="T143" s="406"/>
      <c r="U143" s="407"/>
      <c r="V143" s="408"/>
    </row>
    <row r="144">
      <c r="A144" s="395">
        <v>2.0</v>
      </c>
      <c r="B144" s="395" t="s">
        <v>264</v>
      </c>
      <c r="C144" s="395"/>
      <c r="D144" s="396" t="s">
        <v>328</v>
      </c>
      <c r="E144" s="397"/>
      <c r="F144" s="395" t="s">
        <v>215</v>
      </c>
      <c r="G144" s="395"/>
      <c r="H144" s="395"/>
      <c r="I144" s="398"/>
      <c r="J144" s="398">
        <v>202000.0</v>
      </c>
      <c r="K144" s="398">
        <v>190000.0</v>
      </c>
      <c r="L144" s="399"/>
      <c r="M144" s="398">
        <v>179000.0</v>
      </c>
      <c r="N144" s="398"/>
      <c r="O144" s="398"/>
      <c r="P144" s="399"/>
      <c r="Q144" s="284"/>
      <c r="R144" s="405" t="str">
        <f t="shared" si="86"/>
        <v>#REF!</v>
      </c>
      <c r="S144" s="405"/>
      <c r="T144" s="406"/>
      <c r="U144" s="407"/>
      <c r="V144" s="408"/>
    </row>
    <row r="145">
      <c r="A145" s="395">
        <v>3.0</v>
      </c>
      <c r="B145" s="395" t="s">
        <v>267</v>
      </c>
      <c r="C145" s="395"/>
      <c r="D145" s="396" t="s">
        <v>329</v>
      </c>
      <c r="E145" s="397"/>
      <c r="F145" s="395" t="s">
        <v>215</v>
      </c>
      <c r="G145" s="395"/>
      <c r="H145" s="395"/>
      <c r="I145" s="398"/>
      <c r="J145" s="398">
        <v>202000.0</v>
      </c>
      <c r="K145" s="398">
        <v>190000.0</v>
      </c>
      <c r="L145" s="399"/>
      <c r="M145" s="398">
        <v>179000.0</v>
      </c>
      <c r="N145" s="398"/>
      <c r="O145" s="398"/>
      <c r="P145" s="399"/>
      <c r="Q145" s="284"/>
      <c r="R145" s="405" t="str">
        <f t="shared" si="86"/>
        <v>#REF!</v>
      </c>
      <c r="S145" s="405"/>
      <c r="T145" s="406"/>
      <c r="U145" s="407"/>
      <c r="V145" s="408"/>
    </row>
    <row r="146">
      <c r="A146" s="395">
        <v>4.0</v>
      </c>
      <c r="B146" s="395" t="s">
        <v>270</v>
      </c>
      <c r="C146" s="395"/>
      <c r="D146" s="396" t="s">
        <v>330</v>
      </c>
      <c r="E146" s="397"/>
      <c r="F146" s="395" t="s">
        <v>215</v>
      </c>
      <c r="G146" s="395"/>
      <c r="H146" s="395"/>
      <c r="I146" s="398"/>
      <c r="J146" s="398">
        <v>230000.0</v>
      </c>
      <c r="K146" s="398">
        <v>219000.0</v>
      </c>
      <c r="L146" s="399"/>
      <c r="M146" s="398">
        <v>207000.0</v>
      </c>
      <c r="N146" s="398"/>
      <c r="O146" s="398"/>
      <c r="P146" s="399"/>
      <c r="Q146" s="284"/>
      <c r="R146" s="405" t="str">
        <f t="shared" si="86"/>
        <v>#REF!</v>
      </c>
      <c r="S146" s="405"/>
      <c r="T146" s="406"/>
      <c r="U146" s="407"/>
      <c r="V146" s="408"/>
    </row>
    <row r="147">
      <c r="A147" s="395">
        <v>5.0</v>
      </c>
      <c r="B147" s="395" t="s">
        <v>273</v>
      </c>
      <c r="C147" s="395"/>
      <c r="D147" s="396" t="s">
        <v>331</v>
      </c>
      <c r="E147" s="397"/>
      <c r="F147" s="395" t="s">
        <v>215</v>
      </c>
      <c r="G147" s="395"/>
      <c r="H147" s="395"/>
      <c r="I147" s="398"/>
      <c r="J147" s="398">
        <v>248000.0</v>
      </c>
      <c r="K147" s="398">
        <v>237000.0</v>
      </c>
      <c r="L147" s="399"/>
      <c r="M147" s="398">
        <v>226000.0</v>
      </c>
      <c r="N147" s="398"/>
      <c r="O147" s="398"/>
      <c r="P147" s="399"/>
      <c r="Q147" s="284"/>
      <c r="R147" s="405" t="str">
        <f t="shared" si="86"/>
        <v>#REF!</v>
      </c>
      <c r="S147" s="405"/>
      <c r="T147" s="406"/>
      <c r="U147" s="407"/>
      <c r="V147" s="408"/>
    </row>
    <row r="148">
      <c r="A148" s="395">
        <v>6.0</v>
      </c>
      <c r="B148" s="395" t="s">
        <v>276</v>
      </c>
      <c r="C148" s="395"/>
      <c r="D148" s="396" t="s">
        <v>332</v>
      </c>
      <c r="E148" s="397"/>
      <c r="F148" s="395" t="s">
        <v>215</v>
      </c>
      <c r="G148" s="395"/>
      <c r="H148" s="395"/>
      <c r="I148" s="398"/>
      <c r="J148" s="398">
        <v>359000.0</v>
      </c>
      <c r="K148" s="398">
        <v>336000.0</v>
      </c>
      <c r="L148" s="399"/>
      <c r="M148" s="398">
        <v>314000.0</v>
      </c>
      <c r="N148" s="398"/>
      <c r="O148" s="398"/>
      <c r="P148" s="399"/>
      <c r="Q148" s="284"/>
      <c r="R148" s="405" t="str">
        <f t="shared" ref="R148:R151" si="87">#REF!+20000</f>
        <v>#REF!</v>
      </c>
      <c r="S148" s="405"/>
      <c r="T148" s="406"/>
      <c r="U148" s="407"/>
      <c r="V148" s="408"/>
    </row>
    <row r="149">
      <c r="A149" s="395">
        <v>7.0</v>
      </c>
      <c r="B149" s="395" t="s">
        <v>279</v>
      </c>
      <c r="C149" s="395"/>
      <c r="D149" s="396" t="s">
        <v>333</v>
      </c>
      <c r="E149" s="397"/>
      <c r="F149" s="395" t="s">
        <v>215</v>
      </c>
      <c r="G149" s="395"/>
      <c r="H149" s="395"/>
      <c r="I149" s="398"/>
      <c r="J149" s="398">
        <v>412000.0</v>
      </c>
      <c r="K149" s="398">
        <v>390000.0</v>
      </c>
      <c r="L149" s="399"/>
      <c r="M149" s="398">
        <v>367000.0</v>
      </c>
      <c r="N149" s="398"/>
      <c r="O149" s="398"/>
      <c r="P149" s="399"/>
      <c r="Q149" s="284"/>
      <c r="R149" s="405" t="str">
        <f t="shared" si="87"/>
        <v>#REF!</v>
      </c>
      <c r="S149" s="405"/>
      <c r="T149" s="406"/>
      <c r="U149" s="407"/>
      <c r="V149" s="408"/>
    </row>
    <row r="150">
      <c r="A150" s="395">
        <v>8.0</v>
      </c>
      <c r="B150" s="395" t="s">
        <v>282</v>
      </c>
      <c r="C150" s="395"/>
      <c r="D150" s="396" t="s">
        <v>334</v>
      </c>
      <c r="E150" s="397"/>
      <c r="F150" s="395" t="s">
        <v>215</v>
      </c>
      <c r="G150" s="395"/>
      <c r="H150" s="395"/>
      <c r="I150" s="398"/>
      <c r="J150" s="398">
        <v>475000.0</v>
      </c>
      <c r="K150" s="398">
        <v>453000.0</v>
      </c>
      <c r="L150" s="399"/>
      <c r="M150" s="398">
        <v>431000.0</v>
      </c>
      <c r="N150" s="398"/>
      <c r="O150" s="398"/>
      <c r="P150" s="399"/>
      <c r="Q150" s="284"/>
      <c r="R150" s="405" t="str">
        <f t="shared" si="87"/>
        <v>#REF!</v>
      </c>
      <c r="S150" s="405"/>
      <c r="T150" s="406"/>
      <c r="U150" s="407"/>
      <c r="V150" s="408"/>
    </row>
    <row r="151">
      <c r="A151" s="395">
        <v>9.0</v>
      </c>
      <c r="B151" s="395" t="s">
        <v>285</v>
      </c>
      <c r="C151" s="395"/>
      <c r="D151" s="396" t="s">
        <v>335</v>
      </c>
      <c r="E151" s="397"/>
      <c r="F151" s="395" t="s">
        <v>215</v>
      </c>
      <c r="G151" s="395"/>
      <c r="H151" s="395"/>
      <c r="I151" s="411"/>
      <c r="J151" s="411">
        <v>610000.0</v>
      </c>
      <c r="K151" s="411">
        <v>590000.0</v>
      </c>
      <c r="L151" s="412"/>
      <c r="M151" s="411">
        <v>570000.0</v>
      </c>
      <c r="N151" s="411"/>
      <c r="O151" s="411"/>
      <c r="P151" s="412"/>
      <c r="Q151" s="284"/>
      <c r="R151" s="405" t="str">
        <f t="shared" si="87"/>
        <v>#REF!</v>
      </c>
      <c r="S151" s="405"/>
      <c r="T151" s="406"/>
      <c r="U151" s="407"/>
      <c r="V151" s="408"/>
    </row>
    <row r="152">
      <c r="A152" s="394" t="s">
        <v>365</v>
      </c>
      <c r="N152" s="394"/>
      <c r="O152" s="394"/>
      <c r="P152" s="394"/>
      <c r="Q152" s="284"/>
      <c r="R152" s="401"/>
      <c r="S152" s="401"/>
      <c r="T152" s="402"/>
      <c r="U152" s="403"/>
      <c r="V152" s="404"/>
    </row>
    <row r="153">
      <c r="A153" s="395">
        <v>1.0</v>
      </c>
      <c r="B153" s="395" t="s">
        <v>240</v>
      </c>
      <c r="C153" s="395"/>
      <c r="D153" s="396" t="s">
        <v>241</v>
      </c>
      <c r="E153" s="397"/>
      <c r="F153" s="395" t="s">
        <v>215</v>
      </c>
      <c r="G153" s="395"/>
      <c r="H153" s="395"/>
      <c r="I153" s="398"/>
      <c r="J153" s="398">
        <v>254000.0</v>
      </c>
      <c r="K153" s="398">
        <v>224000.0</v>
      </c>
      <c r="L153" s="399"/>
      <c r="M153" s="398">
        <v>212000.0</v>
      </c>
      <c r="N153" s="398"/>
      <c r="O153" s="398"/>
      <c r="P153" s="399"/>
      <c r="Q153" s="284"/>
      <c r="R153" s="405" t="str">
        <f t="shared" ref="R153:R159" si="88">+#REF!+10000</f>
        <v>#REF!</v>
      </c>
      <c r="S153" s="405"/>
      <c r="T153" s="406"/>
      <c r="U153" s="407"/>
      <c r="V153" s="408"/>
    </row>
    <row r="154">
      <c r="A154" s="395">
        <v>2.0</v>
      </c>
      <c r="B154" s="395" t="s">
        <v>243</v>
      </c>
      <c r="C154" s="395"/>
      <c r="D154" s="396" t="s">
        <v>244</v>
      </c>
      <c r="E154" s="397"/>
      <c r="F154" s="395" t="s">
        <v>215</v>
      </c>
      <c r="G154" s="395"/>
      <c r="H154" s="395"/>
      <c r="I154" s="398"/>
      <c r="J154" s="398">
        <v>283000.0</v>
      </c>
      <c r="K154" s="398">
        <v>237000.0</v>
      </c>
      <c r="L154" s="399"/>
      <c r="M154" s="398">
        <v>226000.0</v>
      </c>
      <c r="N154" s="398"/>
      <c r="O154" s="398"/>
      <c r="P154" s="399"/>
      <c r="Q154" s="284"/>
      <c r="R154" s="405" t="str">
        <f t="shared" si="88"/>
        <v>#REF!</v>
      </c>
      <c r="S154" s="405"/>
      <c r="T154" s="406"/>
      <c r="U154" s="407"/>
      <c r="V154" s="408"/>
    </row>
    <row r="155">
      <c r="A155" s="395">
        <v>3.0</v>
      </c>
      <c r="B155" s="395" t="s">
        <v>246</v>
      </c>
      <c r="C155" s="395"/>
      <c r="D155" s="396" t="s">
        <v>247</v>
      </c>
      <c r="E155" s="397"/>
      <c r="F155" s="395" t="s">
        <v>215</v>
      </c>
      <c r="G155" s="395"/>
      <c r="H155" s="395"/>
      <c r="I155" s="398"/>
      <c r="J155" s="398">
        <v>328000.0</v>
      </c>
      <c r="K155" s="398">
        <v>283000.0</v>
      </c>
      <c r="L155" s="399"/>
      <c r="M155" s="398">
        <v>271000.0</v>
      </c>
      <c r="N155" s="398"/>
      <c r="O155" s="398"/>
      <c r="P155" s="399"/>
      <c r="Q155" s="284"/>
      <c r="R155" s="405" t="str">
        <f t="shared" si="88"/>
        <v>#REF!</v>
      </c>
      <c r="S155" s="405"/>
      <c r="T155" s="406"/>
      <c r="U155" s="407"/>
      <c r="V155" s="408"/>
    </row>
    <row r="156">
      <c r="A156" s="395">
        <v>4.0</v>
      </c>
      <c r="B156" s="395" t="s">
        <v>249</v>
      </c>
      <c r="C156" s="395"/>
      <c r="D156" s="396" t="s">
        <v>250</v>
      </c>
      <c r="E156" s="397"/>
      <c r="F156" s="395" t="s">
        <v>215</v>
      </c>
      <c r="G156" s="395"/>
      <c r="H156" s="395"/>
      <c r="I156" s="398"/>
      <c r="J156" s="398">
        <v>340000.0</v>
      </c>
      <c r="K156" s="398">
        <v>294000.0</v>
      </c>
      <c r="L156" s="399"/>
      <c r="M156" s="398">
        <v>284000.0</v>
      </c>
      <c r="N156" s="398"/>
      <c r="O156" s="398"/>
      <c r="P156" s="399"/>
      <c r="Q156" s="284"/>
      <c r="R156" s="405" t="str">
        <f t="shared" si="88"/>
        <v>#REF!</v>
      </c>
      <c r="S156" s="405"/>
      <c r="T156" s="406"/>
      <c r="U156" s="407"/>
      <c r="V156" s="408"/>
    </row>
    <row r="157">
      <c r="A157" s="395">
        <v>5.0</v>
      </c>
      <c r="B157" s="395" t="s">
        <v>252</v>
      </c>
      <c r="C157" s="395"/>
      <c r="D157" s="396" t="s">
        <v>253</v>
      </c>
      <c r="E157" s="397"/>
      <c r="F157" s="395" t="s">
        <v>215</v>
      </c>
      <c r="G157" s="395"/>
      <c r="H157" s="395"/>
      <c r="I157" s="398"/>
      <c r="J157" s="398">
        <v>458000.0</v>
      </c>
      <c r="K157" s="398">
        <v>447000.0</v>
      </c>
      <c r="L157" s="399"/>
      <c r="M157" s="398">
        <v>436000.0</v>
      </c>
      <c r="N157" s="398"/>
      <c r="O157" s="398"/>
      <c r="P157" s="399"/>
      <c r="Q157" s="284"/>
      <c r="R157" s="405" t="str">
        <f t="shared" si="88"/>
        <v>#REF!</v>
      </c>
      <c r="S157" s="405"/>
      <c r="T157" s="406"/>
      <c r="U157" s="407"/>
      <c r="V157" s="408"/>
    </row>
    <row r="158">
      <c r="A158" s="395">
        <v>6.0</v>
      </c>
      <c r="B158" s="395" t="s">
        <v>255</v>
      </c>
      <c r="C158" s="395"/>
      <c r="D158" s="396" t="s">
        <v>256</v>
      </c>
      <c r="E158" s="397"/>
      <c r="F158" s="395" t="s">
        <v>215</v>
      </c>
      <c r="G158" s="395"/>
      <c r="H158" s="395"/>
      <c r="I158" s="398"/>
      <c r="J158" s="398">
        <v>477000.0</v>
      </c>
      <c r="K158" s="398">
        <v>466000.0</v>
      </c>
      <c r="L158" s="399"/>
      <c r="M158" s="398">
        <v>456000.0</v>
      </c>
      <c r="N158" s="398"/>
      <c r="O158" s="398"/>
      <c r="P158" s="399"/>
      <c r="Q158" s="284"/>
      <c r="R158" s="405" t="str">
        <f t="shared" si="88"/>
        <v>#REF!</v>
      </c>
      <c r="S158" s="405"/>
      <c r="T158" s="406"/>
      <c r="U158" s="407"/>
      <c r="V158" s="408"/>
    </row>
    <row r="159">
      <c r="A159" s="395">
        <v>7.0</v>
      </c>
      <c r="B159" s="395" t="s">
        <v>258</v>
      </c>
      <c r="C159" s="395"/>
      <c r="D159" s="396" t="s">
        <v>259</v>
      </c>
      <c r="E159" s="397"/>
      <c r="F159" s="395" t="s">
        <v>215</v>
      </c>
      <c r="G159" s="395"/>
      <c r="H159" s="395"/>
      <c r="I159" s="398"/>
      <c r="J159" s="398">
        <v>551000.0</v>
      </c>
      <c r="K159" s="398">
        <v>541000.0</v>
      </c>
      <c r="L159" s="399"/>
      <c r="M159" s="398">
        <v>530000.0</v>
      </c>
      <c r="N159" s="398"/>
      <c r="O159" s="398"/>
      <c r="P159" s="399"/>
      <c r="Q159" s="284"/>
      <c r="R159" s="405" t="str">
        <f t="shared" si="88"/>
        <v>#REF!</v>
      </c>
      <c r="S159" s="405"/>
      <c r="T159" s="406"/>
      <c r="U159" s="407"/>
      <c r="V159" s="408"/>
    </row>
    <row r="160">
      <c r="A160" s="415" t="s">
        <v>366</v>
      </c>
      <c r="N160" s="415"/>
      <c r="O160" s="415"/>
      <c r="P160" s="415"/>
      <c r="Q160" s="284"/>
      <c r="R160" s="284"/>
      <c r="S160" s="284"/>
      <c r="T160" s="285"/>
      <c r="U160" s="280"/>
      <c r="V160" s="281"/>
    </row>
    <row r="161">
      <c r="A161" s="395">
        <v>1.0</v>
      </c>
      <c r="B161" s="395" t="s">
        <v>243</v>
      </c>
      <c r="C161" s="395"/>
      <c r="D161" s="397" t="s">
        <v>337</v>
      </c>
      <c r="E161" s="397" t="s">
        <v>338</v>
      </c>
      <c r="F161" s="395" t="s">
        <v>339</v>
      </c>
      <c r="G161" s="395"/>
      <c r="H161" s="395"/>
      <c r="I161" s="411"/>
      <c r="J161" s="411" t="str">
        <f t="shared" ref="J161:J163" si="89">+K161+30000</f>
        <v>#REF!</v>
      </c>
      <c r="K161" s="411" t="str">
        <f t="shared" ref="K161:K163" si="90">+M161+20000</f>
        <v>#REF!</v>
      </c>
      <c r="L161" s="412"/>
      <c r="M161" s="411" t="str">
        <f t="shared" ref="M161:M163" si="91">+#REF!+20000</f>
        <v>#REF!</v>
      </c>
      <c r="N161" s="411"/>
      <c r="O161" s="411"/>
      <c r="P161" s="412"/>
      <c r="Q161" s="284"/>
      <c r="R161" s="284"/>
      <c r="S161" s="284"/>
      <c r="T161" s="285"/>
      <c r="U161" s="280"/>
      <c r="V161" s="281"/>
    </row>
    <row r="162">
      <c r="A162" s="395">
        <v>2.0</v>
      </c>
      <c r="B162" s="395" t="s">
        <v>243</v>
      </c>
      <c r="C162" s="395"/>
      <c r="D162" s="397" t="s">
        <v>337</v>
      </c>
      <c r="E162" s="397" t="s">
        <v>340</v>
      </c>
      <c r="F162" s="395" t="s">
        <v>339</v>
      </c>
      <c r="G162" s="395"/>
      <c r="H162" s="395"/>
      <c r="I162" s="411"/>
      <c r="J162" s="411" t="str">
        <f t="shared" si="89"/>
        <v>#REF!</v>
      </c>
      <c r="K162" s="411" t="str">
        <f t="shared" si="90"/>
        <v>#REF!</v>
      </c>
      <c r="L162" s="412"/>
      <c r="M162" s="411" t="str">
        <f t="shared" si="91"/>
        <v>#REF!</v>
      </c>
      <c r="N162" s="411"/>
      <c r="O162" s="411"/>
      <c r="P162" s="412"/>
      <c r="Q162" s="284"/>
      <c r="R162" s="284"/>
      <c r="S162" s="284"/>
      <c r="T162" s="285"/>
      <c r="U162" s="280"/>
      <c r="V162" s="281"/>
    </row>
    <row r="163">
      <c r="A163" s="395">
        <v>3.0</v>
      </c>
      <c r="B163" s="395" t="s">
        <v>246</v>
      </c>
      <c r="C163" s="395"/>
      <c r="D163" s="397" t="s">
        <v>337</v>
      </c>
      <c r="E163" s="397" t="s">
        <v>341</v>
      </c>
      <c r="F163" s="395" t="s">
        <v>342</v>
      </c>
      <c r="G163" s="395"/>
      <c r="H163" s="395"/>
      <c r="I163" s="411"/>
      <c r="J163" s="411" t="str">
        <f t="shared" si="89"/>
        <v>#REF!</v>
      </c>
      <c r="K163" s="411" t="str">
        <f t="shared" si="90"/>
        <v>#REF!</v>
      </c>
      <c r="L163" s="412"/>
      <c r="M163" s="411" t="str">
        <f t="shared" si="91"/>
        <v>#REF!</v>
      </c>
      <c r="N163" s="411"/>
      <c r="O163" s="411"/>
      <c r="P163" s="412"/>
      <c r="Q163" s="284"/>
      <c r="R163" s="284"/>
      <c r="S163" s="284"/>
      <c r="T163" s="285"/>
      <c r="U163" s="280"/>
      <c r="V163" s="281"/>
    </row>
    <row r="164">
      <c r="A164" s="415" t="s">
        <v>367</v>
      </c>
      <c r="N164" s="415"/>
      <c r="O164" s="415"/>
      <c r="P164" s="415"/>
      <c r="Q164" s="284"/>
      <c r="R164" s="284"/>
      <c r="S164" s="284"/>
      <c r="T164" s="285"/>
      <c r="U164" s="280"/>
      <c r="V164" s="281"/>
    </row>
    <row r="165">
      <c r="A165" s="395">
        <v>1.0</v>
      </c>
      <c r="B165" s="395" t="s">
        <v>243</v>
      </c>
      <c r="C165" s="395"/>
      <c r="D165" s="397" t="s">
        <v>337</v>
      </c>
      <c r="E165" s="397" t="s">
        <v>344</v>
      </c>
      <c r="F165" s="395" t="s">
        <v>339</v>
      </c>
      <c r="G165" s="395"/>
      <c r="H165" s="395"/>
      <c r="I165" s="411"/>
      <c r="J165" s="411" t="str">
        <f t="shared" ref="J165:J167" si="92">+K165+30000</f>
        <v>#REF!</v>
      </c>
      <c r="K165" s="411" t="str">
        <f t="shared" ref="K165:K167" si="93">+M165+20000</f>
        <v>#REF!</v>
      </c>
      <c r="L165" s="412"/>
      <c r="M165" s="411" t="str">
        <f t="shared" ref="M165:M167" si="94">+#REF!+20000</f>
        <v>#REF!</v>
      </c>
      <c r="N165" s="411"/>
      <c r="O165" s="411"/>
      <c r="P165" s="412"/>
      <c r="Q165" s="284"/>
      <c r="R165" s="284"/>
      <c r="S165" s="284"/>
      <c r="T165" s="285"/>
      <c r="U165" s="280"/>
      <c r="V165" s="281"/>
    </row>
    <row r="166">
      <c r="A166" s="395">
        <v>2.0</v>
      </c>
      <c r="B166" s="395" t="s">
        <v>243</v>
      </c>
      <c r="C166" s="395"/>
      <c r="D166" s="397" t="s">
        <v>337</v>
      </c>
      <c r="E166" s="397" t="s">
        <v>345</v>
      </c>
      <c r="F166" s="395" t="s">
        <v>339</v>
      </c>
      <c r="G166" s="395"/>
      <c r="H166" s="395"/>
      <c r="I166" s="411"/>
      <c r="J166" s="411" t="str">
        <f t="shared" si="92"/>
        <v>#REF!</v>
      </c>
      <c r="K166" s="411" t="str">
        <f t="shared" si="93"/>
        <v>#REF!</v>
      </c>
      <c r="L166" s="412"/>
      <c r="M166" s="411" t="str">
        <f t="shared" si="94"/>
        <v>#REF!</v>
      </c>
      <c r="N166" s="411"/>
      <c r="O166" s="411"/>
      <c r="P166" s="412"/>
      <c r="Q166" s="284"/>
      <c r="R166" s="284"/>
      <c r="S166" s="284"/>
      <c r="T166" s="285"/>
      <c r="U166" s="280"/>
      <c r="V166" s="281"/>
    </row>
    <row r="167">
      <c r="A167" s="395">
        <v>3.0</v>
      </c>
      <c r="B167" s="395" t="s">
        <v>246</v>
      </c>
      <c r="C167" s="395"/>
      <c r="D167" s="397" t="s">
        <v>337</v>
      </c>
      <c r="E167" s="397" t="s">
        <v>346</v>
      </c>
      <c r="F167" s="395" t="s">
        <v>342</v>
      </c>
      <c r="G167" s="395"/>
      <c r="H167" s="395"/>
      <c r="I167" s="411"/>
      <c r="J167" s="411" t="str">
        <f t="shared" si="92"/>
        <v>#REF!</v>
      </c>
      <c r="K167" s="411" t="str">
        <f t="shared" si="93"/>
        <v>#REF!</v>
      </c>
      <c r="L167" s="412"/>
      <c r="M167" s="411" t="str">
        <f t="shared" si="94"/>
        <v>#REF!</v>
      </c>
      <c r="N167" s="411"/>
      <c r="O167" s="411"/>
      <c r="P167" s="412"/>
      <c r="Q167" s="284"/>
      <c r="R167" s="284"/>
      <c r="S167" s="284"/>
      <c r="T167" s="285"/>
      <c r="U167" s="280"/>
      <c r="V167" s="281"/>
    </row>
    <row r="168">
      <c r="A168" s="413"/>
      <c r="K168" s="413"/>
      <c r="N168" s="413"/>
      <c r="O168" s="413"/>
      <c r="P168" s="414"/>
      <c r="Q168" s="284"/>
      <c r="R168" s="284"/>
      <c r="S168" s="284"/>
      <c r="T168" s="285"/>
      <c r="U168" s="280"/>
      <c r="V168" s="281"/>
    </row>
    <row r="169">
      <c r="A169" s="416"/>
      <c r="B169" s="417"/>
      <c r="C169" s="418"/>
      <c r="D169" s="418"/>
      <c r="E169" s="418"/>
      <c r="F169" s="418"/>
      <c r="G169" s="418"/>
      <c r="H169" s="418"/>
      <c r="I169" s="418"/>
      <c r="J169" s="418"/>
      <c r="K169" s="418"/>
      <c r="L169" s="418"/>
      <c r="M169" s="419"/>
      <c r="N169" s="413"/>
      <c r="O169" s="413"/>
      <c r="P169" s="414"/>
      <c r="Q169" s="284"/>
      <c r="R169" s="284"/>
      <c r="S169" s="284"/>
      <c r="T169" s="285"/>
      <c r="U169" s="280"/>
      <c r="V169" s="281"/>
    </row>
    <row r="170">
      <c r="A170" s="420">
        <v>1.0</v>
      </c>
      <c r="B170" s="421" t="s">
        <v>347</v>
      </c>
      <c r="N170" s="421"/>
      <c r="O170" s="421"/>
      <c r="P170" s="422"/>
      <c r="Q170" s="284"/>
      <c r="R170" s="284"/>
      <c r="S170" s="284"/>
      <c r="T170" s="285"/>
      <c r="U170" s="280"/>
      <c r="V170" s="281"/>
    </row>
    <row r="171">
      <c r="B171" s="421" t="s">
        <v>306</v>
      </c>
      <c r="N171" s="421"/>
      <c r="O171" s="421"/>
      <c r="P171" s="422"/>
      <c r="Q171" s="284"/>
      <c r="R171" s="284"/>
      <c r="S171" s="284"/>
      <c r="T171" s="285"/>
      <c r="U171" s="280"/>
      <c r="V171" s="281"/>
    </row>
    <row r="172">
      <c r="B172" s="421" t="s">
        <v>348</v>
      </c>
      <c r="N172" s="421"/>
      <c r="O172" s="421"/>
      <c r="P172" s="422"/>
      <c r="Q172" s="284"/>
      <c r="R172" s="284"/>
      <c r="S172" s="284"/>
      <c r="T172" s="285"/>
      <c r="U172" s="280"/>
      <c r="V172" s="281"/>
    </row>
    <row r="173">
      <c r="A173" s="420">
        <v>2.0</v>
      </c>
      <c r="B173" s="421" t="s">
        <v>307</v>
      </c>
      <c r="N173" s="421"/>
      <c r="O173" s="421"/>
      <c r="P173" s="422"/>
      <c r="Q173" s="284"/>
      <c r="R173" s="284"/>
      <c r="S173" s="284"/>
      <c r="T173" s="285"/>
      <c r="U173" s="280"/>
      <c r="V173" s="281"/>
    </row>
    <row r="174">
      <c r="A174" s="420">
        <v>3.0</v>
      </c>
      <c r="B174" s="421" t="s">
        <v>368</v>
      </c>
      <c r="N174" s="421"/>
      <c r="O174" s="421"/>
      <c r="P174" s="422"/>
      <c r="Q174" s="284"/>
      <c r="R174" s="284"/>
      <c r="S174" s="284"/>
      <c r="T174" s="285"/>
      <c r="U174" s="280"/>
      <c r="V174" s="281"/>
    </row>
    <row r="175">
      <c r="A175" s="365"/>
      <c r="B175" s="423" t="s">
        <v>350</v>
      </c>
      <c r="C175" s="418"/>
      <c r="D175" s="418"/>
      <c r="E175" s="418"/>
      <c r="F175" s="418"/>
      <c r="G175" s="418"/>
      <c r="H175" s="418"/>
      <c r="I175" s="418"/>
      <c r="J175" s="418"/>
      <c r="K175" s="418"/>
      <c r="L175" s="418"/>
      <c r="M175" s="418"/>
      <c r="N175" s="421"/>
      <c r="O175" s="421"/>
      <c r="P175" s="422"/>
      <c r="Q175" s="284"/>
      <c r="R175" s="284"/>
      <c r="S175" s="284"/>
      <c r="T175" s="285"/>
      <c r="U175" s="280"/>
      <c r="V175" s="281"/>
    </row>
    <row r="176">
      <c r="A176" s="416"/>
      <c r="B176" s="424"/>
      <c r="C176" s="424"/>
      <c r="D176" s="425" t="s">
        <v>309</v>
      </c>
      <c r="E176" s="424"/>
      <c r="F176" s="424"/>
      <c r="G176" s="424"/>
      <c r="H176" s="424"/>
      <c r="I176" s="426"/>
      <c r="J176" s="426"/>
      <c r="K176" s="426"/>
      <c r="L176" s="427"/>
      <c r="M176" s="426"/>
      <c r="N176" s="368"/>
      <c r="O176" s="368"/>
      <c r="P176" s="369"/>
      <c r="Q176" s="284"/>
      <c r="R176" s="284"/>
      <c r="S176" s="284"/>
      <c r="T176" s="285"/>
      <c r="U176" s="280"/>
      <c r="V176" s="281"/>
    </row>
    <row r="177">
      <c r="A177" s="428"/>
      <c r="B177" s="428"/>
      <c r="C177" s="428"/>
      <c r="D177" s="428"/>
      <c r="E177" s="428"/>
      <c r="F177" s="428"/>
      <c r="G177" s="428"/>
      <c r="H177" s="428"/>
      <c r="I177" s="428"/>
      <c r="J177" s="428"/>
      <c r="K177" s="428"/>
      <c r="L177" s="429"/>
      <c r="M177" s="428"/>
      <c r="N177" s="428"/>
      <c r="O177" s="428"/>
      <c r="P177" s="429"/>
      <c r="Q177" s="284"/>
      <c r="R177" s="284"/>
      <c r="S177" s="284"/>
      <c r="T177" s="285"/>
      <c r="U177" s="280"/>
      <c r="V177" s="281"/>
    </row>
    <row r="178">
      <c r="A178" s="428"/>
      <c r="B178" s="428"/>
      <c r="C178" s="428"/>
      <c r="D178" s="428"/>
      <c r="E178" s="428"/>
      <c r="F178" s="428"/>
      <c r="G178" s="428"/>
      <c r="H178" s="428"/>
      <c r="I178" s="428"/>
      <c r="J178" s="428"/>
      <c r="K178" s="428"/>
      <c r="L178" s="429"/>
      <c r="M178" s="428"/>
      <c r="N178" s="428"/>
      <c r="O178" s="428"/>
      <c r="P178" s="429"/>
      <c r="Q178" s="284"/>
      <c r="R178" s="284"/>
      <c r="S178" s="284"/>
      <c r="T178" s="285"/>
      <c r="U178" s="280"/>
      <c r="V178" s="281"/>
    </row>
    <row r="179">
      <c r="A179" s="428"/>
      <c r="B179" s="428"/>
      <c r="C179" s="428"/>
      <c r="D179" s="428"/>
      <c r="E179" s="428"/>
      <c r="F179" s="428"/>
      <c r="G179" s="428"/>
      <c r="H179" s="428"/>
      <c r="I179" s="428"/>
      <c r="J179" s="428"/>
      <c r="K179" s="428"/>
      <c r="L179" s="429"/>
      <c r="M179" s="428"/>
      <c r="N179" s="428"/>
      <c r="O179" s="428"/>
      <c r="P179" s="429"/>
      <c r="Q179" s="284"/>
      <c r="R179" s="284"/>
      <c r="S179" s="284"/>
      <c r="T179" s="285"/>
      <c r="U179" s="280"/>
      <c r="V179" s="281"/>
    </row>
    <row r="180">
      <c r="A180" s="365"/>
      <c r="B180" s="365"/>
      <c r="C180" s="365"/>
      <c r="D180" s="365"/>
      <c r="E180" s="365"/>
      <c r="F180" s="365"/>
      <c r="G180" s="365"/>
      <c r="H180" s="365"/>
      <c r="I180" s="365"/>
      <c r="J180" s="365"/>
      <c r="K180" s="365"/>
      <c r="L180" s="430"/>
      <c r="M180" s="365"/>
      <c r="N180" s="428"/>
      <c r="O180" s="428"/>
      <c r="P180" s="429"/>
      <c r="Q180" s="284"/>
      <c r="R180" s="284"/>
      <c r="S180" s="284"/>
      <c r="T180" s="285"/>
      <c r="U180" s="280"/>
      <c r="V180" s="281"/>
    </row>
    <row r="181">
      <c r="A181" s="431" t="s">
        <v>369</v>
      </c>
      <c r="B181" s="418"/>
      <c r="C181" s="418"/>
      <c r="D181" s="418"/>
      <c r="E181" s="418"/>
      <c r="F181" s="418"/>
      <c r="G181" s="418"/>
      <c r="H181" s="418"/>
      <c r="I181" s="418"/>
      <c r="J181" s="418"/>
      <c r="K181" s="418"/>
      <c r="L181" s="418"/>
      <c r="M181" s="419"/>
      <c r="N181" s="432"/>
      <c r="O181" s="432"/>
      <c r="P181" s="432"/>
      <c r="Q181" s="284"/>
      <c r="R181" s="284"/>
      <c r="S181" s="284"/>
      <c r="T181" s="285"/>
      <c r="U181" s="280"/>
      <c r="V181" s="281"/>
    </row>
    <row r="182">
      <c r="A182" s="433" t="s">
        <v>352</v>
      </c>
      <c r="M182" s="434"/>
      <c r="N182" s="283"/>
      <c r="O182" s="283"/>
      <c r="P182" s="283"/>
      <c r="Q182" s="284"/>
      <c r="R182" s="284"/>
      <c r="S182" s="284"/>
      <c r="T182" s="285"/>
      <c r="U182" s="280"/>
      <c r="V182" s="281"/>
    </row>
    <row r="183">
      <c r="A183" s="435"/>
      <c r="B183" s="418"/>
      <c r="C183" s="418"/>
      <c r="D183" s="418"/>
      <c r="E183" s="418"/>
      <c r="F183" s="418"/>
      <c r="G183" s="418"/>
      <c r="H183" s="418"/>
      <c r="I183" s="418"/>
      <c r="J183" s="418"/>
      <c r="K183" s="418"/>
      <c r="L183" s="418"/>
      <c r="M183" s="419"/>
      <c r="N183" s="283"/>
      <c r="O183" s="283"/>
      <c r="P183" s="283"/>
      <c r="Q183" s="284"/>
      <c r="R183" s="284"/>
      <c r="S183" s="284"/>
      <c r="T183" s="285"/>
      <c r="U183" s="280"/>
      <c r="V183" s="281"/>
    </row>
    <row r="184">
      <c r="A184" s="413"/>
      <c r="B184" s="413"/>
      <c r="C184" s="413"/>
      <c r="D184" s="413"/>
      <c r="E184" s="413"/>
      <c r="F184" s="413"/>
      <c r="G184" s="413"/>
      <c r="H184" s="413"/>
      <c r="I184" s="413"/>
      <c r="J184" s="413"/>
      <c r="K184" s="413"/>
      <c r="L184" s="414"/>
      <c r="M184" s="413"/>
      <c r="N184" s="413"/>
      <c r="O184" s="413"/>
      <c r="P184" s="414"/>
      <c r="Q184" s="284"/>
      <c r="R184" s="284"/>
      <c r="S184" s="284"/>
      <c r="T184" s="285"/>
      <c r="U184" s="280"/>
      <c r="V184" s="281"/>
    </row>
    <row r="185">
      <c r="A185" s="436" t="s">
        <v>370</v>
      </c>
      <c r="G185" s="436"/>
      <c r="H185" s="436"/>
      <c r="I185" s="436"/>
      <c r="J185" s="436" t="s">
        <v>354</v>
      </c>
      <c r="L185" s="436"/>
      <c r="M185" s="437" t="s">
        <v>355</v>
      </c>
      <c r="N185" s="437"/>
      <c r="O185" s="437"/>
      <c r="P185" s="438"/>
      <c r="Q185" s="284"/>
      <c r="R185" s="284"/>
      <c r="S185" s="284"/>
      <c r="T185" s="285"/>
      <c r="U185" s="280"/>
      <c r="V185" s="281"/>
    </row>
    <row r="186">
      <c r="A186" s="436" t="s">
        <v>371</v>
      </c>
      <c r="G186" s="436"/>
      <c r="H186" s="436"/>
      <c r="I186" s="436"/>
      <c r="J186" s="436" t="s">
        <v>357</v>
      </c>
      <c r="L186" s="436"/>
      <c r="M186" s="442" t="s">
        <v>358</v>
      </c>
      <c r="N186" s="442"/>
      <c r="O186" s="442"/>
      <c r="P186" s="443"/>
      <c r="Q186" s="284"/>
      <c r="R186" s="284"/>
      <c r="S186" s="284"/>
      <c r="T186" s="285"/>
      <c r="U186" s="280"/>
      <c r="V186" s="281"/>
    </row>
    <row r="187">
      <c r="A187" s="436" t="s">
        <v>372</v>
      </c>
      <c r="G187" s="436"/>
      <c r="H187" s="436"/>
      <c r="I187" s="436"/>
      <c r="J187" s="436" t="s">
        <v>360</v>
      </c>
      <c r="L187" s="436"/>
      <c r="M187" s="444" t="s">
        <v>361</v>
      </c>
      <c r="N187" s="444"/>
      <c r="O187" s="444"/>
      <c r="P187" s="445"/>
      <c r="Q187" s="284"/>
      <c r="R187" s="284"/>
      <c r="S187" s="284"/>
      <c r="T187" s="285"/>
      <c r="U187" s="280"/>
      <c r="V187" s="281"/>
    </row>
    <row r="188">
      <c r="A188" s="417"/>
      <c r="B188" s="418"/>
      <c r="C188" s="418"/>
      <c r="D188" s="418"/>
      <c r="E188" s="418"/>
      <c r="F188" s="419"/>
      <c r="G188" s="446"/>
      <c r="H188" s="446"/>
      <c r="I188" s="446"/>
      <c r="J188" s="417"/>
      <c r="K188" s="418"/>
      <c r="L188" s="418"/>
      <c r="M188" s="419"/>
      <c r="N188" s="413"/>
      <c r="O188" s="413"/>
      <c r="P188" s="414"/>
      <c r="Q188" s="284"/>
      <c r="R188" s="284"/>
      <c r="S188" s="284"/>
      <c r="T188" s="285"/>
      <c r="U188" s="280"/>
      <c r="V188" s="281"/>
    </row>
    <row r="189">
      <c r="A189" s="447" t="s">
        <v>373</v>
      </c>
      <c r="B189" s="418"/>
      <c r="C189" s="418"/>
      <c r="D189" s="418"/>
      <c r="E189" s="418"/>
      <c r="F189" s="418"/>
      <c r="G189" s="418"/>
      <c r="H189" s="418"/>
      <c r="I189" s="418"/>
      <c r="J189" s="418"/>
      <c r="K189" s="418"/>
      <c r="L189" s="418"/>
      <c r="M189" s="419"/>
      <c r="N189" s="448"/>
      <c r="O189" s="448"/>
      <c r="P189" s="449"/>
      <c r="Q189" s="284"/>
      <c r="R189" s="284"/>
      <c r="S189" s="284"/>
      <c r="T189" s="285"/>
      <c r="U189" s="280"/>
      <c r="V189" s="281"/>
    </row>
    <row r="190">
      <c r="A190" s="413"/>
      <c r="J190" s="434"/>
      <c r="K190" s="450"/>
      <c r="L190" s="451"/>
      <c r="M190" s="382"/>
      <c r="N190" s="368"/>
      <c r="O190" s="368"/>
      <c r="P190" s="369"/>
      <c r="Q190" s="284"/>
      <c r="R190" s="284"/>
      <c r="S190" s="284"/>
      <c r="T190" s="285"/>
      <c r="U190" s="280"/>
      <c r="V190" s="281"/>
    </row>
    <row r="191">
      <c r="A191" s="384" t="s">
        <v>310</v>
      </c>
      <c r="B191" s="384" t="s">
        <v>311</v>
      </c>
      <c r="C191" s="384"/>
      <c r="D191" s="384" t="s">
        <v>312</v>
      </c>
      <c r="F191" s="384" t="s">
        <v>202</v>
      </c>
      <c r="G191" s="384"/>
      <c r="H191" s="384"/>
      <c r="I191" s="384"/>
      <c r="J191" s="384" t="s">
        <v>313</v>
      </c>
      <c r="K191" s="385" t="s">
        <v>161</v>
      </c>
      <c r="L191" s="385"/>
      <c r="M191" s="386" t="s">
        <v>205</v>
      </c>
      <c r="N191" s="386"/>
      <c r="O191" s="386"/>
      <c r="P191" s="385"/>
      <c r="Q191" s="284"/>
      <c r="R191" s="284"/>
      <c r="S191" s="284"/>
      <c r="T191" s="285"/>
      <c r="U191" s="280"/>
      <c r="V191" s="281"/>
    </row>
    <row r="192">
      <c r="C192" s="384"/>
      <c r="G192" s="384"/>
      <c r="H192" s="384"/>
      <c r="I192" s="384"/>
      <c r="K192" s="384" t="s">
        <v>314</v>
      </c>
      <c r="L192" s="384"/>
      <c r="M192" s="390" t="s">
        <v>315</v>
      </c>
      <c r="N192" s="390"/>
      <c r="O192" s="390"/>
      <c r="P192" s="384"/>
      <c r="Q192" s="284"/>
      <c r="R192" s="284"/>
      <c r="S192" s="284"/>
      <c r="T192" s="285"/>
      <c r="U192" s="280"/>
      <c r="V192" s="281"/>
    </row>
    <row r="193">
      <c r="A193" s="394" t="s">
        <v>374</v>
      </c>
      <c r="N193" s="394"/>
      <c r="O193" s="394"/>
      <c r="P193" s="394"/>
      <c r="Q193" s="284"/>
      <c r="R193" s="284"/>
      <c r="S193" s="284"/>
      <c r="T193" s="285"/>
      <c r="U193" s="280"/>
      <c r="V193" s="281"/>
    </row>
    <row r="194">
      <c r="A194" s="395">
        <v>1.0</v>
      </c>
      <c r="B194" s="395" t="s">
        <v>213</v>
      </c>
      <c r="C194" s="395"/>
      <c r="D194" s="396" t="s">
        <v>214</v>
      </c>
      <c r="E194" s="397"/>
      <c r="F194" s="395" t="s">
        <v>215</v>
      </c>
      <c r="G194" s="395"/>
      <c r="H194" s="395"/>
      <c r="I194" s="411"/>
      <c r="J194" s="411" t="str">
        <f t="shared" ref="J194:J197" si="95">+K194+5000</f>
        <v>#REF!</v>
      </c>
      <c r="K194" s="411" t="str">
        <f t="shared" ref="K194:K197" si="96">+M194+5000</f>
        <v>#REF!</v>
      </c>
      <c r="L194" s="412"/>
      <c r="M194" s="411" t="str">
        <f t="shared" ref="M194:M197" si="97">+#REF!+5000</f>
        <v>#REF!</v>
      </c>
      <c r="N194" s="411"/>
      <c r="O194" s="411"/>
      <c r="P194" s="412"/>
      <c r="Q194" s="284"/>
      <c r="R194" s="284"/>
      <c r="S194" s="284"/>
      <c r="T194" s="285"/>
      <c r="U194" s="280"/>
      <c r="V194" s="281"/>
    </row>
    <row r="195">
      <c r="A195" s="395">
        <v>2.0</v>
      </c>
      <c r="B195" s="395" t="s">
        <v>218</v>
      </c>
      <c r="C195" s="395"/>
      <c r="D195" s="396" t="s">
        <v>219</v>
      </c>
      <c r="E195" s="397"/>
      <c r="F195" s="395" t="s">
        <v>215</v>
      </c>
      <c r="G195" s="395"/>
      <c r="H195" s="395"/>
      <c r="I195" s="411"/>
      <c r="J195" s="411" t="str">
        <f t="shared" si="95"/>
        <v>#REF!</v>
      </c>
      <c r="K195" s="411" t="str">
        <f t="shared" si="96"/>
        <v>#REF!</v>
      </c>
      <c r="L195" s="412"/>
      <c r="M195" s="411" t="str">
        <f t="shared" si="97"/>
        <v>#REF!</v>
      </c>
      <c r="N195" s="411"/>
      <c r="O195" s="411"/>
      <c r="P195" s="412"/>
      <c r="Q195" s="284"/>
      <c r="R195" s="284"/>
      <c r="S195" s="284"/>
      <c r="T195" s="285"/>
      <c r="U195" s="280"/>
      <c r="V195" s="281"/>
    </row>
    <row r="196">
      <c r="A196" s="395">
        <v>3.0</v>
      </c>
      <c r="B196" s="395" t="s">
        <v>221</v>
      </c>
      <c r="C196" s="395"/>
      <c r="D196" s="396" t="s">
        <v>222</v>
      </c>
      <c r="E196" s="397"/>
      <c r="F196" s="395" t="s">
        <v>215</v>
      </c>
      <c r="G196" s="395"/>
      <c r="H196" s="395"/>
      <c r="I196" s="411"/>
      <c r="J196" s="411" t="str">
        <f t="shared" si="95"/>
        <v>#REF!</v>
      </c>
      <c r="K196" s="411" t="str">
        <f t="shared" si="96"/>
        <v>#REF!</v>
      </c>
      <c r="L196" s="412"/>
      <c r="M196" s="411" t="str">
        <f t="shared" si="97"/>
        <v>#REF!</v>
      </c>
      <c r="N196" s="411"/>
      <c r="O196" s="411"/>
      <c r="P196" s="412"/>
      <c r="Q196" s="284"/>
      <c r="R196" s="284"/>
      <c r="S196" s="284"/>
      <c r="T196" s="285"/>
      <c r="U196" s="280"/>
      <c r="V196" s="281"/>
    </row>
    <row r="197">
      <c r="A197" s="395">
        <v>4.0</v>
      </c>
      <c r="B197" s="395" t="s">
        <v>224</v>
      </c>
      <c r="C197" s="395"/>
      <c r="D197" s="396" t="s">
        <v>225</v>
      </c>
      <c r="E197" s="397"/>
      <c r="F197" s="395" t="s">
        <v>215</v>
      </c>
      <c r="G197" s="395"/>
      <c r="H197" s="395"/>
      <c r="I197" s="411"/>
      <c r="J197" s="411" t="str">
        <f t="shared" si="95"/>
        <v>#REF!</v>
      </c>
      <c r="K197" s="411" t="str">
        <f t="shared" si="96"/>
        <v>#REF!</v>
      </c>
      <c r="L197" s="412"/>
      <c r="M197" s="411" t="str">
        <f t="shared" si="97"/>
        <v>#REF!</v>
      </c>
      <c r="N197" s="411"/>
      <c r="O197" s="411"/>
      <c r="P197" s="412"/>
      <c r="Q197" s="284"/>
      <c r="R197" s="284"/>
      <c r="S197" s="284"/>
      <c r="T197" s="285"/>
      <c r="U197" s="280"/>
      <c r="V197" s="281"/>
    </row>
    <row r="198">
      <c r="A198" s="395">
        <v>5.0</v>
      </c>
      <c r="B198" s="395" t="s">
        <v>227</v>
      </c>
      <c r="C198" s="395"/>
      <c r="D198" s="396" t="s">
        <v>228</v>
      </c>
      <c r="E198" s="397"/>
      <c r="F198" s="395" t="s">
        <v>215</v>
      </c>
      <c r="G198" s="395"/>
      <c r="H198" s="395"/>
      <c r="I198" s="411"/>
      <c r="J198" s="411" t="str">
        <f t="shared" ref="J198:J199" si="98">+K198+10000</f>
        <v>#REF!</v>
      </c>
      <c r="K198" s="411" t="str">
        <f t="shared" ref="K198:K200" si="99">+M198+10000</f>
        <v>#REF!</v>
      </c>
      <c r="L198" s="412"/>
      <c r="M198" s="411" t="str">
        <f t="shared" ref="M198:M200" si="100">+#REF!+10000</f>
        <v>#REF!</v>
      </c>
      <c r="N198" s="411"/>
      <c r="O198" s="411"/>
      <c r="P198" s="412"/>
      <c r="Q198" s="284"/>
      <c r="R198" s="284"/>
      <c r="S198" s="284"/>
      <c r="T198" s="285"/>
      <c r="U198" s="280"/>
      <c r="V198" s="281"/>
    </row>
    <row r="199">
      <c r="A199" s="395">
        <v>6.0</v>
      </c>
      <c r="B199" s="395" t="s">
        <v>230</v>
      </c>
      <c r="C199" s="395"/>
      <c r="D199" s="396" t="s">
        <v>231</v>
      </c>
      <c r="E199" s="397"/>
      <c r="F199" s="395" t="s">
        <v>215</v>
      </c>
      <c r="G199" s="395"/>
      <c r="H199" s="395"/>
      <c r="I199" s="411"/>
      <c r="J199" s="411" t="str">
        <f t="shared" si="98"/>
        <v>#REF!</v>
      </c>
      <c r="K199" s="411" t="str">
        <f t="shared" si="99"/>
        <v>#REF!</v>
      </c>
      <c r="L199" s="412"/>
      <c r="M199" s="411" t="str">
        <f t="shared" si="100"/>
        <v>#REF!</v>
      </c>
      <c r="N199" s="411"/>
      <c r="O199" s="411"/>
      <c r="P199" s="412"/>
      <c r="Q199" s="284"/>
      <c r="R199" s="284"/>
      <c r="S199" s="284"/>
      <c r="T199" s="285"/>
      <c r="U199" s="280"/>
      <c r="V199" s="281"/>
    </row>
    <row r="200">
      <c r="A200" s="395">
        <v>7.0</v>
      </c>
      <c r="B200" s="395" t="s">
        <v>233</v>
      </c>
      <c r="C200" s="395"/>
      <c r="D200" s="400" t="s">
        <v>234</v>
      </c>
      <c r="E200" s="397"/>
      <c r="F200" s="395" t="s">
        <v>215</v>
      </c>
      <c r="G200" s="395"/>
      <c r="H200" s="395"/>
      <c r="I200" s="411"/>
      <c r="J200" s="411" t="str">
        <f>K200+10000</f>
        <v>#REF!</v>
      </c>
      <c r="K200" s="411" t="str">
        <f t="shared" si="99"/>
        <v>#REF!</v>
      </c>
      <c r="L200" s="412"/>
      <c r="M200" s="411" t="str">
        <f t="shared" si="100"/>
        <v>#REF!</v>
      </c>
      <c r="N200" s="411"/>
      <c r="O200" s="411"/>
      <c r="P200" s="412"/>
      <c r="Q200" s="284"/>
      <c r="R200" s="284"/>
      <c r="S200" s="284"/>
      <c r="T200" s="285"/>
      <c r="U200" s="280"/>
      <c r="V200" s="281"/>
    </row>
    <row r="201">
      <c r="A201" s="395">
        <v>8.0</v>
      </c>
      <c r="B201" s="395" t="s">
        <v>236</v>
      </c>
      <c r="C201" s="395"/>
      <c r="D201" s="400" t="s">
        <v>237</v>
      </c>
      <c r="E201" s="397"/>
      <c r="F201" s="395" t="s">
        <v>215</v>
      </c>
      <c r="G201" s="395"/>
      <c r="H201" s="395"/>
      <c r="I201" s="411"/>
      <c r="J201" s="411" t="str">
        <f>K201+20000</f>
        <v>#REF!</v>
      </c>
      <c r="K201" s="411" t="str">
        <f>+M201+20000</f>
        <v>#REF!</v>
      </c>
      <c r="L201" s="412"/>
      <c r="M201" s="411" t="str">
        <f>+#REF!+20000</f>
        <v>#REF!</v>
      </c>
      <c r="N201" s="411"/>
      <c r="O201" s="411"/>
      <c r="P201" s="412"/>
      <c r="Q201" s="284"/>
      <c r="R201" s="284"/>
      <c r="S201" s="284"/>
      <c r="T201" s="285"/>
      <c r="U201" s="280"/>
      <c r="V201" s="281"/>
    </row>
    <row r="202">
      <c r="A202" s="394" t="s">
        <v>375</v>
      </c>
      <c r="N202" s="394"/>
      <c r="O202" s="394"/>
      <c r="P202" s="394"/>
      <c r="Q202" s="284"/>
      <c r="R202" s="284"/>
      <c r="S202" s="284"/>
      <c r="T202" s="285"/>
      <c r="U202" s="280"/>
      <c r="V202" s="281"/>
    </row>
    <row r="203">
      <c r="A203" s="395">
        <v>1.0</v>
      </c>
      <c r="B203" s="395" t="s">
        <v>262</v>
      </c>
      <c r="C203" s="395"/>
      <c r="D203" s="396" t="s">
        <v>263</v>
      </c>
      <c r="E203" s="397"/>
      <c r="F203" s="395" t="s">
        <v>215</v>
      </c>
      <c r="G203" s="395"/>
      <c r="H203" s="395"/>
      <c r="I203" s="411"/>
      <c r="J203" s="411" t="str">
        <f t="shared" ref="J203:J207" si="101">K203+10000</f>
        <v>#REF!</v>
      </c>
      <c r="K203" s="411" t="str">
        <f t="shared" ref="K203:K207" si="102">M203+10000</f>
        <v>#REF!</v>
      </c>
      <c r="L203" s="412"/>
      <c r="M203" s="411" t="str">
        <f t="shared" ref="M203:M207" si="103">#REF!+10000</f>
        <v>#REF!</v>
      </c>
      <c r="N203" s="411"/>
      <c r="O203" s="411"/>
      <c r="P203" s="412"/>
      <c r="Q203" s="284"/>
      <c r="R203" s="284"/>
      <c r="S203" s="284"/>
      <c r="T203" s="285"/>
      <c r="U203" s="280"/>
      <c r="V203" s="281"/>
    </row>
    <row r="204">
      <c r="A204" s="395">
        <v>2.0</v>
      </c>
      <c r="B204" s="395" t="s">
        <v>265</v>
      </c>
      <c r="C204" s="395"/>
      <c r="D204" s="396" t="s">
        <v>266</v>
      </c>
      <c r="E204" s="397"/>
      <c r="F204" s="395" t="s">
        <v>215</v>
      </c>
      <c r="G204" s="395"/>
      <c r="H204" s="395"/>
      <c r="I204" s="411"/>
      <c r="J204" s="411" t="str">
        <f t="shared" si="101"/>
        <v>#REF!</v>
      </c>
      <c r="K204" s="411" t="str">
        <f t="shared" si="102"/>
        <v>#REF!</v>
      </c>
      <c r="L204" s="412"/>
      <c r="M204" s="411" t="str">
        <f t="shared" si="103"/>
        <v>#REF!</v>
      </c>
      <c r="N204" s="411"/>
      <c r="O204" s="411"/>
      <c r="P204" s="412"/>
      <c r="Q204" s="284"/>
      <c r="R204" s="284"/>
      <c r="S204" s="284"/>
      <c r="T204" s="285"/>
      <c r="U204" s="280"/>
      <c r="V204" s="281"/>
    </row>
    <row r="205">
      <c r="A205" s="395">
        <v>3.0</v>
      </c>
      <c r="B205" s="395" t="s">
        <v>268</v>
      </c>
      <c r="C205" s="395"/>
      <c r="D205" s="396" t="s">
        <v>269</v>
      </c>
      <c r="E205" s="397"/>
      <c r="F205" s="395" t="s">
        <v>215</v>
      </c>
      <c r="G205" s="395"/>
      <c r="H205" s="395"/>
      <c r="I205" s="411"/>
      <c r="J205" s="411" t="str">
        <f t="shared" si="101"/>
        <v>#REF!</v>
      </c>
      <c r="K205" s="411" t="str">
        <f t="shared" si="102"/>
        <v>#REF!</v>
      </c>
      <c r="L205" s="412"/>
      <c r="M205" s="411" t="str">
        <f t="shared" si="103"/>
        <v>#REF!</v>
      </c>
      <c r="N205" s="411"/>
      <c r="O205" s="411"/>
      <c r="P205" s="412"/>
      <c r="Q205" s="284"/>
      <c r="R205" s="284"/>
      <c r="S205" s="284"/>
      <c r="T205" s="285"/>
      <c r="U205" s="280"/>
      <c r="V205" s="281"/>
    </row>
    <row r="206">
      <c r="A206" s="395">
        <v>4.0</v>
      </c>
      <c r="B206" s="395" t="s">
        <v>271</v>
      </c>
      <c r="C206" s="395"/>
      <c r="D206" s="396" t="s">
        <v>272</v>
      </c>
      <c r="E206" s="397"/>
      <c r="F206" s="395" t="s">
        <v>215</v>
      </c>
      <c r="G206" s="395"/>
      <c r="H206" s="395"/>
      <c r="I206" s="411"/>
      <c r="J206" s="411" t="str">
        <f t="shared" si="101"/>
        <v>#REF!</v>
      </c>
      <c r="K206" s="411" t="str">
        <f t="shared" si="102"/>
        <v>#REF!</v>
      </c>
      <c r="L206" s="412"/>
      <c r="M206" s="411" t="str">
        <f t="shared" si="103"/>
        <v>#REF!</v>
      </c>
      <c r="N206" s="411"/>
      <c r="O206" s="411"/>
      <c r="P206" s="412"/>
      <c r="Q206" s="284"/>
      <c r="R206" s="284"/>
      <c r="S206" s="284"/>
      <c r="T206" s="285"/>
      <c r="U206" s="280"/>
      <c r="V206" s="281"/>
    </row>
    <row r="207">
      <c r="A207" s="395">
        <v>5.0</v>
      </c>
      <c r="B207" s="395" t="s">
        <v>274</v>
      </c>
      <c r="C207" s="395"/>
      <c r="D207" s="396" t="s">
        <v>275</v>
      </c>
      <c r="E207" s="397"/>
      <c r="F207" s="395" t="s">
        <v>215</v>
      </c>
      <c r="G207" s="395"/>
      <c r="H207" s="395"/>
      <c r="I207" s="411"/>
      <c r="J207" s="411" t="str">
        <f t="shared" si="101"/>
        <v>#REF!</v>
      </c>
      <c r="K207" s="411" t="str">
        <f t="shared" si="102"/>
        <v>#REF!</v>
      </c>
      <c r="L207" s="412"/>
      <c r="M207" s="411" t="str">
        <f t="shared" si="103"/>
        <v>#REF!</v>
      </c>
      <c r="N207" s="411"/>
      <c r="O207" s="411"/>
      <c r="P207" s="412"/>
      <c r="Q207" s="284"/>
      <c r="R207" s="284"/>
      <c r="S207" s="284"/>
      <c r="T207" s="285"/>
      <c r="U207" s="280"/>
      <c r="V207" s="281"/>
    </row>
    <row r="208">
      <c r="A208" s="395">
        <v>6.0</v>
      </c>
      <c r="B208" s="395" t="s">
        <v>277</v>
      </c>
      <c r="C208" s="395"/>
      <c r="D208" s="396" t="s">
        <v>278</v>
      </c>
      <c r="E208" s="397"/>
      <c r="F208" s="395" t="s">
        <v>215</v>
      </c>
      <c r="G208" s="395"/>
      <c r="H208" s="395"/>
      <c r="I208" s="411"/>
      <c r="J208" s="411" t="str">
        <f t="shared" ref="J208:J211" si="104">K208+20000</f>
        <v>#REF!</v>
      </c>
      <c r="K208" s="411" t="str">
        <f t="shared" ref="K208:K211" si="105">M208+20000</f>
        <v>#REF!</v>
      </c>
      <c r="L208" s="412"/>
      <c r="M208" s="411" t="str">
        <f t="shared" ref="M208:M211" si="106">#REF!+20000</f>
        <v>#REF!</v>
      </c>
      <c r="N208" s="411"/>
      <c r="O208" s="411"/>
      <c r="P208" s="412"/>
      <c r="Q208" s="284"/>
      <c r="R208" s="284"/>
      <c r="S208" s="284"/>
      <c r="T208" s="285"/>
      <c r="U208" s="280"/>
      <c r="V208" s="281"/>
    </row>
    <row r="209">
      <c r="A209" s="395">
        <v>7.0</v>
      </c>
      <c r="B209" s="395" t="s">
        <v>280</v>
      </c>
      <c r="C209" s="395"/>
      <c r="D209" s="396" t="s">
        <v>281</v>
      </c>
      <c r="E209" s="397"/>
      <c r="F209" s="395" t="s">
        <v>215</v>
      </c>
      <c r="G209" s="395"/>
      <c r="H209" s="395"/>
      <c r="I209" s="411"/>
      <c r="J209" s="411" t="str">
        <f t="shared" si="104"/>
        <v>#REF!</v>
      </c>
      <c r="K209" s="411" t="str">
        <f t="shared" si="105"/>
        <v>#REF!</v>
      </c>
      <c r="L209" s="412"/>
      <c r="M209" s="411" t="str">
        <f t="shared" si="106"/>
        <v>#REF!</v>
      </c>
      <c r="N209" s="411"/>
      <c r="O209" s="411"/>
      <c r="P209" s="412"/>
      <c r="Q209" s="284"/>
      <c r="R209" s="284"/>
      <c r="S209" s="284"/>
      <c r="T209" s="285"/>
      <c r="U209" s="280"/>
      <c r="V209" s="281"/>
    </row>
    <row r="210">
      <c r="A210" s="395">
        <v>8.0</v>
      </c>
      <c r="B210" s="395" t="s">
        <v>283</v>
      </c>
      <c r="C210" s="395"/>
      <c r="D210" s="396" t="s">
        <v>284</v>
      </c>
      <c r="E210" s="397"/>
      <c r="F210" s="395" t="s">
        <v>215</v>
      </c>
      <c r="G210" s="395"/>
      <c r="H210" s="395"/>
      <c r="I210" s="411"/>
      <c r="J210" s="411" t="str">
        <f t="shared" si="104"/>
        <v>#REF!</v>
      </c>
      <c r="K210" s="411" t="str">
        <f t="shared" si="105"/>
        <v>#REF!</v>
      </c>
      <c r="L210" s="412"/>
      <c r="M210" s="411" t="str">
        <f t="shared" si="106"/>
        <v>#REF!</v>
      </c>
      <c r="N210" s="411"/>
      <c r="O210" s="411"/>
      <c r="P210" s="412"/>
      <c r="Q210" s="284"/>
      <c r="R210" s="284"/>
      <c r="S210" s="284"/>
      <c r="T210" s="285"/>
      <c r="U210" s="280"/>
      <c r="V210" s="281"/>
    </row>
    <row r="211">
      <c r="A211" s="395">
        <v>9.0</v>
      </c>
      <c r="B211" s="395" t="s">
        <v>286</v>
      </c>
      <c r="C211" s="395"/>
      <c r="D211" s="396" t="s">
        <v>287</v>
      </c>
      <c r="E211" s="397"/>
      <c r="F211" s="395" t="s">
        <v>215</v>
      </c>
      <c r="G211" s="395"/>
      <c r="H211" s="395"/>
      <c r="I211" s="411"/>
      <c r="J211" s="411" t="str">
        <f t="shared" si="104"/>
        <v>#REF!</v>
      </c>
      <c r="K211" s="411" t="str">
        <f t="shared" si="105"/>
        <v>#REF!</v>
      </c>
      <c r="L211" s="412"/>
      <c r="M211" s="411" t="str">
        <f t="shared" si="106"/>
        <v>#REF!</v>
      </c>
      <c r="N211" s="411"/>
      <c r="O211" s="411"/>
      <c r="P211" s="412"/>
      <c r="Q211" s="284"/>
      <c r="R211" s="284"/>
      <c r="S211" s="284"/>
      <c r="T211" s="285"/>
      <c r="U211" s="280"/>
      <c r="V211" s="281"/>
    </row>
    <row r="212">
      <c r="A212" s="394" t="s">
        <v>376</v>
      </c>
      <c r="N212" s="394"/>
      <c r="O212" s="394"/>
      <c r="P212" s="394"/>
      <c r="Q212" s="284"/>
      <c r="R212" s="284"/>
      <c r="S212" s="284"/>
      <c r="T212" s="285"/>
      <c r="U212" s="280"/>
      <c r="V212" s="281"/>
    </row>
    <row r="213">
      <c r="A213" s="395">
        <v>1.0</v>
      </c>
      <c r="B213" s="395" t="s">
        <v>240</v>
      </c>
      <c r="C213" s="395"/>
      <c r="D213" s="396" t="s">
        <v>241</v>
      </c>
      <c r="E213" s="397"/>
      <c r="F213" s="395" t="s">
        <v>215</v>
      </c>
      <c r="G213" s="395"/>
      <c r="H213" s="395"/>
      <c r="I213" s="411"/>
      <c r="J213" s="411">
        <v>210000.0</v>
      </c>
      <c r="K213" s="411" t="str">
        <f t="shared" ref="K213:K219" si="107">+M213+10000</f>
        <v>#REF!</v>
      </c>
      <c r="L213" s="412"/>
      <c r="M213" s="411" t="str">
        <f t="shared" ref="M213:M219" si="108">+#REF!+10000</f>
        <v>#REF!</v>
      </c>
      <c r="N213" s="411"/>
      <c r="O213" s="411"/>
      <c r="P213" s="412"/>
      <c r="Q213" s="284"/>
      <c r="R213" s="284"/>
      <c r="S213" s="284"/>
      <c r="T213" s="285"/>
      <c r="U213" s="280"/>
      <c r="V213" s="281"/>
    </row>
    <row r="214">
      <c r="A214" s="395">
        <v>2.0</v>
      </c>
      <c r="B214" s="395" t="s">
        <v>243</v>
      </c>
      <c r="C214" s="395"/>
      <c r="D214" s="396" t="s">
        <v>244</v>
      </c>
      <c r="E214" s="397"/>
      <c r="F214" s="395" t="s">
        <v>215</v>
      </c>
      <c r="G214" s="395"/>
      <c r="H214" s="395"/>
      <c r="I214" s="411"/>
      <c r="J214" s="411">
        <v>250000.0</v>
      </c>
      <c r="K214" s="411" t="str">
        <f t="shared" si="107"/>
        <v>#REF!</v>
      </c>
      <c r="L214" s="412"/>
      <c r="M214" s="411" t="str">
        <f t="shared" si="108"/>
        <v>#REF!</v>
      </c>
      <c r="N214" s="411"/>
      <c r="O214" s="411"/>
      <c r="P214" s="412"/>
      <c r="Q214" s="284"/>
      <c r="R214" s="284"/>
      <c r="S214" s="284"/>
      <c r="T214" s="285"/>
      <c r="U214" s="280"/>
      <c r="V214" s="281"/>
    </row>
    <row r="215">
      <c r="A215" s="395">
        <v>3.0</v>
      </c>
      <c r="B215" s="395" t="s">
        <v>246</v>
      </c>
      <c r="C215" s="395"/>
      <c r="D215" s="396" t="s">
        <v>247</v>
      </c>
      <c r="E215" s="397"/>
      <c r="F215" s="395" t="s">
        <v>215</v>
      </c>
      <c r="G215" s="395"/>
      <c r="H215" s="395"/>
      <c r="I215" s="411"/>
      <c r="J215" s="411">
        <v>290000.0</v>
      </c>
      <c r="K215" s="411" t="str">
        <f t="shared" si="107"/>
        <v>#REF!</v>
      </c>
      <c r="L215" s="412"/>
      <c r="M215" s="411" t="str">
        <f t="shared" si="108"/>
        <v>#REF!</v>
      </c>
      <c r="N215" s="411"/>
      <c r="O215" s="411"/>
      <c r="P215" s="412"/>
      <c r="Q215" s="284"/>
      <c r="R215" s="284"/>
      <c r="S215" s="284"/>
      <c r="T215" s="285"/>
      <c r="U215" s="280"/>
      <c r="V215" s="281"/>
    </row>
    <row r="216">
      <c r="A216" s="395">
        <v>4.0</v>
      </c>
      <c r="B216" s="395" t="s">
        <v>249</v>
      </c>
      <c r="C216" s="395"/>
      <c r="D216" s="396" t="s">
        <v>250</v>
      </c>
      <c r="E216" s="397"/>
      <c r="F216" s="395" t="s">
        <v>215</v>
      </c>
      <c r="G216" s="395"/>
      <c r="H216" s="395"/>
      <c r="I216" s="411"/>
      <c r="J216" s="411" t="str">
        <f>20000+K216</f>
        <v>#REF!</v>
      </c>
      <c r="K216" s="411" t="str">
        <f t="shared" si="107"/>
        <v>#REF!</v>
      </c>
      <c r="L216" s="412"/>
      <c r="M216" s="411" t="str">
        <f t="shared" si="108"/>
        <v>#REF!</v>
      </c>
      <c r="N216" s="411"/>
      <c r="O216" s="411"/>
      <c r="P216" s="412"/>
      <c r="Q216" s="284"/>
      <c r="R216" s="284"/>
      <c r="S216" s="284"/>
      <c r="T216" s="285"/>
      <c r="U216" s="280"/>
      <c r="V216" s="281"/>
    </row>
    <row r="217">
      <c r="A217" s="395">
        <v>5.0</v>
      </c>
      <c r="B217" s="395" t="s">
        <v>252</v>
      </c>
      <c r="C217" s="395"/>
      <c r="D217" s="396" t="s">
        <v>253</v>
      </c>
      <c r="E217" s="397"/>
      <c r="F217" s="395" t="s">
        <v>215</v>
      </c>
      <c r="G217" s="395"/>
      <c r="H217" s="395"/>
      <c r="I217" s="411"/>
      <c r="J217" s="411">
        <v>420000.0</v>
      </c>
      <c r="K217" s="411" t="str">
        <f t="shared" si="107"/>
        <v>#REF!</v>
      </c>
      <c r="L217" s="412"/>
      <c r="M217" s="411" t="str">
        <f t="shared" si="108"/>
        <v>#REF!</v>
      </c>
      <c r="N217" s="411"/>
      <c r="O217" s="411"/>
      <c r="P217" s="412"/>
      <c r="Q217" s="284"/>
      <c r="R217" s="284"/>
      <c r="S217" s="284"/>
      <c r="T217" s="285"/>
      <c r="U217" s="280"/>
      <c r="V217" s="281"/>
    </row>
    <row r="218">
      <c r="A218" s="395">
        <v>6.0</v>
      </c>
      <c r="B218" s="395" t="s">
        <v>255</v>
      </c>
      <c r="C218" s="395"/>
      <c r="D218" s="396" t="s">
        <v>256</v>
      </c>
      <c r="E218" s="397"/>
      <c r="F218" s="395" t="s">
        <v>215</v>
      </c>
      <c r="G218" s="395"/>
      <c r="H218" s="395"/>
      <c r="I218" s="411"/>
      <c r="J218" s="411">
        <v>450000.0</v>
      </c>
      <c r="K218" s="411" t="str">
        <f t="shared" si="107"/>
        <v>#REF!</v>
      </c>
      <c r="L218" s="412"/>
      <c r="M218" s="411" t="str">
        <f t="shared" si="108"/>
        <v>#REF!</v>
      </c>
      <c r="N218" s="411"/>
      <c r="O218" s="411"/>
      <c r="P218" s="412"/>
      <c r="Q218" s="284"/>
      <c r="R218" s="284"/>
      <c r="S218" s="284"/>
      <c r="T218" s="285"/>
      <c r="U218" s="280"/>
      <c r="V218" s="281"/>
    </row>
    <row r="219">
      <c r="A219" s="395">
        <v>7.0</v>
      </c>
      <c r="B219" s="395" t="s">
        <v>258</v>
      </c>
      <c r="C219" s="395"/>
      <c r="D219" s="396" t="s">
        <v>259</v>
      </c>
      <c r="E219" s="397"/>
      <c r="F219" s="395" t="s">
        <v>215</v>
      </c>
      <c r="G219" s="395"/>
      <c r="H219" s="395"/>
      <c r="I219" s="411"/>
      <c r="J219" s="411">
        <v>530000.0</v>
      </c>
      <c r="K219" s="411" t="str">
        <f t="shared" si="107"/>
        <v>#REF!</v>
      </c>
      <c r="L219" s="412"/>
      <c r="M219" s="411" t="str">
        <f t="shared" si="108"/>
        <v>#REF!</v>
      </c>
      <c r="N219" s="411"/>
      <c r="O219" s="411"/>
      <c r="P219" s="412"/>
      <c r="Q219" s="284"/>
      <c r="R219" s="284"/>
      <c r="S219" s="284"/>
      <c r="T219" s="285"/>
      <c r="U219" s="280"/>
      <c r="V219" s="281"/>
    </row>
    <row r="220">
      <c r="A220" s="415" t="s">
        <v>377</v>
      </c>
      <c r="N220" s="415"/>
      <c r="O220" s="415"/>
      <c r="P220" s="415"/>
      <c r="Q220" s="284"/>
      <c r="R220" s="284"/>
      <c r="S220" s="284"/>
      <c r="T220" s="285"/>
      <c r="U220" s="280"/>
      <c r="V220" s="281"/>
    </row>
    <row r="221">
      <c r="A221" s="395">
        <v>1.0</v>
      </c>
      <c r="B221" s="395" t="s">
        <v>243</v>
      </c>
      <c r="C221" s="395"/>
      <c r="D221" s="397" t="s">
        <v>337</v>
      </c>
      <c r="E221" s="397" t="s">
        <v>338</v>
      </c>
      <c r="F221" s="395" t="s">
        <v>339</v>
      </c>
      <c r="G221" s="395"/>
      <c r="H221" s="395"/>
      <c r="I221" s="411"/>
      <c r="J221" s="411" t="str">
        <f t="shared" ref="J221:J223" si="109">+K221+30000</f>
        <v>#REF!</v>
      </c>
      <c r="K221" s="411" t="str">
        <f t="shared" ref="K221:K223" si="110">+M221+20000</f>
        <v>#REF!</v>
      </c>
      <c r="L221" s="412"/>
      <c r="M221" s="411" t="str">
        <f t="shared" ref="M221:M223" si="111">+#REF!+20000</f>
        <v>#REF!</v>
      </c>
      <c r="N221" s="411"/>
      <c r="O221" s="411"/>
      <c r="P221" s="412"/>
      <c r="Q221" s="284"/>
      <c r="R221" s="284"/>
      <c r="S221" s="284"/>
      <c r="T221" s="285"/>
      <c r="U221" s="280"/>
      <c r="V221" s="281"/>
    </row>
    <row r="222">
      <c r="A222" s="395">
        <v>2.0</v>
      </c>
      <c r="B222" s="395" t="s">
        <v>243</v>
      </c>
      <c r="C222" s="395"/>
      <c r="D222" s="397" t="s">
        <v>337</v>
      </c>
      <c r="E222" s="397" t="s">
        <v>340</v>
      </c>
      <c r="F222" s="395" t="s">
        <v>339</v>
      </c>
      <c r="G222" s="395"/>
      <c r="H222" s="395"/>
      <c r="I222" s="411"/>
      <c r="J222" s="411" t="str">
        <f t="shared" si="109"/>
        <v>#REF!</v>
      </c>
      <c r="K222" s="411" t="str">
        <f t="shared" si="110"/>
        <v>#REF!</v>
      </c>
      <c r="L222" s="412"/>
      <c r="M222" s="411" t="str">
        <f t="shared" si="111"/>
        <v>#REF!</v>
      </c>
      <c r="N222" s="411"/>
      <c r="O222" s="411"/>
      <c r="P222" s="412"/>
      <c r="Q222" s="284"/>
      <c r="R222" s="284"/>
      <c r="S222" s="284"/>
      <c r="T222" s="285"/>
      <c r="U222" s="280"/>
      <c r="V222" s="281"/>
    </row>
    <row r="223">
      <c r="A223" s="395">
        <v>3.0</v>
      </c>
      <c r="B223" s="395" t="s">
        <v>246</v>
      </c>
      <c r="C223" s="395"/>
      <c r="D223" s="397" t="s">
        <v>337</v>
      </c>
      <c r="E223" s="397" t="s">
        <v>341</v>
      </c>
      <c r="F223" s="395" t="s">
        <v>342</v>
      </c>
      <c r="G223" s="395"/>
      <c r="H223" s="395"/>
      <c r="I223" s="411"/>
      <c r="J223" s="411" t="str">
        <f t="shared" si="109"/>
        <v>#REF!</v>
      </c>
      <c r="K223" s="411" t="str">
        <f t="shared" si="110"/>
        <v>#REF!</v>
      </c>
      <c r="L223" s="412"/>
      <c r="M223" s="411" t="str">
        <f t="shared" si="111"/>
        <v>#REF!</v>
      </c>
      <c r="N223" s="411"/>
      <c r="O223" s="411"/>
      <c r="P223" s="412"/>
      <c r="Q223" s="284"/>
      <c r="R223" s="284"/>
      <c r="S223" s="284"/>
      <c r="T223" s="285"/>
      <c r="U223" s="280"/>
      <c r="V223" s="281"/>
    </row>
    <row r="224">
      <c r="A224" s="415" t="s">
        <v>378</v>
      </c>
      <c r="N224" s="415"/>
      <c r="O224" s="415"/>
      <c r="P224" s="415"/>
      <c r="Q224" s="284"/>
      <c r="R224" s="284"/>
      <c r="S224" s="284"/>
      <c r="T224" s="285"/>
      <c r="U224" s="280"/>
      <c r="V224" s="281"/>
    </row>
    <row r="225">
      <c r="A225" s="395">
        <v>1.0</v>
      </c>
      <c r="B225" s="395" t="s">
        <v>243</v>
      </c>
      <c r="C225" s="395"/>
      <c r="D225" s="397" t="s">
        <v>337</v>
      </c>
      <c r="E225" s="397" t="s">
        <v>344</v>
      </c>
      <c r="F225" s="395" t="s">
        <v>339</v>
      </c>
      <c r="G225" s="395"/>
      <c r="H225" s="395"/>
      <c r="I225" s="411"/>
      <c r="J225" s="411" t="str">
        <f t="shared" ref="J225:J227" si="112">+K225+30000</f>
        <v>#REF!</v>
      </c>
      <c r="K225" s="411" t="str">
        <f t="shared" ref="K225:K227" si="113">+M225+20000</f>
        <v>#REF!</v>
      </c>
      <c r="L225" s="412"/>
      <c r="M225" s="411" t="str">
        <f t="shared" ref="M225:M227" si="114">+#REF!+20000</f>
        <v>#REF!</v>
      </c>
      <c r="N225" s="411"/>
      <c r="O225" s="411"/>
      <c r="P225" s="412"/>
      <c r="Q225" s="284"/>
      <c r="R225" s="284"/>
      <c r="S225" s="284"/>
      <c r="T225" s="285"/>
      <c r="U225" s="280"/>
      <c r="V225" s="281"/>
    </row>
    <row r="226">
      <c r="A226" s="395">
        <v>2.0</v>
      </c>
      <c r="B226" s="395" t="s">
        <v>243</v>
      </c>
      <c r="C226" s="395"/>
      <c r="D226" s="397" t="s">
        <v>337</v>
      </c>
      <c r="E226" s="397" t="s">
        <v>345</v>
      </c>
      <c r="F226" s="395" t="s">
        <v>339</v>
      </c>
      <c r="G226" s="395"/>
      <c r="H226" s="395"/>
      <c r="I226" s="411"/>
      <c r="J226" s="411" t="str">
        <f t="shared" si="112"/>
        <v>#REF!</v>
      </c>
      <c r="K226" s="411" t="str">
        <f t="shared" si="113"/>
        <v>#REF!</v>
      </c>
      <c r="L226" s="412"/>
      <c r="M226" s="411" t="str">
        <f t="shared" si="114"/>
        <v>#REF!</v>
      </c>
      <c r="N226" s="411"/>
      <c r="O226" s="411"/>
      <c r="P226" s="412"/>
      <c r="Q226" s="284"/>
      <c r="R226" s="284"/>
      <c r="S226" s="284"/>
      <c r="T226" s="285"/>
      <c r="U226" s="280"/>
      <c r="V226" s="281"/>
    </row>
    <row r="227">
      <c r="A227" s="395">
        <v>3.0</v>
      </c>
      <c r="B227" s="395" t="s">
        <v>246</v>
      </c>
      <c r="C227" s="395"/>
      <c r="D227" s="397" t="s">
        <v>337</v>
      </c>
      <c r="E227" s="397" t="s">
        <v>346</v>
      </c>
      <c r="F227" s="395" t="s">
        <v>342</v>
      </c>
      <c r="G227" s="395"/>
      <c r="H227" s="395"/>
      <c r="I227" s="411"/>
      <c r="J227" s="411" t="str">
        <f t="shared" si="112"/>
        <v>#REF!</v>
      </c>
      <c r="K227" s="411" t="str">
        <f t="shared" si="113"/>
        <v>#REF!</v>
      </c>
      <c r="L227" s="412"/>
      <c r="M227" s="411" t="str">
        <f t="shared" si="114"/>
        <v>#REF!</v>
      </c>
      <c r="N227" s="411"/>
      <c r="O227" s="411"/>
      <c r="P227" s="412"/>
      <c r="Q227" s="284"/>
      <c r="R227" s="284"/>
      <c r="S227" s="284"/>
      <c r="T227" s="285"/>
      <c r="U227" s="280"/>
      <c r="V227" s="281"/>
    </row>
    <row r="228">
      <c r="A228" s="413"/>
      <c r="K228" s="413"/>
      <c r="N228" s="413"/>
      <c r="O228" s="413"/>
      <c r="P228" s="414"/>
      <c r="Q228" s="284"/>
      <c r="R228" s="284"/>
      <c r="S228" s="284"/>
      <c r="T228" s="285"/>
      <c r="U228" s="280"/>
      <c r="V228" s="281"/>
    </row>
    <row r="229">
      <c r="A229" s="416"/>
      <c r="B229" s="417"/>
      <c r="C229" s="418"/>
      <c r="D229" s="418"/>
      <c r="E229" s="418"/>
      <c r="F229" s="418"/>
      <c r="G229" s="418"/>
      <c r="H229" s="418"/>
      <c r="I229" s="418"/>
      <c r="J229" s="418"/>
      <c r="K229" s="418"/>
      <c r="L229" s="418"/>
      <c r="M229" s="419"/>
      <c r="N229" s="413"/>
      <c r="O229" s="413"/>
      <c r="P229" s="414"/>
      <c r="Q229" s="284"/>
      <c r="R229" s="284"/>
      <c r="S229" s="284"/>
      <c r="T229" s="285"/>
      <c r="U229" s="280"/>
      <c r="V229" s="281"/>
    </row>
    <row r="230">
      <c r="A230" s="420">
        <v>1.0</v>
      </c>
      <c r="B230" s="421" t="s">
        <v>347</v>
      </c>
      <c r="N230" s="421"/>
      <c r="O230" s="421"/>
      <c r="P230" s="422"/>
      <c r="Q230" s="284"/>
      <c r="R230" s="284"/>
      <c r="S230" s="284"/>
      <c r="T230" s="285"/>
      <c r="U230" s="280"/>
      <c r="V230" s="281"/>
    </row>
    <row r="231">
      <c r="B231" s="421" t="s">
        <v>306</v>
      </c>
      <c r="N231" s="421"/>
      <c r="O231" s="421"/>
      <c r="P231" s="422"/>
      <c r="Q231" s="284"/>
      <c r="R231" s="284"/>
      <c r="S231" s="284"/>
      <c r="T231" s="285"/>
      <c r="U231" s="280"/>
      <c r="V231" s="281"/>
    </row>
    <row r="232">
      <c r="B232" s="421" t="s">
        <v>348</v>
      </c>
      <c r="N232" s="421"/>
      <c r="O232" s="421"/>
      <c r="P232" s="422"/>
      <c r="Q232" s="284"/>
      <c r="R232" s="284"/>
      <c r="S232" s="284"/>
      <c r="T232" s="285"/>
      <c r="U232" s="280"/>
      <c r="V232" s="281"/>
    </row>
    <row r="233">
      <c r="A233" s="420">
        <v>2.0</v>
      </c>
      <c r="B233" s="421" t="s">
        <v>307</v>
      </c>
      <c r="N233" s="421"/>
      <c r="O233" s="421"/>
      <c r="P233" s="422"/>
      <c r="Q233" s="284"/>
      <c r="R233" s="284"/>
      <c r="S233" s="284"/>
      <c r="T233" s="285"/>
      <c r="U233" s="280"/>
      <c r="V233" s="281"/>
    </row>
    <row r="234">
      <c r="A234" s="452">
        <v>3.0</v>
      </c>
      <c r="B234" s="423" t="s">
        <v>379</v>
      </c>
      <c r="C234" s="418"/>
      <c r="D234" s="418"/>
      <c r="E234" s="418"/>
      <c r="F234" s="418"/>
      <c r="G234" s="418"/>
      <c r="H234" s="418"/>
      <c r="I234" s="418"/>
      <c r="J234" s="418"/>
      <c r="K234" s="418"/>
      <c r="L234" s="418"/>
      <c r="M234" s="418"/>
      <c r="N234" s="421"/>
      <c r="O234" s="421"/>
      <c r="P234" s="422"/>
      <c r="Q234" s="284"/>
      <c r="R234" s="284"/>
      <c r="S234" s="284"/>
      <c r="T234" s="285"/>
      <c r="U234" s="453"/>
      <c r="V234" s="454"/>
    </row>
    <row r="235">
      <c r="A235" s="416"/>
      <c r="B235" s="424"/>
      <c r="C235" s="424"/>
      <c r="D235" s="425" t="s">
        <v>309</v>
      </c>
      <c r="E235" s="424"/>
      <c r="F235" s="424"/>
      <c r="G235" s="424"/>
      <c r="H235" s="424"/>
      <c r="I235" s="426"/>
      <c r="J235" s="426"/>
      <c r="K235" s="426"/>
      <c r="L235" s="427"/>
      <c r="M235" s="426"/>
      <c r="N235" s="368"/>
      <c r="O235" s="368"/>
      <c r="P235" s="369"/>
      <c r="Q235" s="284"/>
      <c r="R235" s="284"/>
      <c r="S235" s="284"/>
      <c r="T235" s="285"/>
      <c r="U235" s="280"/>
      <c r="V235" s="281"/>
    </row>
    <row r="236">
      <c r="A236" s="416"/>
      <c r="B236" s="424"/>
      <c r="C236" s="424"/>
      <c r="D236" s="424"/>
      <c r="E236" s="424"/>
      <c r="F236" s="424"/>
      <c r="G236" s="424"/>
      <c r="H236" s="424"/>
      <c r="I236" s="426"/>
      <c r="J236" s="426"/>
      <c r="K236" s="426"/>
      <c r="L236" s="427"/>
      <c r="M236" s="426"/>
      <c r="N236" s="368"/>
      <c r="O236" s="368"/>
      <c r="P236" s="369"/>
      <c r="Q236" s="284"/>
      <c r="R236" s="284"/>
      <c r="S236" s="284"/>
      <c r="T236" s="285"/>
      <c r="U236" s="280"/>
      <c r="V236" s="281"/>
    </row>
  </sheetData>
  <mergeCells count="102">
    <mergeCell ref="A126:F126"/>
    <mergeCell ref="A127:F127"/>
    <mergeCell ref="A128:F128"/>
    <mergeCell ref="B115:M115"/>
    <mergeCell ref="A121:M121"/>
    <mergeCell ref="A122:M123"/>
    <mergeCell ref="A125:F125"/>
    <mergeCell ref="J125:K125"/>
    <mergeCell ref="R125:T127"/>
    <mergeCell ref="J126:K126"/>
    <mergeCell ref="F131:F132"/>
    <mergeCell ref="J131:J132"/>
    <mergeCell ref="J127:K127"/>
    <mergeCell ref="J128:M128"/>
    <mergeCell ref="A129:M129"/>
    <mergeCell ref="A130:J130"/>
    <mergeCell ref="A131:A132"/>
    <mergeCell ref="B131:B132"/>
    <mergeCell ref="D131:E132"/>
    <mergeCell ref="B169:M169"/>
    <mergeCell ref="A170:A172"/>
    <mergeCell ref="B170:M170"/>
    <mergeCell ref="B171:M171"/>
    <mergeCell ref="B172:M172"/>
    <mergeCell ref="B173:M173"/>
    <mergeCell ref="B174:M174"/>
    <mergeCell ref="J186:K186"/>
    <mergeCell ref="J187:K187"/>
    <mergeCell ref="B175:M175"/>
    <mergeCell ref="A181:M181"/>
    <mergeCell ref="A182:M183"/>
    <mergeCell ref="A185:F185"/>
    <mergeCell ref="J185:K185"/>
    <mergeCell ref="A186:F186"/>
    <mergeCell ref="A187:F187"/>
    <mergeCell ref="F191:F192"/>
    <mergeCell ref="J191:J192"/>
    <mergeCell ref="A188:F188"/>
    <mergeCell ref="J188:M188"/>
    <mergeCell ref="A189:M189"/>
    <mergeCell ref="A190:J190"/>
    <mergeCell ref="A191:A192"/>
    <mergeCell ref="B191:B192"/>
    <mergeCell ref="D191:E192"/>
    <mergeCell ref="B229:M229"/>
    <mergeCell ref="A230:A232"/>
    <mergeCell ref="B230:M230"/>
    <mergeCell ref="B231:M231"/>
    <mergeCell ref="B232:M232"/>
    <mergeCell ref="B233:M233"/>
    <mergeCell ref="B234:M234"/>
    <mergeCell ref="A193:M193"/>
    <mergeCell ref="A202:M202"/>
    <mergeCell ref="A212:M212"/>
    <mergeCell ref="A220:M220"/>
    <mergeCell ref="A224:M224"/>
    <mergeCell ref="A228:J228"/>
    <mergeCell ref="K228:M228"/>
    <mergeCell ref="A5:E6"/>
    <mergeCell ref="A7:H7"/>
    <mergeCell ref="I2:M3"/>
    <mergeCell ref="F5:F6"/>
    <mergeCell ref="G5:G6"/>
    <mergeCell ref="H5:H6"/>
    <mergeCell ref="I5:I6"/>
    <mergeCell ref="M5:M6"/>
    <mergeCell ref="Q5:Q6"/>
    <mergeCell ref="I7:L7"/>
    <mergeCell ref="M7:P7"/>
    <mergeCell ref="Q7:T7"/>
    <mergeCell ref="A8:T8"/>
    <mergeCell ref="A17:T17"/>
    <mergeCell ref="A25:T25"/>
    <mergeCell ref="A35:T35"/>
    <mergeCell ref="B44:Q44"/>
    <mergeCell ref="A45:A46"/>
    <mergeCell ref="A62:A63"/>
    <mergeCell ref="B62:B63"/>
    <mergeCell ref="D62:E63"/>
    <mergeCell ref="F62:F63"/>
    <mergeCell ref="J62:J63"/>
    <mergeCell ref="A64:M64"/>
    <mergeCell ref="A73:M73"/>
    <mergeCell ref="A82:M82"/>
    <mergeCell ref="A100:M100"/>
    <mergeCell ref="A104:M104"/>
    <mergeCell ref="A108:J108"/>
    <mergeCell ref="K108:M108"/>
    <mergeCell ref="B109:M109"/>
    <mergeCell ref="A110:A112"/>
    <mergeCell ref="B110:M110"/>
    <mergeCell ref="B111:M111"/>
    <mergeCell ref="B112:M112"/>
    <mergeCell ref="B113:M113"/>
    <mergeCell ref="B114:M114"/>
    <mergeCell ref="A133:M133"/>
    <mergeCell ref="A142:M142"/>
    <mergeCell ref="A152:M152"/>
    <mergeCell ref="A160:M160"/>
    <mergeCell ref="A164:M164"/>
    <mergeCell ref="A168:J168"/>
    <mergeCell ref="K168:M16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2.75"/>
    <col customWidth="1" min="3" max="3" width="25.0"/>
    <col customWidth="1" min="6" max="7" width="13.25"/>
    <col customWidth="1" min="8" max="11" width="12.75"/>
    <col customWidth="1" hidden="1" min="12" max="12" width="14.75"/>
    <col customWidth="1" min="13" max="13" width="6.25"/>
    <col customWidth="1" min="14" max="14" width="9.25"/>
    <col hidden="1" min="17" max="17" width="12.63"/>
  </cols>
  <sheetData>
    <row r="1">
      <c r="A1" s="455" t="s">
        <v>380</v>
      </c>
      <c r="B1" s="456"/>
      <c r="C1" s="456"/>
      <c r="D1" s="456"/>
      <c r="E1" s="456"/>
      <c r="F1" s="456"/>
      <c r="G1" s="456"/>
      <c r="H1" s="456"/>
      <c r="I1" s="456"/>
      <c r="J1" s="456"/>
      <c r="K1" s="456"/>
      <c r="L1" s="457"/>
      <c r="M1" s="458"/>
      <c r="N1" s="458"/>
      <c r="O1" s="413"/>
      <c r="P1" s="413"/>
      <c r="Q1" s="413"/>
    </row>
    <row r="2">
      <c r="A2" s="435"/>
      <c r="B2" s="418"/>
      <c r="C2" s="418"/>
      <c r="D2" s="418"/>
      <c r="E2" s="418"/>
      <c r="F2" s="418"/>
      <c r="G2" s="418"/>
      <c r="H2" s="418"/>
      <c r="I2" s="418"/>
      <c r="J2" s="418"/>
      <c r="K2" s="418"/>
      <c r="L2" s="419"/>
      <c r="M2" s="458"/>
      <c r="N2" s="458"/>
      <c r="O2" s="413"/>
      <c r="P2" s="413"/>
      <c r="Q2" s="413"/>
    </row>
    <row r="3">
      <c r="A3" s="459"/>
      <c r="B3" s="459"/>
      <c r="C3" s="459"/>
      <c r="D3" s="459"/>
      <c r="E3" s="459"/>
      <c r="F3" s="459"/>
      <c r="G3" s="459"/>
      <c r="H3" s="459"/>
      <c r="I3" s="459"/>
      <c r="J3" s="459"/>
      <c r="K3" s="459"/>
      <c r="L3" s="459"/>
      <c r="M3" s="458"/>
      <c r="N3" s="458"/>
      <c r="O3" s="413"/>
      <c r="P3" s="413"/>
      <c r="Q3" s="413"/>
    </row>
    <row r="4">
      <c r="A4" s="459"/>
      <c r="B4" s="459"/>
      <c r="C4" s="459"/>
      <c r="D4" s="459"/>
      <c r="E4" s="459"/>
      <c r="F4" s="459"/>
      <c r="G4" s="459"/>
      <c r="H4" s="459"/>
      <c r="I4" s="459"/>
      <c r="J4" s="459"/>
      <c r="K4" s="459"/>
      <c r="L4" s="459"/>
      <c r="M4" s="458"/>
      <c r="N4" s="458"/>
      <c r="O4" s="413"/>
      <c r="P4" s="413"/>
      <c r="Q4" s="413"/>
    </row>
    <row r="5">
      <c r="A5" s="460" t="s">
        <v>201</v>
      </c>
      <c r="B5" s="287"/>
      <c r="C5" s="287"/>
      <c r="D5" s="287"/>
      <c r="E5" s="288"/>
      <c r="F5" s="461" t="s">
        <v>68</v>
      </c>
      <c r="G5" s="462"/>
      <c r="H5" s="463" t="s">
        <v>70</v>
      </c>
      <c r="I5" s="462"/>
      <c r="J5" s="464" t="s">
        <v>71</v>
      </c>
      <c r="K5" s="462"/>
      <c r="L5" s="465" t="s">
        <v>163</v>
      </c>
      <c r="M5" s="466"/>
      <c r="N5" s="467"/>
      <c r="O5" s="413"/>
      <c r="P5" s="413"/>
      <c r="Q5" s="413"/>
    </row>
    <row r="6">
      <c r="A6" s="468"/>
      <c r="B6" s="309"/>
      <c r="C6" s="309"/>
      <c r="D6" s="309"/>
      <c r="E6" s="310"/>
      <c r="F6" s="469" t="s">
        <v>161</v>
      </c>
      <c r="G6" s="470" t="s">
        <v>162</v>
      </c>
      <c r="H6" s="471" t="s">
        <v>161</v>
      </c>
      <c r="I6" s="472" t="s">
        <v>162</v>
      </c>
      <c r="J6" s="473" t="s">
        <v>161</v>
      </c>
      <c r="K6" s="474" t="s">
        <v>162</v>
      </c>
      <c r="L6" s="475"/>
      <c r="M6" s="476"/>
      <c r="N6" s="467"/>
      <c r="O6" s="413"/>
      <c r="P6" s="413"/>
      <c r="Q6" s="413"/>
    </row>
    <row r="7">
      <c r="A7" s="477" t="s">
        <v>381</v>
      </c>
      <c r="B7" s="307"/>
      <c r="C7" s="307"/>
      <c r="D7" s="307"/>
      <c r="E7" s="307"/>
      <c r="F7" s="478" t="s">
        <v>382</v>
      </c>
      <c r="G7" s="479" t="s">
        <v>383</v>
      </c>
      <c r="H7" s="480" t="s">
        <v>382</v>
      </c>
      <c r="I7" s="481" t="s">
        <v>383</v>
      </c>
      <c r="J7" s="482" t="s">
        <v>382</v>
      </c>
      <c r="K7" s="483" t="s">
        <v>383</v>
      </c>
      <c r="L7" s="484" t="s">
        <v>384</v>
      </c>
      <c r="M7" s="485" t="s">
        <v>385</v>
      </c>
      <c r="N7" s="486" t="s">
        <v>386</v>
      </c>
      <c r="O7" s="413"/>
      <c r="P7" s="413"/>
      <c r="Q7" s="413"/>
    </row>
    <row r="8">
      <c r="A8" s="316">
        <v>1.0</v>
      </c>
      <c r="B8" s="321" t="s">
        <v>387</v>
      </c>
      <c r="C8" s="320" t="s">
        <v>388</v>
      </c>
      <c r="D8" s="321">
        <v>200.0</v>
      </c>
      <c r="E8" s="487" t="s">
        <v>389</v>
      </c>
      <c r="F8" s="488">
        <v>907800.0</v>
      </c>
      <c r="G8" s="489">
        <v>885700.0</v>
      </c>
      <c r="H8" s="488">
        <f t="shared" ref="H8:I8" si="1">IF(ISBLANK(F8),,ROUND(F8/1.1,-1))</f>
        <v>825270</v>
      </c>
      <c r="I8" s="489">
        <f t="shared" si="1"/>
        <v>805180</v>
      </c>
      <c r="J8" s="488">
        <f t="shared" ref="J8:K8" si="2">IF(ISBLANK(F8),,ROUND(F8*(1-$Q8),-1))</f>
        <v>835180</v>
      </c>
      <c r="K8" s="489">
        <f t="shared" si="2"/>
        <v>814840</v>
      </c>
      <c r="L8" s="490"/>
      <c r="M8" s="491"/>
      <c r="N8" s="492"/>
      <c r="O8" s="413"/>
      <c r="P8" s="413"/>
      <c r="Q8" s="493">
        <v>0.08</v>
      </c>
    </row>
    <row r="9">
      <c r="A9" s="316">
        <v>2.0</v>
      </c>
      <c r="B9" s="321" t="s">
        <v>390</v>
      </c>
      <c r="C9" s="320" t="s">
        <v>391</v>
      </c>
      <c r="D9" s="321">
        <v>200.0</v>
      </c>
      <c r="E9" s="487" t="s">
        <v>389</v>
      </c>
      <c r="F9" s="488">
        <v>941100.0</v>
      </c>
      <c r="G9" s="489">
        <v>918800.0</v>
      </c>
      <c r="H9" s="488">
        <f t="shared" ref="H9:I9" si="3">IF(ISBLANK(F9),,ROUND(F9/1.1,-1))</f>
        <v>855550</v>
      </c>
      <c r="I9" s="489">
        <f t="shared" si="3"/>
        <v>835270</v>
      </c>
      <c r="J9" s="488">
        <f t="shared" ref="J9:K9" si="4">IF(ISBLANK(F9),,ROUND(F9*(1-$Q9),-1))</f>
        <v>865810</v>
      </c>
      <c r="K9" s="489">
        <f t="shared" si="4"/>
        <v>845300</v>
      </c>
      <c r="L9" s="490"/>
      <c r="M9" s="491"/>
      <c r="N9" s="492"/>
      <c r="O9" s="413"/>
      <c r="P9" s="413"/>
      <c r="Q9" s="493">
        <v>0.08</v>
      </c>
    </row>
    <row r="10">
      <c r="A10" s="316">
        <v>3.0</v>
      </c>
      <c r="B10" s="321" t="s">
        <v>392</v>
      </c>
      <c r="C10" s="320" t="s">
        <v>393</v>
      </c>
      <c r="D10" s="321">
        <v>200.0</v>
      </c>
      <c r="E10" s="487" t="s">
        <v>389</v>
      </c>
      <c r="F10" s="488">
        <v>1162500.0</v>
      </c>
      <c r="G10" s="489">
        <v>1140300.0</v>
      </c>
      <c r="H10" s="488">
        <f t="shared" ref="H10:I10" si="5">IF(ISBLANK(F10),,ROUND(F10/1.1,-1))</f>
        <v>1056820</v>
      </c>
      <c r="I10" s="489">
        <f t="shared" si="5"/>
        <v>1036640</v>
      </c>
      <c r="J10" s="488">
        <f t="shared" ref="J10:K10" si="6">IF(ISBLANK(F10),,ROUND(F10*(1-$Q10),-1))</f>
        <v>1069500</v>
      </c>
      <c r="K10" s="489">
        <f t="shared" si="6"/>
        <v>1049080</v>
      </c>
      <c r="L10" s="490"/>
      <c r="M10" s="491"/>
      <c r="N10" s="492"/>
      <c r="O10" s="413"/>
      <c r="P10" s="413"/>
      <c r="Q10" s="493">
        <v>0.08</v>
      </c>
    </row>
    <row r="11">
      <c r="A11" s="316">
        <v>4.0</v>
      </c>
      <c r="B11" s="321" t="s">
        <v>394</v>
      </c>
      <c r="C11" s="320" t="s">
        <v>395</v>
      </c>
      <c r="D11" s="321">
        <v>200.0</v>
      </c>
      <c r="E11" s="487" t="s">
        <v>389</v>
      </c>
      <c r="F11" s="488">
        <v>1328500.0</v>
      </c>
      <c r="G11" s="489">
        <v>1306400.0</v>
      </c>
      <c r="H11" s="488">
        <f t="shared" ref="H11:I11" si="7">IF(ISBLANK(F11),,ROUND(F11/1.1,-1))</f>
        <v>1207730</v>
      </c>
      <c r="I11" s="489">
        <f t="shared" si="7"/>
        <v>1187640</v>
      </c>
      <c r="J11" s="488">
        <f t="shared" ref="J11:K11" si="8">IF(ISBLANK(F11),,ROUND(F11*(1-$Q11),-1))</f>
        <v>1222220</v>
      </c>
      <c r="K11" s="489">
        <f t="shared" si="8"/>
        <v>1201890</v>
      </c>
      <c r="L11" s="490"/>
      <c r="M11" s="491"/>
      <c r="N11" s="492"/>
      <c r="O11" s="413"/>
      <c r="P11" s="413"/>
      <c r="Q11" s="493">
        <v>0.08</v>
      </c>
    </row>
    <row r="12">
      <c r="A12" s="316">
        <v>5.0</v>
      </c>
      <c r="B12" s="321" t="s">
        <v>396</v>
      </c>
      <c r="C12" s="320" t="s">
        <v>397</v>
      </c>
      <c r="D12" s="321">
        <v>200.0</v>
      </c>
      <c r="E12" s="487" t="s">
        <v>389</v>
      </c>
      <c r="F12" s="488">
        <v>1549900.0</v>
      </c>
      <c r="G12" s="489">
        <v>1527800.0</v>
      </c>
      <c r="H12" s="488">
        <f t="shared" ref="H12:I12" si="9">IF(ISBLANK(F12),,ROUND(F12/1.1,-1))</f>
        <v>1409000</v>
      </c>
      <c r="I12" s="489">
        <f t="shared" si="9"/>
        <v>1388910</v>
      </c>
      <c r="J12" s="488">
        <f t="shared" ref="J12:K12" si="10">IF(ISBLANK(F12),,ROUND(F12*(1-$Q12),-1))</f>
        <v>1425910</v>
      </c>
      <c r="K12" s="489">
        <f t="shared" si="10"/>
        <v>1405580</v>
      </c>
      <c r="L12" s="490"/>
      <c r="M12" s="491"/>
      <c r="N12" s="492"/>
      <c r="O12" s="413"/>
      <c r="P12" s="413"/>
      <c r="Q12" s="493">
        <v>0.08</v>
      </c>
    </row>
    <row r="13">
      <c r="A13" s="477" t="s">
        <v>398</v>
      </c>
      <c r="B13" s="307"/>
      <c r="C13" s="307"/>
      <c r="D13" s="307"/>
      <c r="E13" s="307"/>
      <c r="F13" s="494" t="s">
        <v>382</v>
      </c>
      <c r="G13" s="495" t="s">
        <v>383</v>
      </c>
      <c r="H13" s="496" t="s">
        <v>382</v>
      </c>
      <c r="I13" s="497" t="s">
        <v>383</v>
      </c>
      <c r="J13" s="498" t="s">
        <v>382</v>
      </c>
      <c r="K13" s="499" t="s">
        <v>383</v>
      </c>
      <c r="L13" s="500"/>
      <c r="M13" s="491"/>
      <c r="N13" s="492"/>
      <c r="O13" s="413"/>
      <c r="P13" s="413"/>
      <c r="Q13" s="413"/>
    </row>
    <row r="14">
      <c r="A14" s="316">
        <v>1.0</v>
      </c>
      <c r="B14" s="321" t="s">
        <v>399</v>
      </c>
      <c r="C14" s="320" t="s">
        <v>400</v>
      </c>
      <c r="D14" s="321">
        <v>100.0</v>
      </c>
      <c r="E14" s="487" t="s">
        <v>389</v>
      </c>
      <c r="F14" s="501">
        <v>1107000.0</v>
      </c>
      <c r="G14" s="502">
        <v>1051700.0</v>
      </c>
      <c r="H14" s="501">
        <f t="shared" ref="H14:I14" si="11">IF(ISBLANK(F14),,ROUND(F14/1.1,-1))</f>
        <v>1006360</v>
      </c>
      <c r="I14" s="502">
        <f t="shared" si="11"/>
        <v>956090</v>
      </c>
      <c r="J14" s="501">
        <f t="shared" ref="J14:K14" si="12">IF(ISBLANK(F14),,ROUND(F14*(1-$Q14),-1))</f>
        <v>1018440</v>
      </c>
      <c r="K14" s="489">
        <f t="shared" si="12"/>
        <v>967560</v>
      </c>
      <c r="L14" s="503"/>
      <c r="M14" s="491"/>
      <c r="N14" s="492"/>
      <c r="O14" s="413"/>
      <c r="P14" s="413"/>
      <c r="Q14" s="493">
        <v>0.08</v>
      </c>
    </row>
    <row r="15">
      <c r="A15" s="316">
        <v>2.0</v>
      </c>
      <c r="B15" s="321" t="s">
        <v>401</v>
      </c>
      <c r="C15" s="320" t="s">
        <v>402</v>
      </c>
      <c r="D15" s="321">
        <v>50.0</v>
      </c>
      <c r="E15" s="487" t="s">
        <v>389</v>
      </c>
      <c r="F15" s="501">
        <v>1162500.0</v>
      </c>
      <c r="G15" s="504">
        <v>1107000.0</v>
      </c>
      <c r="H15" s="501">
        <f t="shared" ref="H15:I15" si="13">IF(ISBLANK(F15),,ROUND(F15/1.1,-1))</f>
        <v>1056820</v>
      </c>
      <c r="I15" s="504">
        <f t="shared" si="13"/>
        <v>1006360</v>
      </c>
      <c r="J15" s="501">
        <f t="shared" ref="J15:K15" si="14">IF(ISBLANK(F15),,ROUND(F15*(1-$Q15),-1))</f>
        <v>1069500</v>
      </c>
      <c r="K15" s="505">
        <f t="shared" si="14"/>
        <v>1018440</v>
      </c>
      <c r="L15" s="503"/>
      <c r="M15" s="491"/>
      <c r="N15" s="492"/>
      <c r="O15" s="413"/>
      <c r="P15" s="413"/>
      <c r="Q15" s="493">
        <v>0.08</v>
      </c>
    </row>
    <row r="16">
      <c r="A16" s="316">
        <v>3.0</v>
      </c>
      <c r="B16" s="321" t="s">
        <v>403</v>
      </c>
      <c r="C16" s="320" t="s">
        <v>404</v>
      </c>
      <c r="D16" s="321">
        <v>50.0</v>
      </c>
      <c r="E16" s="487" t="s">
        <v>389</v>
      </c>
      <c r="F16" s="501">
        <v>1682800.0</v>
      </c>
      <c r="G16" s="504">
        <v>1605200.0</v>
      </c>
      <c r="H16" s="501">
        <f t="shared" ref="H16:I16" si="15">IF(ISBLANK(F16),,ROUND(F16/1.1,-1))</f>
        <v>1529820</v>
      </c>
      <c r="I16" s="504">
        <f t="shared" si="15"/>
        <v>1459270</v>
      </c>
      <c r="J16" s="501">
        <f t="shared" ref="J16:K16" si="16">IF(ISBLANK(F16),,ROUND(F16*(1-$Q16),-1))</f>
        <v>1548180</v>
      </c>
      <c r="K16" s="505">
        <f t="shared" si="16"/>
        <v>1476780</v>
      </c>
      <c r="L16" s="503"/>
      <c r="M16" s="491"/>
      <c r="N16" s="492"/>
      <c r="O16" s="413"/>
      <c r="P16" s="413"/>
      <c r="Q16" s="493">
        <v>0.08</v>
      </c>
    </row>
    <row r="17">
      <c r="A17" s="316">
        <v>4.0</v>
      </c>
      <c r="B17" s="321" t="s">
        <v>405</v>
      </c>
      <c r="C17" s="320" t="s">
        <v>406</v>
      </c>
      <c r="D17" s="321">
        <v>25.0</v>
      </c>
      <c r="E17" s="487" t="s">
        <v>389</v>
      </c>
      <c r="F17" s="501">
        <v>1018500.0</v>
      </c>
      <c r="G17" s="504">
        <v>968700.0</v>
      </c>
      <c r="H17" s="501">
        <f t="shared" ref="H17:I17" si="17">IF(ISBLANK(F17),,ROUND(F17/1.1,-1))</f>
        <v>925910</v>
      </c>
      <c r="I17" s="504">
        <f t="shared" si="17"/>
        <v>880640</v>
      </c>
      <c r="J17" s="501">
        <f t="shared" ref="J17:K17" si="18">IF(ISBLANK(F17),,ROUND(F17*(1-$Q17),-1))</f>
        <v>937020</v>
      </c>
      <c r="K17" s="505">
        <f t="shared" si="18"/>
        <v>891200</v>
      </c>
      <c r="L17" s="503"/>
      <c r="M17" s="491"/>
      <c r="N17" s="492"/>
      <c r="O17" s="413"/>
      <c r="P17" s="413"/>
      <c r="Q17" s="493">
        <v>0.08</v>
      </c>
    </row>
    <row r="18">
      <c r="A18" s="316">
        <v>5.0</v>
      </c>
      <c r="B18" s="321" t="s">
        <v>407</v>
      </c>
      <c r="C18" s="320" t="s">
        <v>408</v>
      </c>
      <c r="D18" s="321">
        <v>25.0</v>
      </c>
      <c r="E18" s="487" t="s">
        <v>389</v>
      </c>
      <c r="F18" s="501">
        <v>1284300.0</v>
      </c>
      <c r="G18" s="504">
        <v>1217800.0</v>
      </c>
      <c r="H18" s="501">
        <f t="shared" ref="H18:I18" si="19">IF(ISBLANK(F18),,ROUND(F18/1.1,-1))</f>
        <v>1167550</v>
      </c>
      <c r="I18" s="504">
        <f t="shared" si="19"/>
        <v>1107090</v>
      </c>
      <c r="J18" s="501">
        <f t="shared" ref="J18:K18" si="20">IF(ISBLANK(F18),,ROUND(F18*(1-$Q18),-1))</f>
        <v>1181560</v>
      </c>
      <c r="K18" s="505">
        <f t="shared" si="20"/>
        <v>1120380</v>
      </c>
      <c r="L18" s="503"/>
      <c r="M18" s="491"/>
      <c r="N18" s="492"/>
      <c r="O18" s="413"/>
      <c r="P18" s="413"/>
      <c r="Q18" s="493">
        <v>0.08</v>
      </c>
    </row>
    <row r="19">
      <c r="A19" s="316">
        <v>6.0</v>
      </c>
      <c r="B19" s="321" t="s">
        <v>409</v>
      </c>
      <c r="C19" s="320" t="s">
        <v>410</v>
      </c>
      <c r="D19" s="321">
        <v>25.0</v>
      </c>
      <c r="E19" s="487" t="s">
        <v>389</v>
      </c>
      <c r="F19" s="506"/>
      <c r="G19" s="505"/>
      <c r="H19" s="506" t="str">
        <f t="shared" ref="H19:I19" si="21">IF(ISBLANK(F19),,ROUND(F19/1.1,-1))</f>
        <v/>
      </c>
      <c r="I19" s="505" t="str">
        <f t="shared" si="21"/>
        <v/>
      </c>
      <c r="J19" s="506" t="str">
        <f t="shared" ref="J19:K19" si="22">IF(ISBLANK(F19),,ROUND(F19*(1-$Q19),-1))</f>
        <v/>
      </c>
      <c r="K19" s="505" t="str">
        <f t="shared" si="22"/>
        <v/>
      </c>
      <c r="L19" s="503"/>
      <c r="M19" s="491"/>
      <c r="N19" s="492"/>
      <c r="O19" s="413"/>
      <c r="P19" s="413"/>
      <c r="Q19" s="493">
        <v>0.08</v>
      </c>
    </row>
    <row r="20">
      <c r="A20" s="316">
        <v>7.0</v>
      </c>
      <c r="B20" s="321" t="s">
        <v>411</v>
      </c>
      <c r="C20" s="320" t="s">
        <v>412</v>
      </c>
      <c r="D20" s="321">
        <v>4.0</v>
      </c>
      <c r="E20" s="487" t="s">
        <v>389</v>
      </c>
      <c r="F20" s="506"/>
      <c r="G20" s="505"/>
      <c r="H20" s="506" t="str">
        <f t="shared" ref="H20:I20" si="23">IF(ISBLANK(F20),,ROUND(F20/1.1,-1))</f>
        <v/>
      </c>
      <c r="I20" s="505" t="str">
        <f t="shared" si="23"/>
        <v/>
      </c>
      <c r="J20" s="506" t="str">
        <f t="shared" ref="J20:K20" si="24">IF(ISBLANK(F20),,ROUND(F20*(1-$Q20),-1))</f>
        <v/>
      </c>
      <c r="K20" s="505" t="str">
        <f t="shared" si="24"/>
        <v/>
      </c>
      <c r="L20" s="503"/>
      <c r="M20" s="491"/>
      <c r="N20" s="492"/>
      <c r="O20" s="413"/>
      <c r="P20" s="413"/>
      <c r="Q20" s="493">
        <v>0.08</v>
      </c>
    </row>
    <row r="21">
      <c r="A21" s="477" t="s">
        <v>413</v>
      </c>
      <c r="B21" s="307"/>
      <c r="C21" s="307"/>
      <c r="D21" s="307"/>
      <c r="E21" s="307"/>
      <c r="F21" s="494" t="s">
        <v>382</v>
      </c>
      <c r="G21" s="495" t="s">
        <v>383</v>
      </c>
      <c r="H21" s="496" t="s">
        <v>382</v>
      </c>
      <c r="I21" s="497" t="s">
        <v>383</v>
      </c>
      <c r="J21" s="498" t="s">
        <v>382</v>
      </c>
      <c r="K21" s="499" t="s">
        <v>383</v>
      </c>
      <c r="L21" s="500"/>
      <c r="M21" s="491"/>
      <c r="N21" s="492"/>
      <c r="O21" s="413"/>
      <c r="P21" s="413"/>
      <c r="Q21" s="413"/>
    </row>
    <row r="22">
      <c r="A22" s="316">
        <v>1.0</v>
      </c>
      <c r="B22" s="321" t="s">
        <v>414</v>
      </c>
      <c r="C22" s="320" t="s">
        <v>400</v>
      </c>
      <c r="D22" s="321">
        <v>100.0</v>
      </c>
      <c r="E22" s="487" t="s">
        <v>389</v>
      </c>
      <c r="F22" s="501">
        <v>3952300.0</v>
      </c>
      <c r="G22" s="504">
        <v>3764100.0</v>
      </c>
      <c r="H22" s="501">
        <f t="shared" ref="H22:I22" si="25">IF(ISBLANK(F22),,ROUND(F22/1.1,-1))</f>
        <v>3593000</v>
      </c>
      <c r="I22" s="504">
        <f t="shared" si="25"/>
        <v>3421910</v>
      </c>
      <c r="J22" s="501">
        <f t="shared" ref="J22:K22" si="26">IF(ISBLANK(F22),,ROUND(F22*(1-$Q22),-1))</f>
        <v>3636120</v>
      </c>
      <c r="K22" s="505">
        <f t="shared" si="26"/>
        <v>3462970</v>
      </c>
      <c r="L22" s="503"/>
      <c r="M22" s="491"/>
      <c r="N22" s="492"/>
      <c r="O22" s="507"/>
      <c r="P22" s="413"/>
      <c r="Q22" s="493">
        <v>0.08</v>
      </c>
    </row>
    <row r="23">
      <c r="A23" s="316">
        <v>2.0</v>
      </c>
      <c r="B23" s="321" t="s">
        <v>415</v>
      </c>
      <c r="C23" s="320" t="s">
        <v>402</v>
      </c>
      <c r="D23" s="321">
        <v>50.0</v>
      </c>
      <c r="E23" s="487" t="s">
        <v>389</v>
      </c>
      <c r="F23" s="501">
        <v>2679200.0</v>
      </c>
      <c r="G23" s="504">
        <v>2546300.0</v>
      </c>
      <c r="H23" s="501">
        <f t="shared" ref="H23:I23" si="27">IF(ISBLANK(F23),,ROUND(F23/1.1,-1))</f>
        <v>2435640</v>
      </c>
      <c r="I23" s="504">
        <f t="shared" si="27"/>
        <v>2314820</v>
      </c>
      <c r="J23" s="501">
        <f t="shared" ref="J23:K23" si="28">IF(ISBLANK(F23),,ROUND(F23*(1-$Q23),-1))</f>
        <v>2464860</v>
      </c>
      <c r="K23" s="505">
        <f t="shared" si="28"/>
        <v>2342600</v>
      </c>
      <c r="L23" s="503"/>
      <c r="M23" s="491"/>
      <c r="N23" s="492"/>
      <c r="O23" s="507"/>
      <c r="P23" s="413"/>
      <c r="Q23" s="493">
        <v>0.08</v>
      </c>
    </row>
    <row r="24">
      <c r="A24" s="316">
        <v>3.0</v>
      </c>
      <c r="B24" s="321" t="s">
        <v>416</v>
      </c>
      <c r="C24" s="320" t="s">
        <v>404</v>
      </c>
      <c r="D24" s="321">
        <v>50.0</v>
      </c>
      <c r="E24" s="487" t="s">
        <v>389</v>
      </c>
      <c r="F24" s="501">
        <v>3199500.0</v>
      </c>
      <c r="G24" s="504">
        <v>3044500.0</v>
      </c>
      <c r="H24" s="501">
        <f t="shared" ref="H24:I24" si="29">IF(ISBLANK(F24),,ROUND(F24/1.1,-1))</f>
        <v>2908640</v>
      </c>
      <c r="I24" s="504">
        <f t="shared" si="29"/>
        <v>2767730</v>
      </c>
      <c r="J24" s="501">
        <f t="shared" ref="J24:K24" si="30">IF(ISBLANK(F24),,ROUND(F24*(1-$Q24),-1))</f>
        <v>2943540</v>
      </c>
      <c r="K24" s="505">
        <f t="shared" si="30"/>
        <v>2800940</v>
      </c>
      <c r="L24" s="503"/>
      <c r="M24" s="491"/>
      <c r="N24" s="492"/>
      <c r="O24" s="507"/>
      <c r="P24" s="413"/>
      <c r="Q24" s="493">
        <v>0.08</v>
      </c>
    </row>
    <row r="25">
      <c r="A25" s="316">
        <v>4.0</v>
      </c>
      <c r="B25" s="321" t="s">
        <v>417</v>
      </c>
      <c r="C25" s="320" t="s">
        <v>406</v>
      </c>
      <c r="D25" s="321">
        <v>25.0</v>
      </c>
      <c r="E25" s="487" t="s">
        <v>389</v>
      </c>
      <c r="F25" s="501">
        <v>1804600.0</v>
      </c>
      <c r="G25" s="504">
        <v>1716000.0</v>
      </c>
      <c r="H25" s="501">
        <f t="shared" ref="H25:I25" si="31">IF(ISBLANK(F25),,ROUND(F25/1.1,-1))</f>
        <v>1640550</v>
      </c>
      <c r="I25" s="504">
        <f t="shared" si="31"/>
        <v>1560000</v>
      </c>
      <c r="J25" s="501">
        <f t="shared" ref="J25:K25" si="32">IF(ISBLANK(F25),,ROUND(F25*(1-$Q25),-1))</f>
        <v>1660230</v>
      </c>
      <c r="K25" s="505">
        <f t="shared" si="32"/>
        <v>1578720</v>
      </c>
      <c r="L25" s="503"/>
      <c r="M25" s="491"/>
      <c r="N25" s="492"/>
      <c r="O25" s="507"/>
      <c r="P25" s="413"/>
      <c r="Q25" s="493">
        <v>0.08</v>
      </c>
    </row>
    <row r="26">
      <c r="A26" s="316">
        <v>5.0</v>
      </c>
      <c r="B26" s="321" t="s">
        <v>418</v>
      </c>
      <c r="C26" s="320" t="s">
        <v>408</v>
      </c>
      <c r="D26" s="321">
        <v>25.0</v>
      </c>
      <c r="E26" s="487" t="s">
        <v>389</v>
      </c>
      <c r="F26" s="501">
        <v>1893100.0</v>
      </c>
      <c r="G26" s="504">
        <v>1799100.0</v>
      </c>
      <c r="H26" s="501">
        <f t="shared" ref="H26:I26" si="33">IF(ISBLANK(F26),,ROUND(F26/1.1,-1))</f>
        <v>1721000</v>
      </c>
      <c r="I26" s="504">
        <f t="shared" si="33"/>
        <v>1635550</v>
      </c>
      <c r="J26" s="501">
        <f t="shared" ref="J26:K26" si="34">IF(ISBLANK(F26),,ROUND(F26*(1-$Q26),-1))</f>
        <v>1741650</v>
      </c>
      <c r="K26" s="505">
        <f t="shared" si="34"/>
        <v>1655170</v>
      </c>
      <c r="L26" s="503"/>
      <c r="M26" s="491"/>
      <c r="N26" s="492"/>
      <c r="O26" s="507"/>
      <c r="P26" s="413"/>
      <c r="Q26" s="493">
        <v>0.08</v>
      </c>
    </row>
    <row r="27">
      <c r="A27" s="316">
        <v>6.0</v>
      </c>
      <c r="B27" s="321" t="s">
        <v>419</v>
      </c>
      <c r="C27" s="320" t="s">
        <v>410</v>
      </c>
      <c r="D27" s="321">
        <v>25.0</v>
      </c>
      <c r="E27" s="487" t="s">
        <v>389</v>
      </c>
      <c r="F27" s="506"/>
      <c r="G27" s="505"/>
      <c r="H27" s="506" t="str">
        <f t="shared" ref="H27:I27" si="35">IF(ISBLANK(F27),,ROUND(F27/1.1,-1))</f>
        <v/>
      </c>
      <c r="I27" s="505" t="str">
        <f t="shared" si="35"/>
        <v/>
      </c>
      <c r="J27" s="506" t="str">
        <f t="shared" ref="J27:K27" si="36">IF(ISBLANK(F27),,ROUND(F27*(1-$Q27),-1))</f>
        <v/>
      </c>
      <c r="K27" s="505" t="str">
        <f t="shared" si="36"/>
        <v/>
      </c>
      <c r="L27" s="503"/>
      <c r="M27" s="491"/>
      <c r="N27" s="492"/>
      <c r="O27" s="413"/>
      <c r="P27" s="413"/>
      <c r="Q27" s="493">
        <v>0.08</v>
      </c>
    </row>
    <row r="28">
      <c r="A28" s="508">
        <v>7.0</v>
      </c>
      <c r="B28" s="509" t="s">
        <v>420</v>
      </c>
      <c r="C28" s="510" t="s">
        <v>412</v>
      </c>
      <c r="D28" s="509">
        <v>4.0</v>
      </c>
      <c r="E28" s="511" t="s">
        <v>389</v>
      </c>
      <c r="F28" s="512"/>
      <c r="G28" s="513"/>
      <c r="H28" s="512" t="str">
        <f t="shared" ref="H28:I28" si="37">IF(ISBLANK(F28),,ROUND(F28/1.1,-1))</f>
        <v/>
      </c>
      <c r="I28" s="513" t="str">
        <f t="shared" si="37"/>
        <v/>
      </c>
      <c r="J28" s="512" t="str">
        <f t="shared" ref="J28:K28" si="38">IF(ISBLANK(F28),,ROUND(F28*(1-$Q28),-1))</f>
        <v/>
      </c>
      <c r="K28" s="513" t="str">
        <f t="shared" si="38"/>
        <v/>
      </c>
      <c r="L28" s="514"/>
      <c r="M28" s="515"/>
      <c r="N28" s="492"/>
      <c r="O28" s="413"/>
      <c r="P28" s="413"/>
      <c r="Q28" s="493">
        <v>0.08</v>
      </c>
    </row>
    <row r="29" ht="9.0" customHeight="1">
      <c r="A29" s="458"/>
      <c r="B29" s="458"/>
      <c r="C29" s="458"/>
      <c r="D29" s="458"/>
      <c r="E29" s="458"/>
      <c r="F29" s="458"/>
      <c r="G29" s="458"/>
      <c r="H29" s="458"/>
      <c r="I29" s="458"/>
      <c r="J29" s="458"/>
      <c r="K29" s="458"/>
      <c r="L29" s="458"/>
      <c r="M29" s="426"/>
      <c r="N29" s="458"/>
      <c r="O29" s="413"/>
      <c r="P29" s="413"/>
      <c r="Q29" s="413"/>
    </row>
    <row r="30">
      <c r="A30" s="420"/>
      <c r="B30" s="421"/>
      <c r="N30" s="458"/>
      <c r="O30" s="413"/>
      <c r="P30" s="413"/>
      <c r="Q30" s="413"/>
    </row>
    <row r="31">
      <c r="A31" s="516">
        <v>1.0</v>
      </c>
      <c r="B31" s="517" t="s">
        <v>421</v>
      </c>
      <c r="C31" s="418"/>
      <c r="D31" s="418"/>
      <c r="E31" s="418"/>
      <c r="F31" s="418"/>
      <c r="G31" s="418"/>
      <c r="H31" s="418"/>
      <c r="I31" s="418"/>
      <c r="J31" s="418"/>
      <c r="K31" s="418"/>
      <c r="L31" s="418"/>
      <c r="M31" s="418"/>
      <c r="N31" s="458"/>
      <c r="O31" s="413"/>
      <c r="P31" s="413"/>
      <c r="Q31" s="413"/>
    </row>
    <row r="32">
      <c r="A32" s="416"/>
      <c r="B32" s="424"/>
      <c r="C32" s="424"/>
      <c r="D32" s="424"/>
      <c r="E32" s="424"/>
      <c r="F32" s="424"/>
      <c r="G32" s="424"/>
      <c r="H32" s="424"/>
      <c r="I32" s="424"/>
      <c r="J32" s="424"/>
      <c r="K32" s="424"/>
      <c r="L32" s="424"/>
      <c r="M32" s="424"/>
      <c r="N32" s="458"/>
      <c r="O32" s="413"/>
      <c r="P32" s="413"/>
      <c r="Q32" s="413"/>
    </row>
    <row r="33">
      <c r="A33" s="518"/>
      <c r="B33" s="426"/>
      <c r="C33" s="426"/>
      <c r="D33" s="426"/>
      <c r="E33" s="426"/>
      <c r="F33" s="426"/>
      <c r="G33" s="426"/>
      <c r="H33" s="426"/>
      <c r="I33" s="426"/>
      <c r="J33" s="426"/>
      <c r="K33" s="426"/>
      <c r="L33" s="426"/>
      <c r="M33" s="458"/>
      <c r="N33" s="458"/>
      <c r="O33" s="413"/>
      <c r="P33" s="413"/>
      <c r="Q33" s="413"/>
    </row>
    <row r="34">
      <c r="A34" s="518"/>
      <c r="B34" s="426"/>
      <c r="C34" s="426"/>
      <c r="D34" s="426"/>
      <c r="E34" s="426"/>
      <c r="F34" s="426"/>
      <c r="G34" s="426"/>
      <c r="H34" s="426"/>
      <c r="I34" s="426"/>
      <c r="J34" s="426"/>
      <c r="K34" s="417"/>
      <c r="L34" s="419"/>
      <c r="M34" s="458"/>
      <c r="N34" s="458"/>
      <c r="O34" s="413"/>
      <c r="P34" s="413"/>
      <c r="Q34" s="413"/>
    </row>
    <row r="35">
      <c r="A35" s="518"/>
      <c r="B35" s="426"/>
      <c r="C35" s="426"/>
      <c r="D35" s="426"/>
      <c r="E35" s="426"/>
      <c r="F35" s="426"/>
      <c r="G35" s="426"/>
      <c r="H35" s="426"/>
      <c r="I35" s="426"/>
      <c r="J35" s="426"/>
      <c r="K35" s="426"/>
      <c r="L35" s="426"/>
      <c r="M35" s="458"/>
      <c r="N35" s="458"/>
      <c r="O35" s="413"/>
      <c r="P35" s="413"/>
      <c r="Q35" s="413"/>
    </row>
    <row r="36">
      <c r="A36" s="518"/>
      <c r="B36" s="426"/>
      <c r="C36" s="426"/>
      <c r="D36" s="426"/>
      <c r="E36" s="426"/>
      <c r="F36" s="426"/>
      <c r="G36" s="426"/>
      <c r="H36" s="426"/>
      <c r="I36" s="426"/>
      <c r="J36" s="426"/>
      <c r="K36" s="426"/>
      <c r="L36" s="426"/>
      <c r="M36" s="458"/>
      <c r="N36" s="458"/>
      <c r="O36" s="413"/>
      <c r="P36" s="413"/>
      <c r="Q36" s="413"/>
    </row>
    <row r="37">
      <c r="A37" s="518"/>
      <c r="B37" s="426"/>
      <c r="C37" s="426"/>
      <c r="D37" s="426"/>
      <c r="E37" s="426"/>
      <c r="F37" s="426"/>
      <c r="G37" s="426"/>
      <c r="H37" s="426"/>
      <c r="I37" s="426"/>
      <c r="J37" s="426"/>
      <c r="K37" s="426"/>
      <c r="L37" s="426"/>
      <c r="M37" s="458"/>
      <c r="N37" s="458"/>
      <c r="O37" s="413"/>
      <c r="P37" s="413"/>
      <c r="Q37" s="413"/>
    </row>
  </sheetData>
  <mergeCells count="12">
    <mergeCell ref="A13:E13"/>
    <mergeCell ref="A21:E21"/>
    <mergeCell ref="B30:M30"/>
    <mergeCell ref="B31:M31"/>
    <mergeCell ref="K34:L34"/>
    <mergeCell ref="A1:L2"/>
    <mergeCell ref="A5:E6"/>
    <mergeCell ref="F5:G5"/>
    <mergeCell ref="H5:I5"/>
    <mergeCell ref="J5:K5"/>
    <mergeCell ref="A7:E7"/>
    <mergeCell ref="M7:M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25"/>
    <col customWidth="1" min="2" max="2" width="11.13"/>
    <col customWidth="1" min="3" max="3" width="20.63"/>
    <col customWidth="1" min="4" max="5" width="11.0"/>
    <col customWidth="1" min="6" max="6" width="6.38"/>
    <col customWidth="1" min="7" max="7" width="11.5"/>
    <col customWidth="1" min="8" max="9" width="11.13"/>
    <col customWidth="1" min="10" max="10" width="8.88"/>
    <col customWidth="1" min="11" max="11" width="9.5"/>
    <col customWidth="1" min="12" max="12" width="10.0"/>
    <col customWidth="1" min="13" max="13" width="14.13"/>
  </cols>
  <sheetData>
    <row r="1">
      <c r="A1" s="519" t="s">
        <v>422</v>
      </c>
      <c r="J1" s="520"/>
      <c r="K1" s="520"/>
      <c r="L1" s="521"/>
      <c r="M1" s="467"/>
      <c r="N1" s="467"/>
      <c r="O1" s="467"/>
    </row>
    <row r="2">
      <c r="A2" s="48"/>
      <c r="B2" s="48"/>
      <c r="C2" s="48"/>
      <c r="D2" s="48"/>
      <c r="E2" s="48"/>
      <c r="F2" s="48"/>
      <c r="G2" s="48"/>
      <c r="H2" s="48"/>
      <c r="I2" s="48"/>
      <c r="J2" s="520"/>
      <c r="K2" s="520"/>
      <c r="L2" s="522" t="s">
        <v>423</v>
      </c>
      <c r="M2" s="10"/>
      <c r="N2" s="467"/>
      <c r="O2" s="467"/>
    </row>
    <row r="3" ht="23.25" customHeight="1">
      <c r="A3" s="521"/>
      <c r="B3" s="521"/>
      <c r="C3" s="523" t="s">
        <v>424</v>
      </c>
      <c r="D3" s="524">
        <v>245000.0</v>
      </c>
      <c r="E3" s="523"/>
      <c r="F3" s="525"/>
      <c r="G3" s="523"/>
      <c r="H3" s="526"/>
      <c r="I3" s="526"/>
      <c r="J3" s="520"/>
      <c r="K3" s="527"/>
      <c r="L3" s="528" t="s">
        <v>425</v>
      </c>
      <c r="M3" s="528" t="s">
        <v>426</v>
      </c>
      <c r="N3" s="529"/>
      <c r="O3" s="467"/>
    </row>
    <row r="4">
      <c r="A4" s="521"/>
      <c r="B4" s="521"/>
      <c r="C4" s="521"/>
      <c r="D4" s="521"/>
      <c r="E4" s="521"/>
      <c r="F4" s="521"/>
      <c r="G4" s="521"/>
      <c r="H4" s="526"/>
      <c r="I4" s="526"/>
      <c r="J4" s="520"/>
      <c r="K4" s="527"/>
      <c r="L4" s="530">
        <v>243000.0</v>
      </c>
      <c r="M4" s="531">
        <v>45002.0</v>
      </c>
      <c r="N4" s="529"/>
      <c r="O4" s="467"/>
    </row>
    <row r="5">
      <c r="A5" s="532" t="s">
        <v>310</v>
      </c>
      <c r="B5" s="533" t="s">
        <v>427</v>
      </c>
      <c r="C5" s="534" t="s">
        <v>428</v>
      </c>
      <c r="D5" s="535"/>
      <c r="E5" s="536" t="s">
        <v>202</v>
      </c>
      <c r="F5" s="536" t="s">
        <v>429</v>
      </c>
      <c r="G5" s="536" t="s">
        <v>430</v>
      </c>
      <c r="H5" s="536" t="s">
        <v>431</v>
      </c>
      <c r="I5" s="536" t="s">
        <v>432</v>
      </c>
      <c r="J5" s="467"/>
      <c r="K5" s="537"/>
      <c r="L5" s="538">
        <v>245000.0</v>
      </c>
      <c r="M5" s="531">
        <v>45005.0</v>
      </c>
      <c r="N5" s="529"/>
      <c r="O5" s="467"/>
    </row>
    <row r="6" ht="18.75" customHeight="1">
      <c r="A6" s="539">
        <v>1.0</v>
      </c>
      <c r="B6" s="540" t="s">
        <v>433</v>
      </c>
      <c r="C6" s="541" t="s">
        <v>434</v>
      </c>
      <c r="D6" s="542" t="s">
        <v>435</v>
      </c>
      <c r="E6" s="541" t="s">
        <v>436</v>
      </c>
      <c r="F6" s="541">
        <v>1.42</v>
      </c>
      <c r="G6" s="541">
        <v>10.0</v>
      </c>
      <c r="H6" s="543">
        <f t="shared" ref="H6:H20" si="1">round(I6/1.1,0)</f>
        <v>316273</v>
      </c>
      <c r="I6" s="543">
        <f t="shared" ref="I6:I20" si="2">F6*$D$3</f>
        <v>347900</v>
      </c>
      <c r="J6" s="467"/>
      <c r="K6" s="467"/>
      <c r="L6" s="544">
        <v>246000.0</v>
      </c>
      <c r="M6" s="545">
        <v>45007.0</v>
      </c>
      <c r="N6" s="467"/>
      <c r="O6" s="467"/>
    </row>
    <row r="7" ht="18.75" customHeight="1">
      <c r="A7" s="546">
        <v>2.0</v>
      </c>
      <c r="B7" s="547" t="s">
        <v>437</v>
      </c>
      <c r="C7" s="548" t="s">
        <v>434</v>
      </c>
      <c r="D7" s="549" t="s">
        <v>438</v>
      </c>
      <c r="E7" s="548" t="s">
        <v>436</v>
      </c>
      <c r="F7" s="548">
        <v>1.62</v>
      </c>
      <c r="G7" s="548">
        <v>10.0</v>
      </c>
      <c r="H7" s="550">
        <f t="shared" si="1"/>
        <v>360818</v>
      </c>
      <c r="I7" s="550">
        <f t="shared" si="2"/>
        <v>396900</v>
      </c>
      <c r="J7" s="467"/>
      <c r="K7" s="467"/>
      <c r="L7" s="544">
        <v>253000.0</v>
      </c>
      <c r="M7" s="545">
        <v>45008.0</v>
      </c>
      <c r="N7" s="467"/>
      <c r="O7" s="467"/>
    </row>
    <row r="8" ht="18.75" customHeight="1">
      <c r="A8" s="539">
        <v>3.0</v>
      </c>
      <c r="B8" s="540" t="s">
        <v>439</v>
      </c>
      <c r="C8" s="541" t="s">
        <v>434</v>
      </c>
      <c r="D8" s="542" t="s">
        <v>440</v>
      </c>
      <c r="E8" s="541" t="s">
        <v>436</v>
      </c>
      <c r="F8" s="541">
        <v>1.82</v>
      </c>
      <c r="G8" s="541">
        <v>10.0</v>
      </c>
      <c r="H8" s="543">
        <f t="shared" si="1"/>
        <v>405364</v>
      </c>
      <c r="I8" s="543">
        <f t="shared" si="2"/>
        <v>445900</v>
      </c>
      <c r="J8" s="551" t="s">
        <v>441</v>
      </c>
      <c r="K8" s="551">
        <v>272.0</v>
      </c>
      <c r="L8" s="544">
        <v>250000.0</v>
      </c>
      <c r="M8" s="545">
        <v>45008.0</v>
      </c>
      <c r="N8" s="467"/>
      <c r="O8" s="467"/>
    </row>
    <row r="9" ht="18.75" customHeight="1">
      <c r="A9" s="546">
        <v>4.0</v>
      </c>
      <c r="B9" s="547" t="s">
        <v>442</v>
      </c>
      <c r="C9" s="548" t="s">
        <v>434</v>
      </c>
      <c r="D9" s="549" t="s">
        <v>443</v>
      </c>
      <c r="E9" s="548" t="s">
        <v>436</v>
      </c>
      <c r="F9" s="548">
        <v>2.2</v>
      </c>
      <c r="G9" s="548">
        <v>10.0</v>
      </c>
      <c r="H9" s="550">
        <f t="shared" si="1"/>
        <v>490000</v>
      </c>
      <c r="I9" s="550">
        <f t="shared" si="2"/>
        <v>539000</v>
      </c>
      <c r="J9" s="552">
        <v>0.02</v>
      </c>
      <c r="K9" s="553">
        <f t="shared" ref="K9:K11" si="3">$D$3*(100%-J9)</f>
        <v>240100</v>
      </c>
      <c r="L9" s="544">
        <v>247000.0</v>
      </c>
      <c r="M9" s="545">
        <v>45010.0</v>
      </c>
      <c r="N9" s="467"/>
      <c r="O9" s="467"/>
    </row>
    <row r="10" ht="18.75" customHeight="1">
      <c r="A10" s="539">
        <v>5.0</v>
      </c>
      <c r="B10" s="540" t="s">
        <v>444</v>
      </c>
      <c r="C10" s="541" t="s">
        <v>434</v>
      </c>
      <c r="D10" s="542" t="s">
        <v>445</v>
      </c>
      <c r="E10" s="541" t="s">
        <v>436</v>
      </c>
      <c r="F10" s="541">
        <v>2.52</v>
      </c>
      <c r="G10" s="541">
        <v>10.0</v>
      </c>
      <c r="H10" s="543">
        <f t="shared" si="1"/>
        <v>561273</v>
      </c>
      <c r="I10" s="543">
        <f t="shared" si="2"/>
        <v>617400</v>
      </c>
      <c r="J10" s="552">
        <v>0.03</v>
      </c>
      <c r="K10" s="553">
        <f t="shared" si="3"/>
        <v>237650</v>
      </c>
      <c r="L10" s="544">
        <v>255000.0</v>
      </c>
      <c r="M10" s="545">
        <v>45016.0</v>
      </c>
      <c r="N10" s="467"/>
      <c r="O10" s="467"/>
    </row>
    <row r="11" ht="18.75" customHeight="1">
      <c r="A11" s="546">
        <v>6.0</v>
      </c>
      <c r="B11" s="547" t="s">
        <v>446</v>
      </c>
      <c r="C11" s="548" t="s">
        <v>434</v>
      </c>
      <c r="D11" s="549" t="s">
        <v>447</v>
      </c>
      <c r="E11" s="548" t="s">
        <v>436</v>
      </c>
      <c r="F11" s="548">
        <v>2.86</v>
      </c>
      <c r="G11" s="548">
        <v>10.0</v>
      </c>
      <c r="H11" s="550">
        <f t="shared" si="1"/>
        <v>637000</v>
      </c>
      <c r="I11" s="550">
        <f t="shared" si="2"/>
        <v>700700</v>
      </c>
      <c r="J11" s="552">
        <v>0.04</v>
      </c>
      <c r="K11" s="553">
        <f t="shared" si="3"/>
        <v>235200</v>
      </c>
      <c r="L11" s="544">
        <v>252000.0</v>
      </c>
      <c r="M11" s="545">
        <v>45021.0</v>
      </c>
      <c r="N11" s="467"/>
      <c r="O11" s="467"/>
    </row>
    <row r="12" ht="18.75" customHeight="1">
      <c r="A12" s="539">
        <v>7.0</v>
      </c>
      <c r="B12" s="540" t="s">
        <v>448</v>
      </c>
      <c r="C12" s="541" t="s">
        <v>434</v>
      </c>
      <c r="D12" s="542" t="s">
        <v>449</v>
      </c>
      <c r="E12" s="541" t="s">
        <v>436</v>
      </c>
      <c r="F12" s="541">
        <v>2.98</v>
      </c>
      <c r="G12" s="541">
        <v>5.0</v>
      </c>
      <c r="H12" s="543">
        <f t="shared" si="1"/>
        <v>663727</v>
      </c>
      <c r="I12" s="543">
        <f t="shared" si="2"/>
        <v>730100</v>
      </c>
      <c r="J12" s="554"/>
      <c r="K12" s="521"/>
      <c r="L12" s="544">
        <v>250000.0</v>
      </c>
      <c r="M12" s="545">
        <v>45023.0</v>
      </c>
      <c r="N12" s="467"/>
      <c r="O12" s="467"/>
    </row>
    <row r="13" ht="18.75" customHeight="1">
      <c r="A13" s="546">
        <v>8.0</v>
      </c>
      <c r="B13" s="547" t="s">
        <v>450</v>
      </c>
      <c r="C13" s="548" t="s">
        <v>434</v>
      </c>
      <c r="D13" s="549" t="s">
        <v>451</v>
      </c>
      <c r="E13" s="548" t="s">
        <v>436</v>
      </c>
      <c r="F13" s="548">
        <v>3.45</v>
      </c>
      <c r="G13" s="548">
        <v>5.0</v>
      </c>
      <c r="H13" s="550">
        <f t="shared" si="1"/>
        <v>768409</v>
      </c>
      <c r="I13" s="550">
        <f t="shared" si="2"/>
        <v>845250</v>
      </c>
      <c r="J13" s="555"/>
      <c r="K13" s="521"/>
      <c r="L13" s="544">
        <v>255000.0</v>
      </c>
      <c r="M13" s="545">
        <v>45030.0</v>
      </c>
      <c r="N13" s="467"/>
      <c r="O13" s="467"/>
    </row>
    <row r="14" ht="18.75" customHeight="1">
      <c r="A14" s="539">
        <v>9.0</v>
      </c>
      <c r="B14" s="540" t="s">
        <v>452</v>
      </c>
      <c r="C14" s="541" t="s">
        <v>434</v>
      </c>
      <c r="D14" s="542" t="s">
        <v>453</v>
      </c>
      <c r="E14" s="541" t="s">
        <v>436</v>
      </c>
      <c r="F14" s="541">
        <v>3.91</v>
      </c>
      <c r="G14" s="541">
        <v>5.0</v>
      </c>
      <c r="H14" s="543">
        <f t="shared" si="1"/>
        <v>870864</v>
      </c>
      <c r="I14" s="543">
        <f t="shared" si="2"/>
        <v>957950</v>
      </c>
      <c r="J14" s="555"/>
      <c r="K14" s="521"/>
      <c r="L14" s="544">
        <v>253000.0</v>
      </c>
      <c r="M14" s="545">
        <v>45034.0</v>
      </c>
      <c r="N14" s="467"/>
      <c r="O14" s="467"/>
    </row>
    <row r="15" ht="18.75" customHeight="1">
      <c r="A15" s="546">
        <v>10.0</v>
      </c>
      <c r="B15" s="547" t="s">
        <v>454</v>
      </c>
      <c r="C15" s="548" t="s">
        <v>434</v>
      </c>
      <c r="D15" s="549" t="s">
        <v>455</v>
      </c>
      <c r="E15" s="548" t="s">
        <v>436</v>
      </c>
      <c r="F15" s="548">
        <v>4.38</v>
      </c>
      <c r="G15" s="548">
        <v>5.0</v>
      </c>
      <c r="H15" s="550">
        <f t="shared" si="1"/>
        <v>975545</v>
      </c>
      <c r="I15" s="550">
        <f t="shared" si="2"/>
        <v>1073100</v>
      </c>
      <c r="J15" s="555"/>
      <c r="K15" s="521"/>
      <c r="L15" s="544">
        <v>250000.0</v>
      </c>
      <c r="M15" s="545">
        <v>45037.0</v>
      </c>
      <c r="N15" s="467"/>
      <c r="O15" s="467"/>
    </row>
    <row r="16" ht="18.75" customHeight="1">
      <c r="A16" s="539">
        <v>11.0</v>
      </c>
      <c r="B16" s="540" t="s">
        <v>456</v>
      </c>
      <c r="C16" s="541" t="s">
        <v>434</v>
      </c>
      <c r="D16" s="542" t="s">
        <v>457</v>
      </c>
      <c r="E16" s="541" t="s">
        <v>436</v>
      </c>
      <c r="F16" s="541">
        <v>4.96</v>
      </c>
      <c r="G16" s="541">
        <v>5.0</v>
      </c>
      <c r="H16" s="543">
        <f t="shared" si="1"/>
        <v>1104727</v>
      </c>
      <c r="I16" s="543">
        <f t="shared" si="2"/>
        <v>1215200</v>
      </c>
      <c r="J16" s="555"/>
      <c r="K16" s="521"/>
      <c r="L16" s="544">
        <v>248000.0</v>
      </c>
      <c r="M16" s="545">
        <v>45040.0</v>
      </c>
      <c r="N16" s="467"/>
      <c r="O16" s="467"/>
    </row>
    <row r="17" ht="18.75" customHeight="1">
      <c r="A17" s="546">
        <v>12.0</v>
      </c>
      <c r="B17" s="547" t="s">
        <v>458</v>
      </c>
      <c r="C17" s="548" t="s">
        <v>434</v>
      </c>
      <c r="D17" s="549" t="s">
        <v>459</v>
      </c>
      <c r="E17" s="548" t="s">
        <v>436</v>
      </c>
      <c r="F17" s="548">
        <v>6.12</v>
      </c>
      <c r="G17" s="548">
        <v>5.0</v>
      </c>
      <c r="H17" s="550">
        <f t="shared" si="1"/>
        <v>1363091</v>
      </c>
      <c r="I17" s="550">
        <f t="shared" si="2"/>
        <v>1499400</v>
      </c>
      <c r="J17" s="555"/>
      <c r="K17" s="521"/>
      <c r="L17" s="544">
        <v>243000.0</v>
      </c>
      <c r="M17" s="545">
        <v>45044.0</v>
      </c>
      <c r="N17" s="467"/>
      <c r="O17" s="467"/>
    </row>
    <row r="18" ht="18.75" customHeight="1">
      <c r="A18" s="539">
        <v>13.0</v>
      </c>
      <c r="B18" s="540" t="s">
        <v>460</v>
      </c>
      <c r="C18" s="541" t="s">
        <v>434</v>
      </c>
      <c r="D18" s="542" t="s">
        <v>461</v>
      </c>
      <c r="E18" s="541" t="s">
        <v>436</v>
      </c>
      <c r="F18" s="541">
        <v>5.28</v>
      </c>
      <c r="G18" s="541">
        <v>4.0</v>
      </c>
      <c r="H18" s="543">
        <f t="shared" si="1"/>
        <v>1176000</v>
      </c>
      <c r="I18" s="543">
        <f t="shared" si="2"/>
        <v>1293600</v>
      </c>
      <c r="J18" s="555"/>
      <c r="K18" s="521"/>
      <c r="L18" s="544">
        <v>245000.0</v>
      </c>
      <c r="M18" s="545">
        <v>45049.0</v>
      </c>
      <c r="N18" s="467"/>
      <c r="O18" s="467"/>
    </row>
    <row r="19" ht="18.75" customHeight="1">
      <c r="A19" s="546">
        <v>14.0</v>
      </c>
      <c r="B19" s="547" t="s">
        <v>462</v>
      </c>
      <c r="C19" s="548" t="s">
        <v>434</v>
      </c>
      <c r="D19" s="549" t="s">
        <v>463</v>
      </c>
      <c r="E19" s="548" t="s">
        <v>436</v>
      </c>
      <c r="F19" s="548">
        <v>6.03</v>
      </c>
      <c r="G19" s="548">
        <v>4.0</v>
      </c>
      <c r="H19" s="550">
        <f t="shared" si="1"/>
        <v>1343045</v>
      </c>
      <c r="I19" s="550">
        <f t="shared" si="2"/>
        <v>1477350</v>
      </c>
      <c r="J19" s="555"/>
      <c r="K19" s="521"/>
      <c r="L19" s="556"/>
      <c r="M19" s="557"/>
      <c r="N19" s="467"/>
      <c r="O19" s="467"/>
    </row>
    <row r="20" ht="18.75" customHeight="1">
      <c r="A20" s="558">
        <v>15.0</v>
      </c>
      <c r="B20" s="559" t="s">
        <v>464</v>
      </c>
      <c r="C20" s="560" t="s">
        <v>434</v>
      </c>
      <c r="D20" s="561" t="s">
        <v>465</v>
      </c>
      <c r="E20" s="560" t="s">
        <v>436</v>
      </c>
      <c r="F20" s="560">
        <v>7.45</v>
      </c>
      <c r="G20" s="560">
        <v>4.0</v>
      </c>
      <c r="H20" s="562">
        <f t="shared" si="1"/>
        <v>1659318</v>
      </c>
      <c r="I20" s="562">
        <f t="shared" si="2"/>
        <v>1825250</v>
      </c>
      <c r="J20" s="521"/>
      <c r="K20" s="521"/>
      <c r="L20" s="520"/>
      <c r="M20" s="467"/>
      <c r="N20" s="467"/>
      <c r="O20" s="467"/>
    </row>
    <row r="21" ht="18.75" customHeight="1">
      <c r="A21" s="521"/>
      <c r="B21" s="521"/>
      <c r="C21" s="521"/>
      <c r="D21" s="521"/>
      <c r="E21" s="521"/>
      <c r="F21" s="521"/>
      <c r="G21" s="521"/>
      <c r="H21" s="521"/>
      <c r="I21" s="521"/>
      <c r="J21" s="520"/>
      <c r="K21" s="520"/>
      <c r="L21" s="521"/>
      <c r="M21" s="467"/>
      <c r="N21" s="467"/>
      <c r="O21" s="467"/>
    </row>
    <row r="22" ht="18.75" customHeight="1">
      <c r="A22" s="521"/>
      <c r="B22" s="563" t="s">
        <v>466</v>
      </c>
      <c r="D22" s="564"/>
      <c r="E22" s="564"/>
      <c r="F22" s="564"/>
      <c r="G22" s="565"/>
      <c r="H22" s="566"/>
      <c r="I22" s="566"/>
      <c r="J22" s="520"/>
      <c r="K22" s="567"/>
      <c r="L22" s="568"/>
      <c r="M22" s="467"/>
      <c r="N22" s="467"/>
      <c r="O22" s="467"/>
    </row>
    <row r="23" ht="18.75" customHeight="1">
      <c r="A23" s="521"/>
      <c r="B23" s="569">
        <v>1.0</v>
      </c>
      <c r="C23" s="570" t="s">
        <v>467</v>
      </c>
      <c r="D23" s="570"/>
      <c r="E23" s="564"/>
      <c r="F23" s="564"/>
      <c r="G23" s="565"/>
      <c r="H23" s="566"/>
      <c r="I23" s="566"/>
      <c r="J23" s="520"/>
      <c r="K23" s="567"/>
      <c r="L23" s="568"/>
      <c r="M23" s="467"/>
      <c r="N23" s="467"/>
      <c r="O23" s="467"/>
    </row>
    <row r="24" ht="18.75" customHeight="1">
      <c r="A24" s="521"/>
      <c r="B24" s="571" t="s">
        <v>468</v>
      </c>
      <c r="C24" s="572" t="s">
        <v>469</v>
      </c>
      <c r="D24" s="572"/>
      <c r="E24" s="572"/>
      <c r="F24" s="572"/>
      <c r="G24" s="572"/>
      <c r="H24" s="572"/>
      <c r="I24" s="572"/>
      <c r="J24" s="520"/>
      <c r="K24" s="567"/>
      <c r="L24" s="568"/>
      <c r="M24" s="467"/>
      <c r="N24" s="467"/>
      <c r="O24" s="467"/>
    </row>
    <row r="25" ht="18.75" customHeight="1">
      <c r="A25" s="521"/>
      <c r="B25" s="571" t="s">
        <v>468</v>
      </c>
      <c r="C25" s="573" t="s">
        <v>470</v>
      </c>
      <c r="D25" s="573"/>
      <c r="E25" s="573"/>
      <c r="F25" s="573"/>
      <c r="G25" s="573"/>
      <c r="H25" s="573"/>
      <c r="I25" s="573"/>
      <c r="J25" s="520"/>
      <c r="K25" s="567"/>
      <c r="L25" s="568"/>
      <c r="M25" s="467"/>
      <c r="N25" s="467"/>
      <c r="O25" s="467"/>
    </row>
    <row r="26" ht="18.75" customHeight="1">
      <c r="A26" s="521"/>
      <c r="B26" s="569">
        <v>2.0</v>
      </c>
      <c r="C26" s="570" t="s">
        <v>471</v>
      </c>
      <c r="D26" s="564"/>
      <c r="E26" s="564"/>
      <c r="F26" s="564"/>
      <c r="G26" s="574"/>
      <c r="H26" s="575"/>
      <c r="I26" s="575"/>
      <c r="J26" s="520"/>
      <c r="K26" s="576"/>
      <c r="L26" s="568"/>
      <c r="M26" s="467"/>
      <c r="N26" s="467"/>
      <c r="O26" s="467"/>
    </row>
    <row r="27" ht="18.75" customHeight="1">
      <c r="A27" s="521"/>
      <c r="B27" s="571"/>
      <c r="C27" s="577" t="s">
        <v>472</v>
      </c>
      <c r="D27" s="578"/>
      <c r="E27" s="578"/>
      <c r="F27" s="578"/>
      <c r="G27" s="578"/>
      <c r="H27" s="578"/>
      <c r="I27" s="578"/>
      <c r="J27" s="520"/>
      <c r="K27" s="567"/>
      <c r="L27" s="568"/>
      <c r="M27" s="467"/>
      <c r="N27" s="467"/>
      <c r="O27" s="467"/>
    </row>
    <row r="28" ht="18.75" customHeight="1">
      <c r="A28" s="521"/>
      <c r="B28" s="571" t="s">
        <v>468</v>
      </c>
      <c r="C28" s="572" t="s">
        <v>473</v>
      </c>
      <c r="D28" s="572"/>
      <c r="E28" s="572"/>
      <c r="F28" s="572"/>
      <c r="G28" s="572"/>
      <c r="H28" s="572"/>
      <c r="I28" s="572"/>
      <c r="J28" s="520"/>
      <c r="K28" s="567"/>
      <c r="L28" s="568"/>
      <c r="M28" s="467"/>
      <c r="N28" s="467"/>
      <c r="O28" s="467"/>
    </row>
    <row r="29" ht="18.75" customHeight="1">
      <c r="A29" s="521"/>
      <c r="B29" s="571" t="s">
        <v>468</v>
      </c>
      <c r="C29" s="572" t="s">
        <v>474</v>
      </c>
      <c r="D29" s="572"/>
      <c r="E29" s="572"/>
      <c r="F29" s="572"/>
      <c r="G29" s="572"/>
      <c r="H29" s="572"/>
      <c r="I29" s="572"/>
      <c r="J29" s="520"/>
      <c r="K29" s="567"/>
      <c r="L29" s="521"/>
      <c r="M29" s="467"/>
      <c r="N29" s="467"/>
      <c r="O29" s="467"/>
    </row>
    <row r="30" ht="18.75" customHeight="1">
      <c r="A30" s="521"/>
      <c r="B30" s="571" t="s">
        <v>468</v>
      </c>
      <c r="C30" s="572" t="s">
        <v>475</v>
      </c>
      <c r="D30" s="572"/>
      <c r="E30" s="572"/>
      <c r="F30" s="572"/>
      <c r="G30" s="572"/>
      <c r="H30" s="572"/>
      <c r="I30" s="572"/>
      <c r="J30" s="520"/>
      <c r="K30" s="520"/>
      <c r="L30" s="521"/>
      <c r="M30" s="467"/>
      <c r="N30" s="467"/>
      <c r="O30" s="467"/>
    </row>
    <row r="31" ht="18.75" customHeight="1">
      <c r="A31" s="521"/>
      <c r="B31" s="569">
        <v>3.0</v>
      </c>
      <c r="C31" s="570" t="s">
        <v>476</v>
      </c>
      <c r="D31" s="570"/>
      <c r="E31" s="564"/>
      <c r="F31" s="564"/>
      <c r="G31" s="565"/>
      <c r="H31" s="566"/>
      <c r="I31" s="566"/>
      <c r="J31" s="520"/>
      <c r="K31" s="520"/>
      <c r="L31" s="521"/>
      <c r="M31" s="467"/>
      <c r="N31" s="467"/>
      <c r="O31" s="467"/>
    </row>
    <row r="32" ht="18.75" customHeight="1">
      <c r="A32" s="521"/>
      <c r="B32" s="571" t="s">
        <v>468</v>
      </c>
      <c r="C32" s="573" t="s">
        <v>477</v>
      </c>
      <c r="D32" s="573"/>
      <c r="E32" s="573"/>
      <c r="F32" s="573"/>
      <c r="G32" s="573"/>
      <c r="H32" s="573"/>
      <c r="I32" s="573"/>
      <c r="J32" s="520"/>
      <c r="K32" s="520"/>
      <c r="L32" s="521"/>
      <c r="M32" s="467"/>
      <c r="N32" s="467"/>
      <c r="O32" s="467"/>
    </row>
    <row r="33" ht="18.75" customHeight="1">
      <c r="A33" s="521"/>
      <c r="B33" s="571" t="s">
        <v>468</v>
      </c>
      <c r="C33" s="572" t="s">
        <v>478</v>
      </c>
      <c r="D33" s="572"/>
      <c r="E33" s="572"/>
      <c r="F33" s="572"/>
      <c r="G33" s="572"/>
      <c r="H33" s="572"/>
      <c r="I33" s="572"/>
      <c r="J33" s="520"/>
      <c r="K33" s="520"/>
      <c r="L33" s="521"/>
      <c r="M33" s="467"/>
      <c r="N33" s="467"/>
      <c r="O33" s="467"/>
    </row>
    <row r="34" ht="18.75" customHeight="1">
      <c r="A34" s="521"/>
      <c r="B34" s="571" t="s">
        <v>468</v>
      </c>
      <c r="C34" s="572" t="s">
        <v>479</v>
      </c>
      <c r="D34" s="572"/>
      <c r="E34" s="572"/>
      <c r="F34" s="572"/>
      <c r="G34" s="572"/>
      <c r="H34" s="572"/>
      <c r="I34" s="572"/>
      <c r="J34" s="520"/>
      <c r="K34" s="520"/>
      <c r="L34" s="521"/>
      <c r="M34" s="467"/>
      <c r="N34" s="467"/>
      <c r="O34" s="467"/>
    </row>
    <row r="35" ht="18.75" customHeight="1">
      <c r="A35" s="521"/>
      <c r="B35" s="569">
        <v>4.0</v>
      </c>
      <c r="C35" s="570" t="s">
        <v>480</v>
      </c>
      <c r="D35" s="564"/>
      <c r="E35" s="564"/>
      <c r="F35" s="564"/>
      <c r="G35" s="574"/>
      <c r="H35" s="564"/>
      <c r="I35" s="564"/>
      <c r="J35" s="520"/>
      <c r="K35" s="520"/>
      <c r="L35" s="521"/>
      <c r="M35" s="467"/>
      <c r="N35" s="467"/>
      <c r="O35" s="467"/>
    </row>
    <row r="36" ht="18.75" customHeight="1">
      <c r="A36" s="521"/>
      <c r="B36" s="571" t="s">
        <v>468</v>
      </c>
      <c r="C36" s="572" t="s">
        <v>481</v>
      </c>
      <c r="D36" s="572"/>
      <c r="E36" s="572"/>
      <c r="F36" s="572"/>
      <c r="G36" s="572"/>
      <c r="H36" s="572"/>
      <c r="I36" s="572"/>
      <c r="J36" s="520"/>
      <c r="K36" s="520"/>
      <c r="L36" s="521"/>
      <c r="M36" s="467"/>
      <c r="N36" s="467"/>
      <c r="O36" s="467"/>
    </row>
    <row r="37" ht="18.75" customHeight="1">
      <c r="A37" s="521"/>
      <c r="B37" s="571" t="s">
        <v>468</v>
      </c>
      <c r="C37" s="572" t="s">
        <v>482</v>
      </c>
      <c r="D37" s="572"/>
      <c r="E37" s="572"/>
      <c r="F37" s="572"/>
      <c r="G37" s="572"/>
      <c r="H37" s="572"/>
      <c r="I37" s="572"/>
      <c r="J37" s="520"/>
      <c r="K37" s="520"/>
      <c r="L37" s="521"/>
      <c r="M37" s="467"/>
      <c r="N37" s="467"/>
      <c r="O37" s="467"/>
    </row>
  </sheetData>
  <mergeCells count="4">
    <mergeCell ref="A1:I1"/>
    <mergeCell ref="L2:M2"/>
    <mergeCell ref="C5:D5"/>
    <mergeCell ref="B22:C2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AD9D6"/>
    <pageSetUpPr/>
  </sheetPr>
  <sheetViews>
    <sheetView showGridLines="0" workbookViewId="0"/>
  </sheetViews>
  <sheetFormatPr customHeight="1" defaultColWidth="12.63" defaultRowHeight="15.75"/>
  <cols>
    <col customWidth="1" min="1" max="1" width="4.38"/>
    <col customWidth="1" min="2" max="2" width="7.0"/>
    <col customWidth="1" min="3" max="3" width="11.63"/>
    <col customWidth="1" min="4" max="4" width="32.25"/>
    <col customWidth="1" min="5" max="16" width="10.25"/>
    <col customWidth="1" min="17" max="17" width="9.63"/>
    <col hidden="1" min="19" max="19" width="12.63"/>
  </cols>
  <sheetData>
    <row r="1" ht="15.75" customHeight="1">
      <c r="A1" s="579"/>
      <c r="B1" s="580"/>
      <c r="C1" s="580"/>
      <c r="D1" s="580"/>
      <c r="E1" s="580"/>
      <c r="F1" s="580"/>
      <c r="G1" s="580"/>
      <c r="H1" s="580"/>
      <c r="I1" s="580"/>
      <c r="J1" s="580"/>
      <c r="K1" s="580"/>
      <c r="L1" s="580"/>
      <c r="M1" s="580"/>
      <c r="N1" s="580"/>
      <c r="O1" s="580"/>
      <c r="P1" s="581"/>
      <c r="Q1" s="582"/>
      <c r="R1" s="582"/>
      <c r="S1" s="582"/>
    </row>
    <row r="2" ht="15.75" customHeight="1">
      <c r="B2" s="583"/>
      <c r="C2" s="583"/>
      <c r="D2" s="583"/>
      <c r="E2" s="584" t="s">
        <v>483</v>
      </c>
      <c r="M2" s="583"/>
      <c r="N2" s="583"/>
      <c r="O2" s="583"/>
      <c r="P2" s="585"/>
      <c r="Q2" s="582"/>
      <c r="R2" s="582"/>
      <c r="S2" s="582"/>
    </row>
    <row r="3" ht="15.75" customHeight="1">
      <c r="A3" s="586"/>
      <c r="B3" s="587"/>
      <c r="C3" s="587"/>
      <c r="D3" s="587"/>
      <c r="E3" s="435"/>
      <c r="F3" s="418"/>
      <c r="G3" s="418"/>
      <c r="H3" s="418"/>
      <c r="I3" s="418"/>
      <c r="J3" s="418"/>
      <c r="K3" s="418"/>
      <c r="L3" s="418"/>
      <c r="M3" s="587"/>
      <c r="N3" s="587"/>
      <c r="O3" s="587"/>
      <c r="P3" s="588"/>
      <c r="Q3" s="582"/>
      <c r="R3" s="582"/>
      <c r="S3" s="582"/>
    </row>
    <row r="4" ht="15.75" customHeight="1">
      <c r="A4" s="589"/>
      <c r="B4" s="589"/>
      <c r="C4" s="589"/>
      <c r="D4" s="589"/>
      <c r="E4" s="589"/>
      <c r="F4" s="589"/>
      <c r="G4" s="589"/>
      <c r="H4" s="589"/>
      <c r="I4" s="589"/>
      <c r="J4" s="589"/>
      <c r="K4" s="589"/>
      <c r="L4" s="589"/>
      <c r="M4" s="589"/>
      <c r="N4" s="589"/>
      <c r="O4" s="589"/>
      <c r="P4" s="589"/>
      <c r="Q4" s="582"/>
      <c r="R4" s="582"/>
      <c r="S4" s="582"/>
    </row>
    <row r="5" ht="32.25" customHeight="1">
      <c r="A5" s="590" t="s">
        <v>201</v>
      </c>
      <c r="B5" s="287"/>
      <c r="C5" s="287"/>
      <c r="D5" s="288"/>
      <c r="E5" s="591" t="s">
        <v>68</v>
      </c>
      <c r="F5" s="592"/>
      <c r="G5" s="592"/>
      <c r="H5" s="462"/>
      <c r="I5" s="593" t="s">
        <v>70</v>
      </c>
      <c r="J5" s="592"/>
      <c r="K5" s="592"/>
      <c r="L5" s="462"/>
      <c r="M5" s="594" t="s">
        <v>71</v>
      </c>
      <c r="N5" s="592"/>
      <c r="O5" s="592"/>
      <c r="P5" s="462"/>
      <c r="Q5" s="582"/>
      <c r="R5" s="582"/>
      <c r="S5" s="582"/>
    </row>
    <row r="6" ht="32.25" customHeight="1">
      <c r="A6" s="468"/>
      <c r="B6" s="309"/>
      <c r="C6" s="309"/>
      <c r="D6" s="310"/>
      <c r="E6" s="595" t="s">
        <v>484</v>
      </c>
      <c r="F6" s="596" t="s">
        <v>485</v>
      </c>
      <c r="G6" s="596" t="s">
        <v>486</v>
      </c>
      <c r="H6" s="597" t="s">
        <v>487</v>
      </c>
      <c r="I6" s="598" t="s">
        <v>484</v>
      </c>
      <c r="J6" s="599" t="s">
        <v>485</v>
      </c>
      <c r="K6" s="599" t="s">
        <v>486</v>
      </c>
      <c r="L6" s="600" t="s">
        <v>487</v>
      </c>
      <c r="M6" s="601" t="s">
        <v>484</v>
      </c>
      <c r="N6" s="602" t="s">
        <v>485</v>
      </c>
      <c r="O6" s="602" t="s">
        <v>486</v>
      </c>
      <c r="P6" s="603" t="s">
        <v>487</v>
      </c>
      <c r="Q6" s="582"/>
      <c r="R6" s="582"/>
      <c r="S6" s="582"/>
    </row>
    <row r="7">
      <c r="A7" s="604" t="s">
        <v>488</v>
      </c>
      <c r="B7" s="307"/>
      <c r="C7" s="307"/>
      <c r="D7" s="314"/>
      <c r="E7" s="605" t="s">
        <v>489</v>
      </c>
      <c r="F7" s="606" t="s">
        <v>490</v>
      </c>
      <c r="G7" s="606" t="s">
        <v>491</v>
      </c>
      <c r="H7" s="607" t="s">
        <v>492</v>
      </c>
      <c r="I7" s="608" t="s">
        <v>489</v>
      </c>
      <c r="J7" s="609" t="s">
        <v>490</v>
      </c>
      <c r="K7" s="609" t="s">
        <v>491</v>
      </c>
      <c r="L7" s="610" t="s">
        <v>492</v>
      </c>
      <c r="M7" s="611" t="s">
        <v>489</v>
      </c>
      <c r="N7" s="612" t="s">
        <v>490</v>
      </c>
      <c r="O7" s="612" t="s">
        <v>491</v>
      </c>
      <c r="P7" s="613" t="s">
        <v>492</v>
      </c>
      <c r="Q7" s="582"/>
      <c r="R7" s="582"/>
      <c r="S7" s="582"/>
    </row>
    <row r="8">
      <c r="A8" s="614">
        <v>1.0</v>
      </c>
      <c r="B8" s="615" t="s">
        <v>493</v>
      </c>
      <c r="C8" s="616" t="s">
        <v>494</v>
      </c>
      <c r="D8" s="314"/>
      <c r="E8" s="617">
        <v>440000.0</v>
      </c>
      <c r="F8" s="618">
        <v>420000.0</v>
      </c>
      <c r="G8" s="618">
        <v>410000.0</v>
      </c>
      <c r="H8" s="619">
        <v>400000.0</v>
      </c>
      <c r="I8" s="617">
        <f t="shared" ref="I8:L8" si="1">IF(ISBLANK(E8),,ROUND(E8/1.1,-1))</f>
        <v>400000</v>
      </c>
      <c r="J8" s="620">
        <f t="shared" si="1"/>
        <v>381820</v>
      </c>
      <c r="K8" s="620">
        <f t="shared" si="1"/>
        <v>372730</v>
      </c>
      <c r="L8" s="621">
        <f t="shared" si="1"/>
        <v>363640</v>
      </c>
      <c r="M8" s="617">
        <f t="shared" ref="M8:O8" si="2">IF(ISBLANK(E8),,ROUND(E8*(1-$S8),-1))</f>
        <v>440000</v>
      </c>
      <c r="N8" s="622">
        <f t="shared" si="2"/>
        <v>420000</v>
      </c>
      <c r="O8" s="623">
        <f t="shared" si="2"/>
        <v>410000</v>
      </c>
      <c r="P8" s="624">
        <v>400000.0</v>
      </c>
      <c r="Q8" s="625" t="s">
        <v>495</v>
      </c>
      <c r="R8" s="582"/>
      <c r="S8" s="626"/>
    </row>
    <row r="9" ht="15.75" customHeight="1">
      <c r="A9" s="614">
        <v>2.0</v>
      </c>
      <c r="B9" s="615" t="s">
        <v>496</v>
      </c>
      <c r="C9" s="616" t="s">
        <v>497</v>
      </c>
      <c r="D9" s="314"/>
      <c r="E9" s="627">
        <v>1460000.0</v>
      </c>
      <c r="F9" s="623">
        <v>1440000.0</v>
      </c>
      <c r="G9" s="623">
        <v>1420000.0</v>
      </c>
      <c r="H9" s="628">
        <v>1400000.0</v>
      </c>
      <c r="I9" s="627">
        <f t="shared" ref="I9:L9" si="3">IF(ISBLANK(E9),,ROUND(E9/1.1,-1))</f>
        <v>1327270</v>
      </c>
      <c r="J9" s="623">
        <f t="shared" si="3"/>
        <v>1309090</v>
      </c>
      <c r="K9" s="623">
        <f t="shared" si="3"/>
        <v>1290910</v>
      </c>
      <c r="L9" s="628">
        <f t="shared" si="3"/>
        <v>1272730</v>
      </c>
      <c r="M9" s="627">
        <f t="shared" ref="M9:P9" si="4">IF(ISBLANK(E9),,ROUND(E9*(1-$S9),-1))</f>
        <v>1460000</v>
      </c>
      <c r="N9" s="623">
        <f t="shared" si="4"/>
        <v>1440000</v>
      </c>
      <c r="O9" s="623">
        <f t="shared" si="4"/>
        <v>1420000</v>
      </c>
      <c r="P9" s="629">
        <f t="shared" si="4"/>
        <v>1400000</v>
      </c>
      <c r="Q9" s="582"/>
      <c r="R9" s="582"/>
      <c r="S9" s="626"/>
    </row>
    <row r="10" ht="15.75" customHeight="1">
      <c r="A10" s="614">
        <v>3.0</v>
      </c>
      <c r="B10" s="615" t="s">
        <v>498</v>
      </c>
      <c r="C10" s="616" t="s">
        <v>499</v>
      </c>
      <c r="D10" s="314"/>
      <c r="E10" s="630">
        <v>2410000.0</v>
      </c>
      <c r="F10" s="631">
        <v>2390000.0</v>
      </c>
      <c r="G10" s="631">
        <v>2370000.0</v>
      </c>
      <c r="H10" s="632">
        <v>2350000.0</v>
      </c>
      <c r="I10" s="630">
        <f t="shared" ref="I10:L10" si="5">IF(ISBLANK(E10),,ROUND(E10/1.1,-1))</f>
        <v>2190910</v>
      </c>
      <c r="J10" s="631">
        <f t="shared" si="5"/>
        <v>2172730</v>
      </c>
      <c r="K10" s="631">
        <f t="shared" si="5"/>
        <v>2154550</v>
      </c>
      <c r="L10" s="632">
        <f t="shared" si="5"/>
        <v>2136360</v>
      </c>
      <c r="M10" s="630">
        <f t="shared" ref="M10:P10" si="6">IF(ISBLANK(E10),,ROUND(E10*(1-$S10),-1))</f>
        <v>2410000</v>
      </c>
      <c r="N10" s="631">
        <f t="shared" si="6"/>
        <v>2390000</v>
      </c>
      <c r="O10" s="631">
        <f t="shared" si="6"/>
        <v>2370000</v>
      </c>
      <c r="P10" s="629">
        <f t="shared" si="6"/>
        <v>2350000</v>
      </c>
      <c r="Q10" s="582"/>
      <c r="R10" s="582"/>
      <c r="S10" s="626"/>
    </row>
    <row r="11" ht="15.75" customHeight="1">
      <c r="A11" s="614">
        <v>4.0</v>
      </c>
      <c r="B11" s="615" t="s">
        <v>500</v>
      </c>
      <c r="C11" s="616" t="s">
        <v>501</v>
      </c>
      <c r="D11" s="314"/>
      <c r="E11" s="630">
        <v>5650000.0</v>
      </c>
      <c r="F11" s="631">
        <v>5600000.0</v>
      </c>
      <c r="G11" s="631">
        <v>5550000.0</v>
      </c>
      <c r="H11" s="632">
        <v>5500000.0</v>
      </c>
      <c r="I11" s="630">
        <f t="shared" ref="I11:L11" si="7">IF(ISBLANK(E11),,ROUND(E11/1.1,-1))</f>
        <v>5136360</v>
      </c>
      <c r="J11" s="631">
        <f t="shared" si="7"/>
        <v>5090910</v>
      </c>
      <c r="K11" s="631">
        <f t="shared" si="7"/>
        <v>5045450</v>
      </c>
      <c r="L11" s="632">
        <f t="shared" si="7"/>
        <v>5000000</v>
      </c>
      <c r="M11" s="630">
        <f t="shared" ref="M11:P11" si="8">IF(ISBLANK(E11),,ROUND(E11*(1-$S11),-1))</f>
        <v>5650000</v>
      </c>
      <c r="N11" s="631">
        <f t="shared" si="8"/>
        <v>5600000</v>
      </c>
      <c r="O11" s="631">
        <f t="shared" si="8"/>
        <v>5550000</v>
      </c>
      <c r="P11" s="629">
        <f t="shared" si="8"/>
        <v>5500000</v>
      </c>
      <c r="Q11" s="582"/>
      <c r="R11" s="582"/>
      <c r="S11" s="626"/>
    </row>
    <row r="12" ht="16.5" customHeight="1">
      <c r="A12" s="614">
        <v>5.0</v>
      </c>
      <c r="B12" s="615" t="s">
        <v>502</v>
      </c>
      <c r="C12" s="633" t="s">
        <v>503</v>
      </c>
      <c r="D12" s="314"/>
      <c r="E12" s="634"/>
      <c r="F12" s="635"/>
      <c r="G12" s="635"/>
      <c r="H12" s="629"/>
      <c r="I12" s="634" t="str">
        <f t="shared" ref="I12:L12" si="9">IF(ISBLANK(E12),,ROUND(E12/1.1,-1))</f>
        <v/>
      </c>
      <c r="J12" s="635" t="str">
        <f t="shared" si="9"/>
        <v/>
      </c>
      <c r="K12" s="635" t="str">
        <f t="shared" si="9"/>
        <v/>
      </c>
      <c r="L12" s="629" t="str">
        <f t="shared" si="9"/>
        <v/>
      </c>
      <c r="M12" s="634" t="str">
        <f t="shared" ref="M12:P12" si="10">IF(ISBLANK(E12),,ROUND(E12*(1-$S12),-1))</f>
        <v/>
      </c>
      <c r="N12" s="636" t="str">
        <f t="shared" si="10"/>
        <v/>
      </c>
      <c r="O12" s="636" t="str">
        <f t="shared" si="10"/>
        <v/>
      </c>
      <c r="P12" s="637" t="str">
        <f t="shared" si="10"/>
        <v/>
      </c>
      <c r="Q12" s="582"/>
      <c r="R12" s="582"/>
      <c r="S12" s="626"/>
    </row>
    <row r="13" ht="16.5" customHeight="1">
      <c r="A13" s="614">
        <v>6.0</v>
      </c>
      <c r="B13" s="615" t="s">
        <v>504</v>
      </c>
      <c r="C13" s="616" t="s">
        <v>505</v>
      </c>
      <c r="D13" s="314"/>
      <c r="E13" s="617">
        <v>580000.0</v>
      </c>
      <c r="F13" s="620">
        <v>550000.0</v>
      </c>
      <c r="G13" s="620">
        <v>520000.0</v>
      </c>
      <c r="H13" s="621">
        <v>490000.0</v>
      </c>
      <c r="I13" s="617">
        <f t="shared" ref="I13:L13" si="11">IF(ISBLANK(E13),,ROUND(E13/1.1,-1))</f>
        <v>527270</v>
      </c>
      <c r="J13" s="620">
        <f t="shared" si="11"/>
        <v>500000</v>
      </c>
      <c r="K13" s="620">
        <f t="shared" si="11"/>
        <v>472730</v>
      </c>
      <c r="L13" s="621">
        <f t="shared" si="11"/>
        <v>445450</v>
      </c>
      <c r="M13" s="617">
        <f t="shared" ref="M13:P13" si="12">IF(ISBLANK(E13),,ROUND(E13*(1-$S13),-1))</f>
        <v>580000</v>
      </c>
      <c r="N13" s="620">
        <f t="shared" si="12"/>
        <v>550000</v>
      </c>
      <c r="O13" s="620">
        <f t="shared" si="12"/>
        <v>520000</v>
      </c>
      <c r="P13" s="621">
        <f t="shared" si="12"/>
        <v>490000</v>
      </c>
      <c r="Q13" s="582"/>
      <c r="R13" s="638"/>
      <c r="S13" s="626"/>
    </row>
    <row r="14" ht="16.5" customHeight="1">
      <c r="A14" s="604" t="s">
        <v>506</v>
      </c>
      <c r="B14" s="307"/>
      <c r="C14" s="307"/>
      <c r="D14" s="314"/>
      <c r="E14" s="605" t="s">
        <v>507</v>
      </c>
      <c r="F14" s="606" t="s">
        <v>169</v>
      </c>
      <c r="G14" s="606" t="s">
        <v>508</v>
      </c>
      <c r="H14" s="607" t="s">
        <v>509</v>
      </c>
      <c r="I14" s="608" t="s">
        <v>507</v>
      </c>
      <c r="J14" s="609" t="s">
        <v>169</v>
      </c>
      <c r="K14" s="609" t="s">
        <v>508</v>
      </c>
      <c r="L14" s="610" t="s">
        <v>509</v>
      </c>
      <c r="M14" s="611" t="s">
        <v>507</v>
      </c>
      <c r="N14" s="612" t="s">
        <v>169</v>
      </c>
      <c r="O14" s="612" t="s">
        <v>508</v>
      </c>
      <c r="P14" s="639" t="s">
        <v>509</v>
      </c>
      <c r="R14" s="640" t="s">
        <v>510</v>
      </c>
      <c r="S14" s="638"/>
    </row>
    <row r="15" ht="19.5" customHeight="1">
      <c r="A15" s="614">
        <v>1.0</v>
      </c>
      <c r="B15" s="615" t="s">
        <v>511</v>
      </c>
      <c r="C15" s="641" t="s">
        <v>512</v>
      </c>
      <c r="D15" s="314"/>
      <c r="E15" s="617">
        <v>34000.0</v>
      </c>
      <c r="F15" s="620">
        <v>33000.0</v>
      </c>
      <c r="G15" s="620">
        <v>32000.0</v>
      </c>
      <c r="H15" s="621">
        <v>31000.0</v>
      </c>
      <c r="I15" s="617">
        <f t="shared" ref="I15:L15" si="13">IF(ISBLANK(E15),,ROUND(E15/1.1,-1))</f>
        <v>30910</v>
      </c>
      <c r="J15" s="620">
        <f t="shared" si="13"/>
        <v>30000</v>
      </c>
      <c r="K15" s="620">
        <f t="shared" si="13"/>
        <v>29090</v>
      </c>
      <c r="L15" s="621">
        <f t="shared" si="13"/>
        <v>28180</v>
      </c>
      <c r="M15" s="617">
        <f t="shared" ref="M15:P15" si="14">IF(ISBLANK(E15),,ROUND(E15*(1-$S15),-1))</f>
        <v>34000</v>
      </c>
      <c r="N15" s="620">
        <f t="shared" si="14"/>
        <v>33000</v>
      </c>
      <c r="O15" s="620">
        <f t="shared" si="14"/>
        <v>32000</v>
      </c>
      <c r="P15" s="621">
        <f t="shared" si="14"/>
        <v>31000</v>
      </c>
      <c r="Q15" s="642">
        <v>44965.0</v>
      </c>
      <c r="S15" s="582"/>
    </row>
    <row r="16" ht="16.5" customHeight="1">
      <c r="A16" s="614">
        <v>2.0</v>
      </c>
      <c r="B16" s="615" t="s">
        <v>513</v>
      </c>
      <c r="C16" s="641" t="s">
        <v>514</v>
      </c>
      <c r="D16" s="314"/>
      <c r="E16" s="617">
        <v>37000.0</v>
      </c>
      <c r="F16" s="620">
        <v>36000.0</v>
      </c>
      <c r="G16" s="620">
        <v>35000.0</v>
      </c>
      <c r="H16" s="621">
        <v>34000.0</v>
      </c>
      <c r="I16" s="617">
        <f t="shared" ref="I16:L16" si="15">IF(ISBLANK(E16),,ROUND(E16/1.1,-1))</f>
        <v>33640</v>
      </c>
      <c r="J16" s="620">
        <f t="shared" si="15"/>
        <v>32730</v>
      </c>
      <c r="K16" s="620">
        <f t="shared" si="15"/>
        <v>31820</v>
      </c>
      <c r="L16" s="621">
        <f t="shared" si="15"/>
        <v>30910</v>
      </c>
      <c r="M16" s="617">
        <f t="shared" ref="M16:P16" si="16">IF(ISBLANK(E16),,ROUND(E16*(1-$S16),-1))</f>
        <v>37000</v>
      </c>
      <c r="N16" s="620">
        <f t="shared" si="16"/>
        <v>36000</v>
      </c>
      <c r="O16" s="620">
        <f t="shared" si="16"/>
        <v>35000</v>
      </c>
      <c r="P16" s="621">
        <f t="shared" si="16"/>
        <v>34000</v>
      </c>
      <c r="Q16" s="642">
        <v>44965.0</v>
      </c>
      <c r="S16" s="582"/>
    </row>
    <row r="17" ht="19.5" customHeight="1">
      <c r="A17" s="614">
        <v>3.0</v>
      </c>
      <c r="B17" s="615" t="s">
        <v>515</v>
      </c>
      <c r="C17" s="641" t="s">
        <v>516</v>
      </c>
      <c r="D17" s="314"/>
      <c r="E17" s="617">
        <v>18000.0</v>
      </c>
      <c r="F17" s="620">
        <v>17000.0</v>
      </c>
      <c r="G17" s="620">
        <v>16000.0</v>
      </c>
      <c r="H17" s="621">
        <v>15500.0</v>
      </c>
      <c r="I17" s="617">
        <f t="shared" ref="I17:L17" si="17">IF(ISBLANK(E17),,ROUND(E17/1.1,-1))</f>
        <v>16360</v>
      </c>
      <c r="J17" s="620">
        <f t="shared" si="17"/>
        <v>15450</v>
      </c>
      <c r="K17" s="620">
        <f t="shared" si="17"/>
        <v>14550</v>
      </c>
      <c r="L17" s="621">
        <f t="shared" si="17"/>
        <v>14090</v>
      </c>
      <c r="M17" s="617">
        <f t="shared" ref="M17:P17" si="18">IF(ISBLANK(E17),,ROUND(E17*(1-$S17),-1))</f>
        <v>18000</v>
      </c>
      <c r="N17" s="620">
        <f t="shared" si="18"/>
        <v>17000</v>
      </c>
      <c r="O17" s="620">
        <f t="shared" si="18"/>
        <v>16000</v>
      </c>
      <c r="P17" s="621">
        <f t="shared" si="18"/>
        <v>15500</v>
      </c>
      <c r="Q17" s="642">
        <v>44965.0</v>
      </c>
      <c r="S17" s="582"/>
    </row>
    <row r="18" ht="16.5" customHeight="1">
      <c r="A18" s="643" t="s">
        <v>517</v>
      </c>
      <c r="B18" s="307"/>
      <c r="C18" s="307"/>
      <c r="D18" s="314"/>
      <c r="E18" s="605" t="s">
        <v>518</v>
      </c>
      <c r="F18" s="644" t="s">
        <v>519</v>
      </c>
      <c r="G18" s="606" t="s">
        <v>520</v>
      </c>
      <c r="H18" s="607" t="s">
        <v>521</v>
      </c>
      <c r="I18" s="608" t="s">
        <v>518</v>
      </c>
      <c r="J18" s="645" t="s">
        <v>519</v>
      </c>
      <c r="K18" s="609" t="s">
        <v>520</v>
      </c>
      <c r="L18" s="610" t="s">
        <v>521</v>
      </c>
      <c r="M18" s="611" t="s">
        <v>518</v>
      </c>
      <c r="N18" s="646" t="s">
        <v>519</v>
      </c>
      <c r="O18" s="612" t="s">
        <v>520</v>
      </c>
      <c r="P18" s="639" t="s">
        <v>521</v>
      </c>
      <c r="Q18" s="582"/>
      <c r="R18" s="582"/>
      <c r="S18" s="582"/>
    </row>
    <row r="19" ht="16.5" customHeight="1">
      <c r="A19" s="614">
        <v>2.0</v>
      </c>
      <c r="B19" s="615" t="s">
        <v>522</v>
      </c>
      <c r="C19" s="616" t="s">
        <v>523</v>
      </c>
      <c r="D19" s="314"/>
      <c r="E19" s="647">
        <v>21700.0</v>
      </c>
      <c r="F19" s="620">
        <v>19600.0</v>
      </c>
      <c r="G19" s="620">
        <v>19000.0</v>
      </c>
      <c r="H19" s="619">
        <v>18500.0</v>
      </c>
      <c r="I19" s="647">
        <f t="shared" ref="I19:L19" si="19">IF(ISBLANK(E19),,ROUND(E19/1.1,-1))</f>
        <v>19730</v>
      </c>
      <c r="J19" s="620">
        <f t="shared" si="19"/>
        <v>17820</v>
      </c>
      <c r="K19" s="620">
        <f t="shared" si="19"/>
        <v>17270</v>
      </c>
      <c r="L19" s="619">
        <f t="shared" si="19"/>
        <v>16820</v>
      </c>
      <c r="M19" s="647">
        <f t="shared" ref="M19:P19" si="20">IF(ISBLANK(E19),,ROUND(E19*(1-$S19),-1))</f>
        <v>19960</v>
      </c>
      <c r="N19" s="620">
        <f t="shared" si="20"/>
        <v>18030</v>
      </c>
      <c r="O19" s="620">
        <f t="shared" si="20"/>
        <v>17480</v>
      </c>
      <c r="P19" s="619">
        <f t="shared" si="20"/>
        <v>17020</v>
      </c>
      <c r="Q19" s="625" t="s">
        <v>524</v>
      </c>
      <c r="R19" s="582"/>
      <c r="S19" s="626">
        <v>0.08</v>
      </c>
    </row>
    <row r="20" ht="16.5" customHeight="1">
      <c r="A20" s="604" t="s">
        <v>525</v>
      </c>
      <c r="B20" s="307"/>
      <c r="C20" s="307"/>
      <c r="D20" s="314"/>
      <c r="E20" s="605" t="s">
        <v>167</v>
      </c>
      <c r="F20" s="606" t="s">
        <v>526</v>
      </c>
      <c r="G20" s="606" t="s">
        <v>527</v>
      </c>
      <c r="H20" s="607" t="s">
        <v>528</v>
      </c>
      <c r="I20" s="608" t="s">
        <v>167</v>
      </c>
      <c r="J20" s="609" t="s">
        <v>526</v>
      </c>
      <c r="K20" s="609" t="s">
        <v>527</v>
      </c>
      <c r="L20" s="610" t="s">
        <v>528</v>
      </c>
      <c r="M20" s="611" t="s">
        <v>167</v>
      </c>
      <c r="N20" s="612" t="s">
        <v>526</v>
      </c>
      <c r="O20" s="612" t="s">
        <v>527</v>
      </c>
      <c r="P20" s="639" t="s">
        <v>528</v>
      </c>
      <c r="Q20" s="582"/>
      <c r="R20" s="582"/>
      <c r="S20" s="582"/>
    </row>
    <row r="21" ht="19.5" customHeight="1">
      <c r="A21" s="614">
        <v>1.0</v>
      </c>
      <c r="B21" s="620" t="s">
        <v>529</v>
      </c>
      <c r="C21" s="633" t="s">
        <v>530</v>
      </c>
      <c r="D21" s="314"/>
      <c r="E21" s="617">
        <v>18900.0</v>
      </c>
      <c r="F21" s="620">
        <v>16800.0</v>
      </c>
      <c r="G21" s="620">
        <v>15800.0</v>
      </c>
      <c r="H21" s="621"/>
      <c r="I21" s="617">
        <f t="shared" ref="I21:L21" si="21">IF(ISBLANK(E21),,ROUND(E21/1.1,-1))</f>
        <v>17180</v>
      </c>
      <c r="J21" s="620">
        <f t="shared" si="21"/>
        <v>15270</v>
      </c>
      <c r="K21" s="620">
        <f t="shared" si="21"/>
        <v>14360</v>
      </c>
      <c r="L21" s="621" t="str">
        <f t="shared" si="21"/>
        <v/>
      </c>
      <c r="M21" s="617">
        <f t="shared" ref="M21:P21" si="22">IF(ISBLANK(E21),,ROUND(E21*(1-$S21),-1))</f>
        <v>17960</v>
      </c>
      <c r="N21" s="620">
        <f t="shared" si="22"/>
        <v>15960</v>
      </c>
      <c r="O21" s="620">
        <f t="shared" si="22"/>
        <v>15010</v>
      </c>
      <c r="P21" s="648" t="str">
        <f t="shared" si="22"/>
        <v/>
      </c>
      <c r="R21" s="640" t="s">
        <v>510</v>
      </c>
      <c r="S21" s="626">
        <v>0.05</v>
      </c>
    </row>
    <row r="22" ht="15.75" customHeight="1">
      <c r="A22" s="614">
        <v>2.0</v>
      </c>
      <c r="B22" s="620" t="s">
        <v>531</v>
      </c>
      <c r="C22" s="633" t="s">
        <v>532</v>
      </c>
      <c r="D22" s="314"/>
      <c r="E22" s="617">
        <v>57900.0</v>
      </c>
      <c r="F22" s="620">
        <v>47400.0</v>
      </c>
      <c r="G22" s="620">
        <v>36900.0</v>
      </c>
      <c r="H22" s="621"/>
      <c r="I22" s="617">
        <f t="shared" ref="I22:L22" si="23">IF(ISBLANK(E22),,ROUND(E22/1.1,-1))</f>
        <v>52640</v>
      </c>
      <c r="J22" s="620">
        <f t="shared" si="23"/>
        <v>43090</v>
      </c>
      <c r="K22" s="620">
        <f t="shared" si="23"/>
        <v>33550</v>
      </c>
      <c r="L22" s="621" t="str">
        <f t="shared" si="23"/>
        <v/>
      </c>
      <c r="M22" s="617">
        <f t="shared" ref="M22:P22" si="24">IF(ISBLANK(E22),,ROUND(E22*(1-$S22),-1))</f>
        <v>55010</v>
      </c>
      <c r="N22" s="620">
        <f t="shared" si="24"/>
        <v>45030</v>
      </c>
      <c r="O22" s="649">
        <f t="shared" si="24"/>
        <v>35060</v>
      </c>
      <c r="P22" s="648" t="str">
        <f t="shared" si="24"/>
        <v/>
      </c>
      <c r="S22" s="626">
        <v>0.05</v>
      </c>
    </row>
    <row r="23" ht="15.75" customHeight="1">
      <c r="A23" s="614">
        <v>3.0</v>
      </c>
      <c r="B23" s="615" t="s">
        <v>533</v>
      </c>
      <c r="C23" s="616" t="s">
        <v>534</v>
      </c>
      <c r="D23" s="314"/>
      <c r="E23" s="617">
        <v>38100.0</v>
      </c>
      <c r="F23" s="620">
        <v>32600.0</v>
      </c>
      <c r="G23" s="620">
        <v>27200.0</v>
      </c>
      <c r="H23" s="621"/>
      <c r="I23" s="617">
        <f t="shared" ref="I23:L23" si="25">IF(ISBLANK(E23),,ROUND(E23/1.1,-1))</f>
        <v>34640</v>
      </c>
      <c r="J23" s="620">
        <f t="shared" si="25"/>
        <v>29640</v>
      </c>
      <c r="K23" s="620">
        <f t="shared" si="25"/>
        <v>24730</v>
      </c>
      <c r="L23" s="621" t="str">
        <f t="shared" si="25"/>
        <v/>
      </c>
      <c r="M23" s="617">
        <f t="shared" ref="M23:P23" si="26">IF(ISBLANK(E23),,ROUND(E23*(1-$S23),-1))</f>
        <v>35050</v>
      </c>
      <c r="N23" s="620">
        <f t="shared" si="26"/>
        <v>29990</v>
      </c>
      <c r="O23" s="649">
        <f t="shared" si="26"/>
        <v>25020</v>
      </c>
      <c r="P23" s="648" t="str">
        <f t="shared" si="26"/>
        <v/>
      </c>
      <c r="S23" s="626">
        <v>0.08</v>
      </c>
    </row>
    <row r="24" ht="15.75" customHeight="1">
      <c r="A24" s="614">
        <v>4.0</v>
      </c>
      <c r="B24" s="615" t="s">
        <v>535</v>
      </c>
      <c r="C24" s="616" t="s">
        <v>536</v>
      </c>
      <c r="D24" s="314"/>
      <c r="E24" s="617">
        <v>88600.0</v>
      </c>
      <c r="F24" s="620">
        <v>77600.0</v>
      </c>
      <c r="G24" s="620">
        <v>71900.0</v>
      </c>
      <c r="H24" s="621"/>
      <c r="I24" s="617">
        <f t="shared" ref="I24:L24" si="27">IF(ISBLANK(E24),,ROUND(E24/1.1,-1))</f>
        <v>80550</v>
      </c>
      <c r="J24" s="620">
        <f t="shared" si="27"/>
        <v>70550</v>
      </c>
      <c r="K24" s="620">
        <f t="shared" si="27"/>
        <v>65360</v>
      </c>
      <c r="L24" s="621" t="str">
        <f t="shared" si="27"/>
        <v/>
      </c>
      <c r="M24" s="617">
        <f t="shared" ref="M24:P24" si="28">IF(ISBLANK(E24),,ROUND(E24*(1-$S24),-1))</f>
        <v>81510</v>
      </c>
      <c r="N24" s="620">
        <f t="shared" si="28"/>
        <v>71390</v>
      </c>
      <c r="O24" s="649">
        <f t="shared" si="28"/>
        <v>66150</v>
      </c>
      <c r="P24" s="648" t="str">
        <f t="shared" si="28"/>
        <v/>
      </c>
      <c r="S24" s="626">
        <v>0.08</v>
      </c>
    </row>
    <row r="25" ht="15.75" customHeight="1">
      <c r="A25" s="614">
        <v>5.0</v>
      </c>
      <c r="B25" s="650" t="s">
        <v>537</v>
      </c>
      <c r="C25" s="616" t="s">
        <v>538</v>
      </c>
      <c r="D25" s="314"/>
      <c r="E25" s="651"/>
      <c r="F25" s="652"/>
      <c r="G25" s="652"/>
      <c r="H25" s="653"/>
      <c r="I25" s="651" t="str">
        <f t="shared" ref="I25:L25" si="29">IF(ISBLANK(E25),,ROUND(E25/1.1,-1))</f>
        <v/>
      </c>
      <c r="J25" s="652" t="str">
        <f t="shared" si="29"/>
        <v/>
      </c>
      <c r="K25" s="652" t="str">
        <f t="shared" si="29"/>
        <v/>
      </c>
      <c r="L25" s="653" t="str">
        <f t="shared" si="29"/>
        <v/>
      </c>
      <c r="M25" s="651" t="str">
        <f t="shared" ref="M25:P25" si="30">IF(ISBLANK(E25),,ROUND(E25*(1-$S25),-1))</f>
        <v/>
      </c>
      <c r="N25" s="652" t="str">
        <f t="shared" si="30"/>
        <v/>
      </c>
      <c r="O25" s="652" t="str">
        <f t="shared" si="30"/>
        <v/>
      </c>
      <c r="P25" s="629" t="str">
        <f t="shared" si="30"/>
        <v/>
      </c>
      <c r="S25" s="626">
        <v>0.08</v>
      </c>
    </row>
    <row r="26" ht="15.75" customHeight="1">
      <c r="A26" s="614" t="s">
        <v>133</v>
      </c>
      <c r="B26" s="615" t="s">
        <v>539</v>
      </c>
      <c r="C26" s="616" t="s">
        <v>540</v>
      </c>
      <c r="D26" s="314"/>
      <c r="E26" s="651">
        <v>54300.0</v>
      </c>
      <c r="F26" s="652">
        <v>43500.0</v>
      </c>
      <c r="G26" s="652">
        <v>38100.0</v>
      </c>
      <c r="H26" s="653"/>
      <c r="I26" s="651">
        <f t="shared" ref="I26:L26" si="31">IF(ISBLANK(E26),,ROUND(E26/1.1,-1))</f>
        <v>49360</v>
      </c>
      <c r="J26" s="652">
        <f t="shared" si="31"/>
        <v>39550</v>
      </c>
      <c r="K26" s="652">
        <f t="shared" si="31"/>
        <v>34640</v>
      </c>
      <c r="L26" s="653" t="str">
        <f t="shared" si="31"/>
        <v/>
      </c>
      <c r="M26" s="651">
        <f t="shared" ref="M26:P26" si="32">IF(ISBLANK(E26),,ROUND(E26*(1-$S26),-1))</f>
        <v>49960</v>
      </c>
      <c r="N26" s="652">
        <f t="shared" si="32"/>
        <v>40020</v>
      </c>
      <c r="O26" s="652">
        <f t="shared" si="32"/>
        <v>35050</v>
      </c>
      <c r="P26" s="629" t="str">
        <f t="shared" si="32"/>
        <v/>
      </c>
      <c r="S26" s="626">
        <v>0.08</v>
      </c>
    </row>
    <row r="27" ht="15.75" customHeight="1">
      <c r="A27" s="654" t="s">
        <v>133</v>
      </c>
      <c r="B27" s="655" t="s">
        <v>541</v>
      </c>
      <c r="C27" s="656" t="s">
        <v>542</v>
      </c>
      <c r="D27" s="657"/>
      <c r="E27" s="658">
        <v>43500.0</v>
      </c>
      <c r="F27" s="659">
        <v>32600.0</v>
      </c>
      <c r="G27" s="660">
        <v>27200.0</v>
      </c>
      <c r="H27" s="661"/>
      <c r="I27" s="658">
        <f t="shared" ref="I27:L27" si="33">IF(ISBLANK(E27),,ROUND(E27/1.1,-1))</f>
        <v>39550</v>
      </c>
      <c r="J27" s="659">
        <f t="shared" si="33"/>
        <v>29640</v>
      </c>
      <c r="K27" s="660">
        <f t="shared" si="33"/>
        <v>24730</v>
      </c>
      <c r="L27" s="661" t="str">
        <f t="shared" si="33"/>
        <v/>
      </c>
      <c r="M27" s="658">
        <f t="shared" ref="M27:P27" si="34">IF(ISBLANK(E27),,ROUND(E27*(1-$S27),-1))</f>
        <v>40020</v>
      </c>
      <c r="N27" s="659">
        <f t="shared" si="34"/>
        <v>29990</v>
      </c>
      <c r="O27" s="660">
        <f t="shared" si="34"/>
        <v>25020</v>
      </c>
      <c r="P27" s="662" t="str">
        <f t="shared" si="34"/>
        <v/>
      </c>
      <c r="S27" s="626">
        <v>0.08</v>
      </c>
    </row>
    <row r="28" ht="15.75" customHeight="1">
      <c r="A28" s="663"/>
      <c r="B28" s="664"/>
      <c r="C28" s="664"/>
      <c r="D28" s="665"/>
      <c r="E28" s="665"/>
      <c r="F28" s="666"/>
      <c r="G28" s="666"/>
      <c r="H28" s="666"/>
      <c r="I28" s="666"/>
      <c r="J28" s="666"/>
      <c r="K28" s="666"/>
      <c r="L28" s="666"/>
      <c r="M28" s="666"/>
      <c r="N28" s="666"/>
      <c r="O28" s="666"/>
      <c r="P28" s="666"/>
      <c r="Q28" s="582"/>
      <c r="R28" s="582"/>
      <c r="S28" s="582"/>
    </row>
    <row r="29" ht="15.75" customHeight="1">
      <c r="A29" s="667">
        <v>1.0</v>
      </c>
      <c r="B29" s="668"/>
      <c r="P29" s="434"/>
      <c r="Q29" s="582"/>
      <c r="R29" s="582"/>
      <c r="S29" s="582"/>
    </row>
    <row r="30" ht="15.75" customHeight="1">
      <c r="B30" s="669" t="s">
        <v>543</v>
      </c>
      <c r="P30" s="434"/>
      <c r="Q30" s="582"/>
      <c r="R30" s="582"/>
      <c r="S30" s="582"/>
    </row>
    <row r="31" ht="15.75" customHeight="1">
      <c r="B31" s="670" t="s">
        <v>348</v>
      </c>
      <c r="P31" s="434"/>
      <c r="Q31" s="582"/>
      <c r="R31" s="582"/>
      <c r="S31" s="582"/>
    </row>
    <row r="32" ht="15.75" customHeight="1">
      <c r="A32" s="671">
        <v>2.0</v>
      </c>
      <c r="B32" s="672" t="s">
        <v>307</v>
      </c>
      <c r="C32" s="418"/>
      <c r="D32" s="418"/>
      <c r="E32" s="418"/>
      <c r="F32" s="418"/>
      <c r="G32" s="418"/>
      <c r="H32" s="418"/>
      <c r="I32" s="418"/>
      <c r="J32" s="418"/>
      <c r="K32" s="418"/>
      <c r="L32" s="418"/>
      <c r="M32" s="418"/>
      <c r="N32" s="418"/>
      <c r="O32" s="418"/>
      <c r="P32" s="419"/>
      <c r="Q32" s="582"/>
      <c r="R32" s="582"/>
      <c r="S32" s="582"/>
    </row>
    <row r="33" ht="15.75" customHeight="1">
      <c r="A33" s="663"/>
      <c r="B33" s="664"/>
      <c r="C33" s="664"/>
      <c r="D33" s="664"/>
      <c r="E33" s="666"/>
      <c r="F33" s="666"/>
      <c r="G33" s="666"/>
      <c r="H33" s="666"/>
      <c r="I33" s="666"/>
      <c r="J33" s="666"/>
      <c r="K33" s="666"/>
      <c r="L33" s="666"/>
      <c r="M33" s="666"/>
      <c r="N33" s="666"/>
      <c r="O33" s="666"/>
      <c r="P33" s="666"/>
      <c r="Q33" s="638"/>
      <c r="R33" s="638"/>
      <c r="S33" s="638"/>
    </row>
    <row r="34" ht="15.75" customHeight="1">
      <c r="A34" s="663"/>
      <c r="B34" s="664"/>
      <c r="C34" s="666"/>
      <c r="D34" s="664"/>
      <c r="E34" s="666"/>
      <c r="F34" s="666"/>
      <c r="G34" s="666"/>
      <c r="H34" s="666"/>
      <c r="I34" s="666"/>
      <c r="J34" s="666"/>
      <c r="K34" s="666"/>
      <c r="L34" s="666"/>
      <c r="M34" s="666"/>
      <c r="N34" s="666"/>
      <c r="O34" s="666"/>
      <c r="P34" s="666"/>
      <c r="Q34" s="582"/>
      <c r="R34" s="582"/>
      <c r="S34" s="582"/>
    </row>
    <row r="35" ht="15.75" customHeight="1">
      <c r="A35" s="663"/>
      <c r="B35" s="664"/>
      <c r="C35" s="664"/>
      <c r="D35" s="664"/>
      <c r="E35" s="666"/>
      <c r="F35" s="666"/>
      <c r="G35" s="666"/>
      <c r="H35" s="666"/>
      <c r="I35" s="666"/>
      <c r="J35" s="666"/>
      <c r="K35" s="666"/>
      <c r="L35" s="666"/>
      <c r="M35" s="666"/>
      <c r="N35" s="666"/>
      <c r="O35" s="666"/>
      <c r="P35" s="666"/>
      <c r="Q35" s="582"/>
      <c r="R35" s="582"/>
      <c r="S35" s="582"/>
    </row>
    <row r="36" ht="15.75" customHeight="1">
      <c r="A36" s="663"/>
      <c r="B36" s="664"/>
      <c r="C36" s="664"/>
      <c r="D36" s="664"/>
      <c r="E36" s="666"/>
      <c r="F36" s="666"/>
      <c r="G36" s="666"/>
      <c r="H36" s="666"/>
      <c r="I36" s="666"/>
      <c r="J36" s="666"/>
      <c r="K36" s="666"/>
      <c r="L36" s="666"/>
      <c r="M36" s="666"/>
      <c r="N36" s="666"/>
      <c r="O36" s="666"/>
      <c r="P36" s="666"/>
      <c r="Q36" s="582"/>
      <c r="R36" s="582"/>
      <c r="S36" s="582"/>
    </row>
    <row r="37" ht="15.75" customHeight="1">
      <c r="A37" s="673"/>
      <c r="B37" s="674"/>
      <c r="C37" s="674"/>
      <c r="D37" s="674"/>
      <c r="E37" s="675"/>
      <c r="F37" s="675"/>
      <c r="G37" s="675"/>
      <c r="H37" s="675"/>
      <c r="I37" s="675"/>
      <c r="J37" s="675"/>
      <c r="K37" s="675"/>
      <c r="L37" s="675"/>
      <c r="M37" s="675"/>
      <c r="N37" s="675"/>
      <c r="O37" s="675"/>
      <c r="P37" s="675"/>
      <c r="Q37" s="676"/>
      <c r="R37" s="676"/>
      <c r="S37" s="676"/>
    </row>
    <row r="38" ht="15.75" customHeight="1">
      <c r="A38" s="589"/>
      <c r="B38" s="589"/>
      <c r="C38" s="589"/>
      <c r="D38" s="589"/>
      <c r="E38" s="638"/>
      <c r="F38" s="638"/>
      <c r="G38" s="638"/>
      <c r="H38" s="638"/>
      <c r="I38" s="638"/>
      <c r="J38" s="638"/>
      <c r="K38" s="638"/>
      <c r="L38" s="638"/>
      <c r="M38" s="638"/>
      <c r="N38" s="638"/>
      <c r="O38" s="638"/>
      <c r="P38" s="638"/>
      <c r="Q38" s="582"/>
      <c r="R38" s="582"/>
      <c r="S38" s="582"/>
    </row>
    <row r="39" ht="15.75" customHeight="1">
      <c r="A39" s="589"/>
      <c r="B39" s="589"/>
      <c r="C39" s="589"/>
      <c r="D39" s="589"/>
      <c r="E39" s="638"/>
      <c r="F39" s="638"/>
      <c r="G39" s="638"/>
      <c r="H39" s="638"/>
      <c r="I39" s="638"/>
      <c r="J39" s="638"/>
      <c r="K39" s="638"/>
      <c r="L39" s="638"/>
      <c r="M39" s="638"/>
      <c r="N39" s="638"/>
      <c r="O39" s="638"/>
      <c r="P39" s="638"/>
      <c r="Q39" s="582"/>
      <c r="R39" s="582"/>
      <c r="S39" s="582"/>
    </row>
    <row r="40" ht="15.75" customHeight="1">
      <c r="A40" s="589"/>
      <c r="B40" s="589"/>
      <c r="C40" s="589"/>
      <c r="D40" s="589"/>
      <c r="E40" s="638"/>
      <c r="F40" s="638"/>
      <c r="G40" s="638"/>
      <c r="H40" s="638"/>
      <c r="I40" s="638"/>
      <c r="J40" s="638"/>
      <c r="K40" s="638"/>
      <c r="L40" s="638"/>
      <c r="M40" s="638"/>
      <c r="N40" s="638"/>
      <c r="O40" s="638"/>
      <c r="P40" s="638"/>
      <c r="Q40" s="582"/>
      <c r="R40" s="582"/>
      <c r="S40" s="582"/>
    </row>
    <row r="41" ht="15.75" customHeight="1">
      <c r="A41" s="589"/>
      <c r="B41" s="589"/>
      <c r="C41" s="589"/>
      <c r="D41" s="589"/>
      <c r="E41" s="638"/>
      <c r="F41" s="638"/>
      <c r="G41" s="638"/>
      <c r="H41" s="638"/>
      <c r="I41" s="638"/>
      <c r="J41" s="638"/>
      <c r="K41" s="638"/>
      <c r="L41" s="638"/>
      <c r="M41" s="638"/>
      <c r="N41" s="638"/>
      <c r="O41" s="638"/>
      <c r="P41" s="638"/>
      <c r="Q41" s="582"/>
      <c r="R41" s="582"/>
      <c r="S41" s="582"/>
    </row>
    <row r="42" ht="15.75" customHeight="1">
      <c r="A42" s="589"/>
      <c r="B42" s="589"/>
      <c r="C42" s="589"/>
      <c r="D42" s="589"/>
      <c r="E42" s="638"/>
      <c r="F42" s="638"/>
      <c r="G42" s="638"/>
      <c r="H42" s="638"/>
      <c r="I42" s="638"/>
      <c r="J42" s="638"/>
      <c r="K42" s="638"/>
      <c r="L42" s="638"/>
      <c r="M42" s="638"/>
      <c r="N42" s="638"/>
      <c r="O42" s="638"/>
      <c r="P42" s="638"/>
      <c r="Q42" s="582"/>
      <c r="R42" s="582"/>
      <c r="S42" s="582"/>
    </row>
    <row r="43" ht="15.75" customHeight="1">
      <c r="A43" s="589"/>
      <c r="B43" s="589"/>
      <c r="C43" s="589"/>
      <c r="D43" s="589"/>
      <c r="E43" s="638"/>
      <c r="F43" s="638"/>
      <c r="G43" s="638"/>
      <c r="H43" s="638"/>
      <c r="I43" s="638"/>
      <c r="J43" s="638"/>
      <c r="K43" s="638"/>
      <c r="L43" s="638"/>
      <c r="M43" s="638"/>
      <c r="N43" s="638"/>
      <c r="O43" s="638"/>
      <c r="P43" s="638"/>
      <c r="Q43" s="582"/>
      <c r="R43" s="582"/>
      <c r="S43" s="582"/>
    </row>
    <row r="44" ht="15.75" customHeight="1">
      <c r="A44" s="589"/>
      <c r="B44" s="589"/>
      <c r="C44" s="589"/>
      <c r="D44" s="589"/>
      <c r="E44" s="638"/>
      <c r="F44" s="638"/>
      <c r="G44" s="638"/>
      <c r="H44" s="638"/>
      <c r="I44" s="638"/>
      <c r="J44" s="638"/>
      <c r="K44" s="638"/>
      <c r="L44" s="638"/>
      <c r="M44" s="638"/>
      <c r="N44" s="638"/>
      <c r="O44" s="638"/>
      <c r="P44" s="638"/>
      <c r="Q44" s="582"/>
      <c r="R44" s="582"/>
      <c r="S44" s="582"/>
    </row>
    <row r="45" ht="15.75" customHeight="1">
      <c r="A45" s="589"/>
      <c r="B45" s="589"/>
      <c r="C45" s="589"/>
      <c r="D45" s="589"/>
      <c r="E45" s="638"/>
      <c r="F45" s="638"/>
      <c r="G45" s="638"/>
      <c r="H45" s="638"/>
      <c r="I45" s="638"/>
      <c r="J45" s="638"/>
      <c r="K45" s="638"/>
      <c r="L45" s="638"/>
      <c r="M45" s="638"/>
      <c r="N45" s="638"/>
      <c r="O45" s="638"/>
      <c r="P45" s="638"/>
      <c r="Q45" s="582"/>
      <c r="R45" s="582"/>
      <c r="S45" s="582"/>
    </row>
    <row r="46" ht="15.75" customHeight="1">
      <c r="A46" s="589"/>
      <c r="B46" s="589"/>
      <c r="C46" s="589"/>
      <c r="D46" s="589"/>
      <c r="E46" s="638"/>
      <c r="F46" s="638"/>
      <c r="G46" s="638"/>
      <c r="H46" s="638"/>
      <c r="I46" s="638"/>
      <c r="J46" s="638"/>
      <c r="K46" s="638"/>
      <c r="L46" s="638"/>
      <c r="M46" s="638"/>
      <c r="N46" s="638"/>
      <c r="O46" s="638"/>
      <c r="P46" s="638"/>
      <c r="Q46" s="582"/>
      <c r="R46" s="582"/>
      <c r="S46" s="582"/>
    </row>
    <row r="47" ht="15.75" customHeight="1">
      <c r="A47" s="589"/>
      <c r="B47" s="589"/>
      <c r="C47" s="589"/>
      <c r="D47" s="589"/>
      <c r="E47" s="638"/>
      <c r="F47" s="638"/>
      <c r="G47" s="638"/>
      <c r="H47" s="638"/>
      <c r="I47" s="638"/>
      <c r="J47" s="638"/>
      <c r="K47" s="638"/>
      <c r="L47" s="638"/>
      <c r="M47" s="638"/>
      <c r="N47" s="638"/>
      <c r="O47" s="638"/>
      <c r="P47" s="638"/>
      <c r="Q47" s="582"/>
      <c r="R47" s="582"/>
      <c r="S47" s="582"/>
    </row>
    <row r="48" ht="15.75" customHeight="1">
      <c r="A48" s="589"/>
      <c r="B48" s="589"/>
      <c r="C48" s="589"/>
      <c r="D48" s="589"/>
      <c r="E48" s="638"/>
      <c r="F48" s="638"/>
      <c r="G48" s="638"/>
      <c r="H48" s="638"/>
      <c r="I48" s="638"/>
      <c r="J48" s="638"/>
      <c r="K48" s="638"/>
      <c r="L48" s="638"/>
      <c r="M48" s="638"/>
      <c r="N48" s="638"/>
      <c r="O48" s="638"/>
      <c r="P48" s="638"/>
      <c r="Q48" s="582"/>
      <c r="R48" s="582"/>
      <c r="S48" s="582"/>
    </row>
    <row r="49" ht="15.75" customHeight="1">
      <c r="A49" s="589"/>
      <c r="B49" s="589"/>
      <c r="C49" s="589"/>
      <c r="D49" s="589"/>
      <c r="E49" s="638"/>
      <c r="F49" s="638"/>
      <c r="G49" s="638"/>
      <c r="H49" s="638"/>
      <c r="I49" s="638"/>
      <c r="J49" s="638"/>
      <c r="K49" s="638"/>
      <c r="L49" s="638"/>
      <c r="M49" s="638"/>
      <c r="N49" s="638"/>
      <c r="O49" s="638"/>
      <c r="P49" s="638"/>
      <c r="Q49" s="582"/>
      <c r="R49" s="582"/>
      <c r="S49" s="582"/>
    </row>
    <row r="50" ht="15.75" customHeight="1">
      <c r="A50" s="589"/>
      <c r="B50" s="589"/>
      <c r="C50" s="589"/>
      <c r="D50" s="589"/>
      <c r="E50" s="638"/>
      <c r="F50" s="638"/>
      <c r="G50" s="638"/>
      <c r="H50" s="638"/>
      <c r="I50" s="638"/>
      <c r="J50" s="638"/>
      <c r="K50" s="638"/>
      <c r="L50" s="638"/>
      <c r="M50" s="638"/>
      <c r="N50" s="638"/>
      <c r="O50" s="638"/>
      <c r="P50" s="638"/>
      <c r="Q50" s="582"/>
      <c r="R50" s="582"/>
      <c r="S50" s="582"/>
    </row>
    <row r="51" ht="15.75" customHeight="1">
      <c r="A51" s="579"/>
      <c r="B51" s="580"/>
      <c r="C51" s="580"/>
      <c r="D51" s="580"/>
      <c r="E51" s="580"/>
      <c r="F51" s="580"/>
      <c r="G51" s="580"/>
      <c r="H51" s="580"/>
      <c r="I51" s="580"/>
      <c r="J51" s="580"/>
      <c r="K51" s="580"/>
      <c r="L51" s="580"/>
      <c r="M51" s="580"/>
      <c r="N51" s="580"/>
      <c r="O51" s="580"/>
      <c r="P51" s="581"/>
      <c r="Q51" s="582"/>
      <c r="R51" s="582"/>
      <c r="S51" s="582"/>
    </row>
    <row r="52" ht="15.75" customHeight="1">
      <c r="B52" s="583"/>
      <c r="C52" s="583"/>
      <c r="D52" s="583"/>
      <c r="E52" s="584" t="s">
        <v>483</v>
      </c>
      <c r="M52" s="583"/>
      <c r="N52" s="583"/>
      <c r="O52" s="583"/>
      <c r="P52" s="585"/>
      <c r="Q52" s="582"/>
      <c r="R52" s="582"/>
      <c r="S52" s="582"/>
    </row>
    <row r="53" ht="15.75" customHeight="1">
      <c r="A53" s="586"/>
      <c r="B53" s="587"/>
      <c r="C53" s="587"/>
      <c r="D53" s="587"/>
      <c r="E53" s="435"/>
      <c r="F53" s="418"/>
      <c r="G53" s="418"/>
      <c r="H53" s="418"/>
      <c r="I53" s="418"/>
      <c r="J53" s="418"/>
      <c r="K53" s="418"/>
      <c r="L53" s="418"/>
      <c r="M53" s="587"/>
      <c r="N53" s="587"/>
      <c r="O53" s="587"/>
      <c r="P53" s="588"/>
      <c r="Q53" s="582"/>
      <c r="R53" s="582"/>
      <c r="S53" s="582"/>
    </row>
    <row r="54" ht="15.75" customHeight="1">
      <c r="A54" s="589"/>
      <c r="B54" s="589"/>
      <c r="C54" s="589"/>
      <c r="D54" s="589"/>
      <c r="E54" s="589"/>
      <c r="F54" s="589"/>
      <c r="G54" s="589"/>
      <c r="H54" s="589"/>
      <c r="I54" s="589"/>
      <c r="J54" s="589"/>
      <c r="K54" s="589"/>
      <c r="L54" s="589"/>
      <c r="M54" s="589"/>
      <c r="N54" s="589"/>
      <c r="O54" s="589"/>
      <c r="P54" s="589"/>
      <c r="Q54" s="582"/>
      <c r="R54" s="582"/>
      <c r="S54" s="582"/>
    </row>
    <row r="55" ht="32.25" customHeight="1">
      <c r="A55" s="590" t="s">
        <v>201</v>
      </c>
      <c r="B55" s="287"/>
      <c r="C55" s="287"/>
      <c r="D55" s="288"/>
      <c r="E55" s="591" t="s">
        <v>68</v>
      </c>
      <c r="F55" s="592"/>
      <c r="G55" s="592"/>
      <c r="H55" s="462"/>
      <c r="I55" s="593" t="s">
        <v>70</v>
      </c>
      <c r="J55" s="592"/>
      <c r="K55" s="592"/>
      <c r="L55" s="462"/>
      <c r="M55" s="594" t="s">
        <v>71</v>
      </c>
      <c r="N55" s="592"/>
      <c r="O55" s="592"/>
      <c r="P55" s="462"/>
      <c r="Q55" s="582"/>
      <c r="R55" s="582"/>
      <c r="S55" s="582"/>
    </row>
    <row r="56" ht="32.25" customHeight="1">
      <c r="A56" s="468"/>
      <c r="B56" s="309"/>
      <c r="C56" s="309"/>
      <c r="D56" s="310"/>
      <c r="E56" s="595" t="s">
        <v>484</v>
      </c>
      <c r="F56" s="596" t="s">
        <v>485</v>
      </c>
      <c r="G56" s="596" t="s">
        <v>486</v>
      </c>
      <c r="H56" s="597" t="s">
        <v>487</v>
      </c>
      <c r="I56" s="598" t="s">
        <v>484</v>
      </c>
      <c r="J56" s="599" t="s">
        <v>485</v>
      </c>
      <c r="K56" s="599" t="s">
        <v>486</v>
      </c>
      <c r="L56" s="600" t="s">
        <v>487</v>
      </c>
      <c r="M56" s="601" t="s">
        <v>484</v>
      </c>
      <c r="N56" s="602" t="s">
        <v>485</v>
      </c>
      <c r="O56" s="602" t="s">
        <v>486</v>
      </c>
      <c r="P56" s="603" t="s">
        <v>487</v>
      </c>
      <c r="Q56" s="582"/>
      <c r="R56" s="582"/>
      <c r="S56" s="582"/>
    </row>
    <row r="57">
      <c r="A57" s="604" t="s">
        <v>488</v>
      </c>
      <c r="B57" s="307"/>
      <c r="C57" s="307"/>
      <c r="D57" s="314"/>
      <c r="E57" s="605" t="s">
        <v>489</v>
      </c>
      <c r="F57" s="606" t="s">
        <v>490</v>
      </c>
      <c r="G57" s="606" t="s">
        <v>491</v>
      </c>
      <c r="H57" s="607" t="s">
        <v>492</v>
      </c>
      <c r="I57" s="608" t="s">
        <v>489</v>
      </c>
      <c r="J57" s="609" t="s">
        <v>490</v>
      </c>
      <c r="K57" s="609" t="s">
        <v>491</v>
      </c>
      <c r="L57" s="610" t="s">
        <v>492</v>
      </c>
      <c r="M57" s="611" t="s">
        <v>489</v>
      </c>
      <c r="N57" s="612" t="s">
        <v>490</v>
      </c>
      <c r="O57" s="612" t="s">
        <v>491</v>
      </c>
      <c r="P57" s="613" t="s">
        <v>492</v>
      </c>
      <c r="Q57" s="582"/>
      <c r="R57" s="582"/>
      <c r="S57" s="582"/>
    </row>
    <row r="58">
      <c r="A58" s="614">
        <v>1.0</v>
      </c>
      <c r="B58" s="615" t="s">
        <v>493</v>
      </c>
      <c r="C58" s="616" t="s">
        <v>494</v>
      </c>
      <c r="D58" s="314"/>
      <c r="E58" s="617">
        <v>440000.0</v>
      </c>
      <c r="F58" s="620">
        <v>435000.0</v>
      </c>
      <c r="G58" s="620">
        <v>430000.0</v>
      </c>
      <c r="H58" s="621"/>
      <c r="I58" s="617">
        <v>400000.0</v>
      </c>
      <c r="J58" s="620">
        <v>395450.0</v>
      </c>
      <c r="K58" s="620">
        <v>390910.0</v>
      </c>
      <c r="L58" s="621"/>
      <c r="M58" s="617">
        <v>440000.0</v>
      </c>
      <c r="N58" s="622">
        <v>435000.0</v>
      </c>
      <c r="O58" s="623">
        <v>430000.0</v>
      </c>
      <c r="P58" s="677"/>
      <c r="Q58" s="625" t="s">
        <v>544</v>
      </c>
      <c r="R58" s="582"/>
      <c r="S58" s="626"/>
    </row>
    <row r="59" ht="15.75" customHeight="1">
      <c r="A59" s="614">
        <v>2.0</v>
      </c>
      <c r="B59" s="615" t="s">
        <v>496</v>
      </c>
      <c r="C59" s="616" t="s">
        <v>497</v>
      </c>
      <c r="D59" s="314"/>
      <c r="E59" s="627">
        <v>1460000.0</v>
      </c>
      <c r="F59" s="623">
        <v>1440000.0</v>
      </c>
      <c r="G59" s="623">
        <v>1420000.0</v>
      </c>
      <c r="H59" s="628">
        <v>1400000.0</v>
      </c>
      <c r="I59" s="627">
        <v>1327270.0</v>
      </c>
      <c r="J59" s="623">
        <v>1309090.0</v>
      </c>
      <c r="K59" s="623">
        <v>1290910.0</v>
      </c>
      <c r="L59" s="628">
        <v>1272730.0</v>
      </c>
      <c r="M59" s="627">
        <v>1460000.0</v>
      </c>
      <c r="N59" s="623">
        <v>1440000.0</v>
      </c>
      <c r="O59" s="623">
        <v>1420000.0</v>
      </c>
      <c r="P59" s="629">
        <v>1400000.0</v>
      </c>
      <c r="Q59" s="582"/>
      <c r="R59" s="582"/>
      <c r="S59" s="626"/>
    </row>
    <row r="60" ht="15.75" customHeight="1">
      <c r="A60" s="614">
        <v>3.0</v>
      </c>
      <c r="B60" s="615" t="s">
        <v>498</v>
      </c>
      <c r="C60" s="616" t="s">
        <v>499</v>
      </c>
      <c r="D60" s="314"/>
      <c r="E60" s="630">
        <v>2410000.0</v>
      </c>
      <c r="F60" s="631">
        <v>2390000.0</v>
      </c>
      <c r="G60" s="631">
        <v>2370000.0</v>
      </c>
      <c r="H60" s="632">
        <v>2350000.0</v>
      </c>
      <c r="I60" s="630">
        <v>2190910.0</v>
      </c>
      <c r="J60" s="631">
        <v>2172730.0</v>
      </c>
      <c r="K60" s="631">
        <v>2154550.0</v>
      </c>
      <c r="L60" s="632">
        <v>2136360.0</v>
      </c>
      <c r="M60" s="630">
        <v>2410000.0</v>
      </c>
      <c r="N60" s="631">
        <v>2390000.0</v>
      </c>
      <c r="O60" s="631">
        <v>2370000.0</v>
      </c>
      <c r="P60" s="629">
        <v>2350000.0</v>
      </c>
      <c r="Q60" s="582"/>
      <c r="R60" s="582"/>
      <c r="S60" s="626"/>
    </row>
    <row r="61" ht="15.75" customHeight="1">
      <c r="A61" s="614">
        <v>4.0</v>
      </c>
      <c r="B61" s="615" t="s">
        <v>500</v>
      </c>
      <c r="C61" s="616" t="s">
        <v>501</v>
      </c>
      <c r="D61" s="314"/>
      <c r="E61" s="630">
        <v>5650000.0</v>
      </c>
      <c r="F61" s="631">
        <v>5600000.0</v>
      </c>
      <c r="G61" s="631">
        <v>5550000.0</v>
      </c>
      <c r="H61" s="632">
        <v>5500000.0</v>
      </c>
      <c r="I61" s="630">
        <v>5136360.0</v>
      </c>
      <c r="J61" s="631">
        <v>5090910.0</v>
      </c>
      <c r="K61" s="631">
        <v>5045450.0</v>
      </c>
      <c r="L61" s="632">
        <v>5000000.0</v>
      </c>
      <c r="M61" s="630">
        <v>5650000.0</v>
      </c>
      <c r="N61" s="631">
        <v>5600000.0</v>
      </c>
      <c r="O61" s="631">
        <v>5550000.0</v>
      </c>
      <c r="P61" s="629">
        <v>5500000.0</v>
      </c>
      <c r="Q61" s="582"/>
      <c r="R61" s="582"/>
      <c r="S61" s="626"/>
    </row>
    <row r="62" ht="16.5" customHeight="1">
      <c r="A62" s="614">
        <v>5.0</v>
      </c>
      <c r="B62" s="615" t="s">
        <v>502</v>
      </c>
      <c r="C62" s="633" t="s">
        <v>503</v>
      </c>
      <c r="D62" s="314"/>
      <c r="E62" s="634"/>
      <c r="F62" s="635"/>
      <c r="G62" s="635"/>
      <c r="H62" s="629"/>
      <c r="I62" s="634"/>
      <c r="J62" s="635"/>
      <c r="K62" s="635"/>
      <c r="L62" s="629"/>
      <c r="M62" s="634"/>
      <c r="N62" s="636"/>
      <c r="O62" s="636"/>
      <c r="P62" s="637"/>
      <c r="Q62" s="582"/>
      <c r="R62" s="582"/>
      <c r="S62" s="626"/>
    </row>
    <row r="63" ht="16.5" customHeight="1">
      <c r="A63" s="614">
        <v>6.0</v>
      </c>
      <c r="B63" s="615" t="s">
        <v>504</v>
      </c>
      <c r="C63" s="616" t="s">
        <v>505</v>
      </c>
      <c r="D63" s="314"/>
      <c r="E63" s="617">
        <v>580000.0</v>
      </c>
      <c r="F63" s="620">
        <v>550000.0</v>
      </c>
      <c r="G63" s="620">
        <v>520000.0</v>
      </c>
      <c r="H63" s="621">
        <v>490000.0</v>
      </c>
      <c r="I63" s="617">
        <v>527270.0</v>
      </c>
      <c r="J63" s="620">
        <v>500000.0</v>
      </c>
      <c r="K63" s="620">
        <v>472730.0</v>
      </c>
      <c r="L63" s="621">
        <v>445450.0</v>
      </c>
      <c r="M63" s="617">
        <v>580000.0</v>
      </c>
      <c r="N63" s="620">
        <v>550000.0</v>
      </c>
      <c r="O63" s="620">
        <v>520000.0</v>
      </c>
      <c r="P63" s="621">
        <v>490000.0</v>
      </c>
      <c r="Q63" s="582"/>
      <c r="R63" s="638"/>
      <c r="S63" s="626"/>
    </row>
    <row r="64" ht="16.5" customHeight="1">
      <c r="A64" s="604" t="s">
        <v>506</v>
      </c>
      <c r="B64" s="307"/>
      <c r="C64" s="307"/>
      <c r="D64" s="314"/>
      <c r="E64" s="605" t="s">
        <v>507</v>
      </c>
      <c r="F64" s="606" t="s">
        <v>169</v>
      </c>
      <c r="G64" s="606" t="s">
        <v>508</v>
      </c>
      <c r="H64" s="607" t="s">
        <v>509</v>
      </c>
      <c r="I64" s="608" t="s">
        <v>507</v>
      </c>
      <c r="J64" s="609" t="s">
        <v>169</v>
      </c>
      <c r="K64" s="609" t="s">
        <v>508</v>
      </c>
      <c r="L64" s="610" t="s">
        <v>509</v>
      </c>
      <c r="M64" s="611" t="s">
        <v>507</v>
      </c>
      <c r="N64" s="612" t="s">
        <v>169</v>
      </c>
      <c r="O64" s="612" t="s">
        <v>508</v>
      </c>
      <c r="P64" s="639" t="s">
        <v>509</v>
      </c>
      <c r="R64" s="640" t="s">
        <v>510</v>
      </c>
      <c r="S64" s="638"/>
    </row>
    <row r="65" ht="19.5" customHeight="1">
      <c r="A65" s="614">
        <v>1.0</v>
      </c>
      <c r="B65" s="615" t="s">
        <v>511</v>
      </c>
      <c r="C65" s="641" t="s">
        <v>512</v>
      </c>
      <c r="D65" s="314"/>
      <c r="E65" s="617">
        <v>32000.0</v>
      </c>
      <c r="F65" s="620">
        <v>31000.0</v>
      </c>
      <c r="G65" s="620">
        <v>30000.0</v>
      </c>
      <c r="H65" s="621">
        <v>29000.0</v>
      </c>
      <c r="I65" s="617">
        <v>29090.0</v>
      </c>
      <c r="J65" s="620">
        <v>28180.0</v>
      </c>
      <c r="K65" s="620">
        <v>27270.0</v>
      </c>
      <c r="L65" s="621">
        <v>26360.0</v>
      </c>
      <c r="M65" s="617">
        <v>32000.0</v>
      </c>
      <c r="N65" s="620">
        <v>31000.0</v>
      </c>
      <c r="O65" s="620">
        <v>30000.0</v>
      </c>
      <c r="P65" s="621">
        <v>29000.0</v>
      </c>
      <c r="S65" s="582"/>
    </row>
    <row r="66" ht="16.5" customHeight="1">
      <c r="A66" s="614">
        <v>2.0</v>
      </c>
      <c r="B66" s="615" t="s">
        <v>513</v>
      </c>
      <c r="C66" s="641" t="s">
        <v>514</v>
      </c>
      <c r="D66" s="314"/>
      <c r="E66" s="617">
        <v>35000.0</v>
      </c>
      <c r="F66" s="620">
        <v>34000.0</v>
      </c>
      <c r="G66" s="620">
        <v>33000.0</v>
      </c>
      <c r="H66" s="621">
        <v>32000.0</v>
      </c>
      <c r="I66" s="617">
        <v>31820.0</v>
      </c>
      <c r="J66" s="620">
        <v>30910.0</v>
      </c>
      <c r="K66" s="620">
        <v>30000.0</v>
      </c>
      <c r="L66" s="621">
        <v>29090.0</v>
      </c>
      <c r="M66" s="617">
        <v>35000.0</v>
      </c>
      <c r="N66" s="620">
        <v>34000.0</v>
      </c>
      <c r="O66" s="620">
        <v>33000.0</v>
      </c>
      <c r="P66" s="621">
        <v>32000.0</v>
      </c>
      <c r="S66" s="582"/>
    </row>
    <row r="67" ht="19.5" customHeight="1">
      <c r="A67" s="614">
        <v>3.0</v>
      </c>
      <c r="B67" s="615" t="s">
        <v>515</v>
      </c>
      <c r="C67" s="641" t="s">
        <v>516</v>
      </c>
      <c r="D67" s="314"/>
      <c r="E67" s="617">
        <v>16000.0</v>
      </c>
      <c r="F67" s="620">
        <v>15000.0</v>
      </c>
      <c r="G67" s="620">
        <v>14000.0</v>
      </c>
      <c r="H67" s="621">
        <v>13500.0</v>
      </c>
      <c r="I67" s="617">
        <v>14550.0</v>
      </c>
      <c r="J67" s="620">
        <v>13640.0</v>
      </c>
      <c r="K67" s="620">
        <v>12730.0</v>
      </c>
      <c r="L67" s="621">
        <v>12270.0</v>
      </c>
      <c r="M67" s="617">
        <v>16000.0</v>
      </c>
      <c r="N67" s="620">
        <v>15000.0</v>
      </c>
      <c r="O67" s="620">
        <v>14000.0</v>
      </c>
      <c r="P67" s="621">
        <v>13500.0</v>
      </c>
      <c r="S67" s="582"/>
    </row>
    <row r="68" ht="16.5" customHeight="1">
      <c r="A68" s="643" t="s">
        <v>517</v>
      </c>
      <c r="B68" s="307"/>
      <c r="C68" s="307"/>
      <c r="D68" s="314"/>
      <c r="E68" s="605" t="s">
        <v>518</v>
      </c>
      <c r="F68" s="644" t="s">
        <v>519</v>
      </c>
      <c r="G68" s="606" t="s">
        <v>520</v>
      </c>
      <c r="H68" s="607" t="s">
        <v>521</v>
      </c>
      <c r="I68" s="608" t="s">
        <v>518</v>
      </c>
      <c r="J68" s="645" t="s">
        <v>519</v>
      </c>
      <c r="K68" s="609" t="s">
        <v>520</v>
      </c>
      <c r="L68" s="610" t="s">
        <v>521</v>
      </c>
      <c r="M68" s="611" t="s">
        <v>518</v>
      </c>
      <c r="N68" s="646" t="s">
        <v>519</v>
      </c>
      <c r="O68" s="612" t="s">
        <v>520</v>
      </c>
      <c r="P68" s="639" t="s">
        <v>521</v>
      </c>
      <c r="Q68" s="582"/>
      <c r="R68" s="582"/>
      <c r="S68" s="582"/>
    </row>
    <row r="69" ht="16.5" customHeight="1">
      <c r="A69" s="614">
        <v>2.0</v>
      </c>
      <c r="B69" s="615" t="s">
        <v>522</v>
      </c>
      <c r="C69" s="616" t="s">
        <v>523</v>
      </c>
      <c r="D69" s="314"/>
      <c r="E69" s="647">
        <v>21700.0</v>
      </c>
      <c r="F69" s="620">
        <v>19600.0</v>
      </c>
      <c r="G69" s="620">
        <v>19000.0</v>
      </c>
      <c r="H69" s="619">
        <v>18500.0</v>
      </c>
      <c r="I69" s="647">
        <v>19730.0</v>
      </c>
      <c r="J69" s="620">
        <v>17820.0</v>
      </c>
      <c r="K69" s="620">
        <v>17270.0</v>
      </c>
      <c r="L69" s="619">
        <v>16820.0</v>
      </c>
      <c r="M69" s="647">
        <v>19960.0</v>
      </c>
      <c r="N69" s="620">
        <v>18030.0</v>
      </c>
      <c r="O69" s="620">
        <v>17480.0</v>
      </c>
      <c r="P69" s="619">
        <v>17020.0</v>
      </c>
      <c r="Q69" s="625" t="s">
        <v>524</v>
      </c>
      <c r="R69" s="582"/>
      <c r="S69" s="626">
        <v>0.08</v>
      </c>
    </row>
    <row r="70" ht="16.5" customHeight="1">
      <c r="A70" s="604" t="s">
        <v>525</v>
      </c>
      <c r="B70" s="307"/>
      <c r="C70" s="307"/>
      <c r="D70" s="314"/>
      <c r="E70" s="605" t="s">
        <v>167</v>
      </c>
      <c r="F70" s="606" t="s">
        <v>526</v>
      </c>
      <c r="G70" s="606" t="s">
        <v>527</v>
      </c>
      <c r="H70" s="607" t="s">
        <v>528</v>
      </c>
      <c r="I70" s="608" t="s">
        <v>167</v>
      </c>
      <c r="J70" s="609" t="s">
        <v>526</v>
      </c>
      <c r="K70" s="609" t="s">
        <v>527</v>
      </c>
      <c r="L70" s="610" t="s">
        <v>528</v>
      </c>
      <c r="M70" s="611" t="s">
        <v>167</v>
      </c>
      <c r="N70" s="612" t="s">
        <v>526</v>
      </c>
      <c r="O70" s="612" t="s">
        <v>527</v>
      </c>
      <c r="P70" s="639" t="s">
        <v>528</v>
      </c>
      <c r="Q70" s="582"/>
      <c r="R70" s="582"/>
      <c r="S70" s="582"/>
    </row>
    <row r="71" ht="19.5" customHeight="1">
      <c r="A71" s="614">
        <v>1.0</v>
      </c>
      <c r="B71" s="620" t="s">
        <v>529</v>
      </c>
      <c r="C71" s="633" t="s">
        <v>530</v>
      </c>
      <c r="D71" s="314"/>
      <c r="E71" s="617">
        <v>18900.0</v>
      </c>
      <c r="F71" s="620">
        <v>16800.0</v>
      </c>
      <c r="G71" s="620">
        <v>15800.0</v>
      </c>
      <c r="H71" s="621"/>
      <c r="I71" s="617">
        <v>17180.0</v>
      </c>
      <c r="J71" s="620">
        <v>15270.0</v>
      </c>
      <c r="K71" s="620">
        <v>14360.0</v>
      </c>
      <c r="L71" s="621"/>
      <c r="M71" s="617">
        <v>17960.0</v>
      </c>
      <c r="N71" s="620">
        <v>15960.0</v>
      </c>
      <c r="O71" s="620">
        <v>15010.0</v>
      </c>
      <c r="P71" s="648"/>
      <c r="R71" s="640" t="s">
        <v>510</v>
      </c>
      <c r="S71" s="626">
        <v>0.05</v>
      </c>
    </row>
    <row r="72" ht="15.75" customHeight="1">
      <c r="A72" s="614">
        <v>2.0</v>
      </c>
      <c r="B72" s="620" t="s">
        <v>531</v>
      </c>
      <c r="C72" s="633" t="s">
        <v>532</v>
      </c>
      <c r="D72" s="314"/>
      <c r="E72" s="617">
        <v>57900.0</v>
      </c>
      <c r="F72" s="620">
        <v>47400.0</v>
      </c>
      <c r="G72" s="620">
        <v>36900.0</v>
      </c>
      <c r="H72" s="621"/>
      <c r="I72" s="617">
        <v>52640.0</v>
      </c>
      <c r="J72" s="620">
        <v>43090.0</v>
      </c>
      <c r="K72" s="620">
        <v>33550.0</v>
      </c>
      <c r="L72" s="621"/>
      <c r="M72" s="617">
        <v>55010.0</v>
      </c>
      <c r="N72" s="620">
        <v>45030.0</v>
      </c>
      <c r="O72" s="649">
        <v>35060.0</v>
      </c>
      <c r="P72" s="648"/>
      <c r="S72" s="626">
        <v>0.05</v>
      </c>
    </row>
    <row r="73" ht="15.75" customHeight="1">
      <c r="A73" s="614">
        <v>3.0</v>
      </c>
      <c r="B73" s="615" t="s">
        <v>533</v>
      </c>
      <c r="C73" s="616" t="s">
        <v>534</v>
      </c>
      <c r="D73" s="314"/>
      <c r="E73" s="617">
        <v>38100.0</v>
      </c>
      <c r="F73" s="620">
        <v>32600.0</v>
      </c>
      <c r="G73" s="620">
        <v>27200.0</v>
      </c>
      <c r="H73" s="621"/>
      <c r="I73" s="617">
        <v>34640.0</v>
      </c>
      <c r="J73" s="620">
        <v>29640.0</v>
      </c>
      <c r="K73" s="620">
        <v>24730.0</v>
      </c>
      <c r="L73" s="621"/>
      <c r="M73" s="617">
        <v>35050.0</v>
      </c>
      <c r="N73" s="620">
        <v>29990.0</v>
      </c>
      <c r="O73" s="649">
        <v>25020.0</v>
      </c>
      <c r="P73" s="648"/>
      <c r="S73" s="626">
        <v>0.08</v>
      </c>
    </row>
    <row r="74" ht="15.75" customHeight="1">
      <c r="A74" s="614">
        <v>4.0</v>
      </c>
      <c r="B74" s="615" t="s">
        <v>535</v>
      </c>
      <c r="C74" s="616" t="s">
        <v>536</v>
      </c>
      <c r="D74" s="314"/>
      <c r="E74" s="617">
        <v>88600.0</v>
      </c>
      <c r="F74" s="620">
        <v>77600.0</v>
      </c>
      <c r="G74" s="620">
        <v>71900.0</v>
      </c>
      <c r="H74" s="621"/>
      <c r="I74" s="617">
        <v>80550.0</v>
      </c>
      <c r="J74" s="620">
        <v>70550.0</v>
      </c>
      <c r="K74" s="620">
        <v>65360.0</v>
      </c>
      <c r="L74" s="621"/>
      <c r="M74" s="617">
        <v>81510.0</v>
      </c>
      <c r="N74" s="620">
        <v>71390.0</v>
      </c>
      <c r="O74" s="649">
        <v>66150.0</v>
      </c>
      <c r="P74" s="648"/>
      <c r="S74" s="626">
        <v>0.08</v>
      </c>
    </row>
    <row r="75" ht="15.75" customHeight="1">
      <c r="A75" s="614">
        <v>5.0</v>
      </c>
      <c r="B75" s="650" t="s">
        <v>537</v>
      </c>
      <c r="C75" s="616" t="s">
        <v>538</v>
      </c>
      <c r="D75" s="314"/>
      <c r="E75" s="651"/>
      <c r="F75" s="652"/>
      <c r="G75" s="652"/>
      <c r="H75" s="653"/>
      <c r="I75" s="651"/>
      <c r="J75" s="652"/>
      <c r="K75" s="652"/>
      <c r="L75" s="653"/>
      <c r="M75" s="651"/>
      <c r="N75" s="652"/>
      <c r="O75" s="652"/>
      <c r="P75" s="629"/>
      <c r="S75" s="626">
        <v>0.08</v>
      </c>
    </row>
    <row r="76" ht="15.75" customHeight="1">
      <c r="A76" s="614" t="s">
        <v>133</v>
      </c>
      <c r="B76" s="615" t="s">
        <v>539</v>
      </c>
      <c r="C76" s="616" t="s">
        <v>540</v>
      </c>
      <c r="D76" s="314"/>
      <c r="E76" s="651">
        <v>54300.0</v>
      </c>
      <c r="F76" s="652">
        <v>43500.0</v>
      </c>
      <c r="G76" s="652">
        <v>38100.0</v>
      </c>
      <c r="H76" s="653"/>
      <c r="I76" s="651">
        <v>49360.0</v>
      </c>
      <c r="J76" s="652">
        <v>39550.0</v>
      </c>
      <c r="K76" s="652">
        <v>34640.0</v>
      </c>
      <c r="L76" s="653"/>
      <c r="M76" s="651">
        <v>49960.0</v>
      </c>
      <c r="N76" s="652">
        <v>40020.0</v>
      </c>
      <c r="O76" s="652">
        <v>35050.0</v>
      </c>
      <c r="P76" s="629"/>
      <c r="S76" s="626">
        <v>0.08</v>
      </c>
    </row>
    <row r="77" ht="15.75" customHeight="1">
      <c r="A77" s="654" t="s">
        <v>133</v>
      </c>
      <c r="B77" s="655" t="s">
        <v>541</v>
      </c>
      <c r="C77" s="656" t="s">
        <v>542</v>
      </c>
      <c r="D77" s="657"/>
      <c r="E77" s="658">
        <v>43500.0</v>
      </c>
      <c r="F77" s="659">
        <v>32600.0</v>
      </c>
      <c r="G77" s="660">
        <v>27200.0</v>
      </c>
      <c r="H77" s="661"/>
      <c r="I77" s="658">
        <v>39550.0</v>
      </c>
      <c r="J77" s="659">
        <v>29640.0</v>
      </c>
      <c r="K77" s="660">
        <v>24730.0</v>
      </c>
      <c r="L77" s="661"/>
      <c r="M77" s="658">
        <v>40020.0</v>
      </c>
      <c r="N77" s="659">
        <v>29990.0</v>
      </c>
      <c r="O77" s="660">
        <v>25020.0</v>
      </c>
      <c r="P77" s="662"/>
      <c r="S77" s="626">
        <v>0.08</v>
      </c>
    </row>
    <row r="78" ht="15.75" customHeight="1">
      <c r="A78" s="663"/>
      <c r="B78" s="664"/>
      <c r="C78" s="664"/>
      <c r="D78" s="665"/>
      <c r="E78" s="665"/>
      <c r="F78" s="666"/>
      <c r="G78" s="666"/>
      <c r="H78" s="666"/>
      <c r="I78" s="666"/>
      <c r="J78" s="666"/>
      <c r="K78" s="666"/>
      <c r="L78" s="666"/>
      <c r="M78" s="666"/>
      <c r="N78" s="666"/>
      <c r="O78" s="666"/>
      <c r="P78" s="666"/>
      <c r="Q78" s="582"/>
      <c r="R78" s="582"/>
      <c r="S78" s="582"/>
    </row>
    <row r="79" ht="15.75" customHeight="1">
      <c r="A79" s="667">
        <v>1.0</v>
      </c>
      <c r="B79" s="668"/>
      <c r="P79" s="434"/>
      <c r="Q79" s="582"/>
      <c r="R79" s="582"/>
      <c r="S79" s="582"/>
    </row>
    <row r="80" ht="15.75" customHeight="1">
      <c r="B80" s="669" t="s">
        <v>543</v>
      </c>
      <c r="P80" s="434"/>
      <c r="Q80" s="582"/>
      <c r="R80" s="582"/>
      <c r="S80" s="582"/>
    </row>
    <row r="81" ht="15.75" customHeight="1">
      <c r="B81" s="670" t="s">
        <v>348</v>
      </c>
      <c r="P81" s="434"/>
      <c r="Q81" s="582"/>
      <c r="R81" s="582"/>
      <c r="S81" s="582"/>
    </row>
    <row r="82" ht="15.75" customHeight="1">
      <c r="A82" s="671">
        <v>2.0</v>
      </c>
      <c r="B82" s="672" t="s">
        <v>307</v>
      </c>
      <c r="C82" s="418"/>
      <c r="D82" s="418"/>
      <c r="E82" s="418"/>
      <c r="F82" s="418"/>
      <c r="G82" s="418"/>
      <c r="H82" s="418"/>
      <c r="I82" s="418"/>
      <c r="J82" s="418"/>
      <c r="K82" s="418"/>
      <c r="L82" s="418"/>
      <c r="M82" s="418"/>
      <c r="N82" s="418"/>
      <c r="O82" s="418"/>
      <c r="P82" s="419"/>
      <c r="Q82" s="582"/>
      <c r="R82" s="582"/>
      <c r="S82" s="582"/>
    </row>
    <row r="83" ht="15.75" customHeight="1">
      <c r="A83" s="663"/>
      <c r="B83" s="664"/>
      <c r="C83" s="664"/>
      <c r="D83" s="664"/>
      <c r="E83" s="666"/>
      <c r="F83" s="666"/>
      <c r="G83" s="666"/>
      <c r="H83" s="666"/>
      <c r="I83" s="666"/>
      <c r="J83" s="666"/>
      <c r="K83" s="666"/>
      <c r="L83" s="666"/>
      <c r="M83" s="666"/>
      <c r="N83" s="666"/>
      <c r="O83" s="666"/>
      <c r="P83" s="666"/>
      <c r="Q83" s="638"/>
      <c r="R83" s="638"/>
      <c r="S83" s="638"/>
    </row>
    <row r="84" ht="15.75" customHeight="1">
      <c r="A84" s="663"/>
      <c r="B84" s="664"/>
      <c r="C84" s="666"/>
      <c r="D84" s="664"/>
      <c r="E84" s="666"/>
      <c r="F84" s="666"/>
      <c r="G84" s="666"/>
      <c r="H84" s="666"/>
      <c r="I84" s="666"/>
      <c r="J84" s="666"/>
      <c r="K84" s="666"/>
      <c r="L84" s="666"/>
      <c r="M84" s="666"/>
      <c r="N84" s="666"/>
      <c r="O84" s="666"/>
      <c r="P84" s="666"/>
      <c r="Q84" s="582"/>
      <c r="R84" s="582"/>
      <c r="S84" s="582"/>
    </row>
    <row r="85" ht="15.75" customHeight="1">
      <c r="A85" s="663"/>
      <c r="B85" s="664"/>
      <c r="C85" s="664"/>
      <c r="D85" s="664"/>
      <c r="E85" s="666"/>
      <c r="F85" s="666"/>
      <c r="G85" s="666"/>
      <c r="H85" s="666"/>
      <c r="I85" s="666"/>
      <c r="J85" s="666"/>
      <c r="K85" s="666"/>
      <c r="L85" s="666"/>
      <c r="M85" s="666"/>
      <c r="N85" s="666"/>
      <c r="O85" s="666"/>
      <c r="P85" s="666"/>
      <c r="Q85" s="582"/>
      <c r="R85" s="582"/>
      <c r="S85" s="582"/>
    </row>
    <row r="86" ht="15.75" customHeight="1">
      <c r="A86" s="663"/>
      <c r="B86" s="664"/>
      <c r="C86" s="664"/>
      <c r="D86" s="664"/>
      <c r="E86" s="666"/>
      <c r="F86" s="666"/>
      <c r="G86" s="666"/>
      <c r="H86" s="666"/>
      <c r="I86" s="666"/>
      <c r="J86" s="666"/>
      <c r="K86" s="666"/>
      <c r="L86" s="666"/>
      <c r="M86" s="666"/>
      <c r="N86" s="666"/>
      <c r="O86" s="666"/>
      <c r="P86" s="666"/>
      <c r="Q86" s="582"/>
      <c r="R86" s="582"/>
      <c r="S86" s="582"/>
    </row>
  </sheetData>
  <mergeCells count="68">
    <mergeCell ref="C25:D25"/>
    <mergeCell ref="C26:D26"/>
    <mergeCell ref="A29:A31"/>
    <mergeCell ref="C27:D27"/>
    <mergeCell ref="B29:P29"/>
    <mergeCell ref="B30:P30"/>
    <mergeCell ref="B31:P31"/>
    <mergeCell ref="B32:P32"/>
    <mergeCell ref="A51:P51"/>
    <mergeCell ref="E52:L53"/>
    <mergeCell ref="C66:D66"/>
    <mergeCell ref="C67:D67"/>
    <mergeCell ref="A68:D68"/>
    <mergeCell ref="C69:D69"/>
    <mergeCell ref="A70:D70"/>
    <mergeCell ref="C71:D71"/>
    <mergeCell ref="C65:D65"/>
    <mergeCell ref="C72:D72"/>
    <mergeCell ref="C73:D73"/>
    <mergeCell ref="C74:D74"/>
    <mergeCell ref="C75:D75"/>
    <mergeCell ref="C76:D76"/>
    <mergeCell ref="A79:A81"/>
    <mergeCell ref="C77:D77"/>
    <mergeCell ref="B79:P79"/>
    <mergeCell ref="B80:P80"/>
    <mergeCell ref="B81:P81"/>
    <mergeCell ref="B82:P82"/>
    <mergeCell ref="C60:D60"/>
    <mergeCell ref="C61:D61"/>
    <mergeCell ref="C62:D62"/>
    <mergeCell ref="C63:D63"/>
    <mergeCell ref="A64:D64"/>
    <mergeCell ref="R64:R67"/>
    <mergeCell ref="R71:R77"/>
    <mergeCell ref="A1:P1"/>
    <mergeCell ref="E2:L3"/>
    <mergeCell ref="A5:D6"/>
    <mergeCell ref="E5:H5"/>
    <mergeCell ref="I5:L5"/>
    <mergeCell ref="M5:P5"/>
    <mergeCell ref="A7:D7"/>
    <mergeCell ref="A14:D14"/>
    <mergeCell ref="C15:D15"/>
    <mergeCell ref="C16:D16"/>
    <mergeCell ref="C17:D17"/>
    <mergeCell ref="A18:D18"/>
    <mergeCell ref="C19:D19"/>
    <mergeCell ref="A20:D20"/>
    <mergeCell ref="C21:D21"/>
    <mergeCell ref="C13:D13"/>
    <mergeCell ref="C22:D22"/>
    <mergeCell ref="C23:D23"/>
    <mergeCell ref="C24:D24"/>
    <mergeCell ref="C8:D8"/>
    <mergeCell ref="C9:D9"/>
    <mergeCell ref="C10:D10"/>
    <mergeCell ref="C11:D11"/>
    <mergeCell ref="C12:D12"/>
    <mergeCell ref="R14:R17"/>
    <mergeCell ref="R21:R27"/>
    <mergeCell ref="A55:D56"/>
    <mergeCell ref="E55:H55"/>
    <mergeCell ref="I55:L55"/>
    <mergeCell ref="M55:P55"/>
    <mergeCell ref="A57:D57"/>
    <mergeCell ref="C58:D58"/>
    <mergeCell ref="C59:D5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min="1" max="1" width="5.25"/>
    <col customWidth="1" min="2" max="2" width="10.0"/>
    <col customWidth="1" min="3" max="3" width="23.63"/>
    <col customWidth="1" min="4" max="4" width="10.0"/>
    <col customWidth="1" min="5" max="5" width="8.75"/>
    <col customWidth="1" min="6" max="6" width="11.13"/>
    <col customWidth="1" min="7" max="8" width="14.0"/>
    <col customWidth="1" min="9" max="9" width="6.25"/>
    <col customWidth="1" min="10" max="10" width="8.38"/>
    <col customWidth="1" min="11" max="11" width="23.75"/>
    <col customWidth="1" min="12" max="12" width="8.5"/>
    <col customWidth="1" min="13" max="13" width="8.13"/>
    <col customWidth="1" min="14" max="14" width="7.25"/>
    <col customWidth="1" min="15" max="15" width="11.13"/>
    <col customWidth="1" min="16" max="16" width="13.88"/>
  </cols>
  <sheetData>
    <row r="1">
      <c r="A1" s="276"/>
      <c r="B1" s="519"/>
      <c r="C1" s="519"/>
      <c r="D1" s="519"/>
      <c r="E1" s="519"/>
      <c r="F1" s="519"/>
      <c r="G1" s="519"/>
      <c r="H1" s="519"/>
      <c r="I1" s="519" t="s">
        <v>545</v>
      </c>
      <c r="J1" s="519"/>
      <c r="K1" s="519"/>
      <c r="L1" s="519"/>
      <c r="M1" s="519"/>
      <c r="N1" s="519"/>
      <c r="O1" s="678"/>
      <c r="P1" s="679"/>
    </row>
    <row r="2" ht="18.75" customHeight="1">
      <c r="A2" s="679"/>
      <c r="B2" s="679"/>
      <c r="C2" s="680" t="s">
        <v>546</v>
      </c>
      <c r="D2" s="681">
        <v>245000.0</v>
      </c>
      <c r="E2" s="682">
        <v>45044.0</v>
      </c>
      <c r="F2" s="683"/>
      <c r="G2" s="679"/>
      <c r="H2" s="679"/>
      <c r="I2" s="679"/>
      <c r="J2" s="679"/>
      <c r="K2" s="679"/>
      <c r="L2" s="679"/>
      <c r="M2" s="679"/>
      <c r="N2" s="678"/>
      <c r="O2" s="678"/>
      <c r="P2" s="679"/>
    </row>
    <row r="3" ht="18.75" customHeight="1">
      <c r="A3" s="679"/>
      <c r="B3" s="679"/>
      <c r="C3" s="680" t="s">
        <v>547</v>
      </c>
      <c r="D3" s="681">
        <v>240000.0</v>
      </c>
      <c r="E3" s="682">
        <v>45042.0</v>
      </c>
      <c r="F3" s="683"/>
      <c r="G3" s="679"/>
      <c r="H3" s="679"/>
      <c r="I3" s="679"/>
      <c r="J3" s="276"/>
      <c r="K3" s="680" t="s">
        <v>548</v>
      </c>
      <c r="L3" s="681">
        <v>300000.0</v>
      </c>
      <c r="M3" s="684" t="s">
        <v>549</v>
      </c>
      <c r="N3" s="678"/>
      <c r="O3" s="678"/>
      <c r="P3" s="679"/>
    </row>
    <row r="4" ht="18.75" customHeight="1">
      <c r="A4" s="679"/>
      <c r="B4" s="679"/>
      <c r="C4" s="679"/>
      <c r="D4" s="679"/>
      <c r="E4" s="679"/>
      <c r="F4" s="679"/>
      <c r="G4" s="679"/>
      <c r="H4" s="679"/>
      <c r="I4" s="679"/>
      <c r="J4" s="679"/>
      <c r="K4" s="679"/>
      <c r="L4" s="679"/>
      <c r="M4" s="679"/>
      <c r="N4" s="678"/>
      <c r="O4" s="678"/>
      <c r="P4" s="679"/>
    </row>
    <row r="5" ht="18.75" customHeight="1">
      <c r="A5" s="685" t="s">
        <v>310</v>
      </c>
      <c r="B5" s="686" t="s">
        <v>311</v>
      </c>
      <c r="C5" s="687" t="s">
        <v>550</v>
      </c>
      <c r="D5" s="686" t="s">
        <v>202</v>
      </c>
      <c r="E5" s="688" t="s">
        <v>551</v>
      </c>
      <c r="F5" s="689" t="s">
        <v>552</v>
      </c>
      <c r="G5" s="690" t="s">
        <v>68</v>
      </c>
      <c r="H5" s="691" t="s">
        <v>70</v>
      </c>
      <c r="I5" s="692"/>
      <c r="J5" s="693" t="s">
        <v>311</v>
      </c>
      <c r="K5" s="694" t="s">
        <v>553</v>
      </c>
      <c r="L5" s="693" t="s">
        <v>202</v>
      </c>
      <c r="M5" s="695" t="s">
        <v>551</v>
      </c>
      <c r="N5" s="696" t="s">
        <v>554</v>
      </c>
      <c r="O5" s="696" t="s">
        <v>68</v>
      </c>
      <c r="P5" s="697" t="s">
        <v>70</v>
      </c>
    </row>
    <row r="6" ht="18.75" customHeight="1">
      <c r="A6" s="698"/>
      <c r="B6" s="699"/>
      <c r="C6" s="699"/>
      <c r="D6" s="699"/>
      <c r="E6" s="700"/>
      <c r="F6" s="701"/>
      <c r="G6" s="702"/>
      <c r="H6" s="703"/>
      <c r="I6" s="692"/>
      <c r="J6" s="699"/>
      <c r="K6" s="699"/>
      <c r="L6" s="699"/>
      <c r="M6" s="699"/>
      <c r="N6" s="704"/>
      <c r="O6" s="704"/>
      <c r="P6" s="701"/>
    </row>
    <row r="7" ht="18.75" customHeight="1">
      <c r="A7" s="705">
        <v>1.0</v>
      </c>
      <c r="B7" s="706" t="s">
        <v>555</v>
      </c>
      <c r="C7" s="707" t="s">
        <v>556</v>
      </c>
      <c r="D7" s="708" t="s">
        <v>557</v>
      </c>
      <c r="E7" s="709">
        <f>iferror(vlookup(B7,'TỒN'!$A:$E,5,false),)</f>
        <v>377</v>
      </c>
      <c r="F7" s="710">
        <v>1.4191174199999999</v>
      </c>
      <c r="G7" s="711">
        <f t="shared" ref="G7:G15" si="1">ROUND($D$2*F7,-2)</f>
        <v>347700</v>
      </c>
      <c r="H7" s="712">
        <f t="shared" ref="H7:H23" si="2">IF(ISBLANK(G7),,ROUND(G7/1.1,-2))</f>
        <v>316100</v>
      </c>
      <c r="I7" s="692"/>
      <c r="J7" s="713" t="s">
        <v>558</v>
      </c>
      <c r="K7" s="707" t="s">
        <v>559</v>
      </c>
      <c r="L7" s="714" t="s">
        <v>560</v>
      </c>
      <c r="M7" s="709" t="str">
        <f>iferror(vlookup(J7,'TỒN'!$A:$C,5,false),)</f>
        <v/>
      </c>
      <c r="N7" s="715">
        <v>12.5249376</v>
      </c>
      <c r="O7" s="716">
        <f t="shared" ref="O7:O40" si="3">round($L$3*N7,-2)</f>
        <v>3757500</v>
      </c>
      <c r="P7" s="717">
        <f t="shared" ref="P7:P40" si="4">IF(ISBLANK(O7),,ROUND(O7/1.1,-2))</f>
        <v>3415900</v>
      </c>
    </row>
    <row r="8" ht="18.75" customHeight="1">
      <c r="A8" s="718">
        <v>2.0</v>
      </c>
      <c r="B8" s="719" t="s">
        <v>561</v>
      </c>
      <c r="C8" s="720" t="s">
        <v>562</v>
      </c>
      <c r="D8" s="721" t="s">
        <v>557</v>
      </c>
      <c r="E8" s="722">
        <f>iferror(vlookup(B8,'TỒN'!$A:$E,5,false),)</f>
        <v>795</v>
      </c>
      <c r="F8" s="723">
        <v>1.6229833199999997</v>
      </c>
      <c r="G8" s="724">
        <f t="shared" si="1"/>
        <v>397600</v>
      </c>
      <c r="H8" s="725">
        <f t="shared" si="2"/>
        <v>361500</v>
      </c>
      <c r="I8" s="692"/>
      <c r="J8" s="726" t="s">
        <v>563</v>
      </c>
      <c r="K8" s="720" t="s">
        <v>564</v>
      </c>
      <c r="L8" s="727" t="s">
        <v>560</v>
      </c>
      <c r="M8" s="722" t="str">
        <f>iferror(vlookup(J8,'TỒN'!$A:$C,5,false),)</f>
        <v/>
      </c>
      <c r="N8" s="728">
        <v>9.4813992</v>
      </c>
      <c r="O8" s="729">
        <f t="shared" si="3"/>
        <v>2844400</v>
      </c>
      <c r="P8" s="730">
        <f t="shared" si="4"/>
        <v>2585800</v>
      </c>
    </row>
    <row r="9" ht="18.75" customHeight="1">
      <c r="A9" s="731">
        <v>3.0</v>
      </c>
      <c r="B9" s="732" t="s">
        <v>565</v>
      </c>
      <c r="C9" s="720" t="s">
        <v>566</v>
      </c>
      <c r="D9" s="721" t="s">
        <v>557</v>
      </c>
      <c r="E9" s="722">
        <f>iferror(vlookup(B9,'TỒN'!$A:$E,5,false),)</f>
        <v>299</v>
      </c>
      <c r="F9" s="723">
        <v>1.8648000000000002</v>
      </c>
      <c r="G9" s="724">
        <f t="shared" si="1"/>
        <v>456900</v>
      </c>
      <c r="H9" s="725">
        <f t="shared" si="2"/>
        <v>415400</v>
      </c>
      <c r="I9" s="692"/>
      <c r="J9" s="713" t="s">
        <v>567</v>
      </c>
      <c r="K9" s="707" t="s">
        <v>568</v>
      </c>
      <c r="L9" s="733" t="s">
        <v>560</v>
      </c>
      <c r="M9" s="709" t="str">
        <f>iferror(vlookup(J9,'TỒN'!$A:$C,5,false),)</f>
        <v/>
      </c>
      <c r="N9" s="715">
        <v>9.482860800000001</v>
      </c>
      <c r="O9" s="716">
        <f t="shared" si="3"/>
        <v>2844900</v>
      </c>
      <c r="P9" s="717">
        <f t="shared" si="4"/>
        <v>2586300</v>
      </c>
    </row>
    <row r="10" ht="18.75" customHeight="1">
      <c r="A10" s="734">
        <v>4.0</v>
      </c>
      <c r="B10" s="735" t="s">
        <v>569</v>
      </c>
      <c r="C10" s="736" t="s">
        <v>570</v>
      </c>
      <c r="D10" s="737" t="s">
        <v>557</v>
      </c>
      <c r="E10" s="738">
        <f>iferror(vlookup(B10,'TỒN'!$A:$E,5,false),)</f>
        <v>0</v>
      </c>
      <c r="F10" s="739">
        <v>2.2028460300000003</v>
      </c>
      <c r="G10" s="740">
        <f t="shared" si="1"/>
        <v>539700</v>
      </c>
      <c r="H10" s="741">
        <f t="shared" si="2"/>
        <v>490600</v>
      </c>
      <c r="I10" s="692"/>
      <c r="J10" s="726" t="s">
        <v>571</v>
      </c>
      <c r="K10" s="720" t="s">
        <v>572</v>
      </c>
      <c r="L10" s="727" t="s">
        <v>560</v>
      </c>
      <c r="M10" s="722" t="str">
        <f>iferror(vlookup(J10,'TỒN'!$A:$C,5,false),)</f>
        <v/>
      </c>
      <c r="N10" s="728">
        <v>7.457407999999998</v>
      </c>
      <c r="O10" s="729">
        <f t="shared" si="3"/>
        <v>2237200</v>
      </c>
      <c r="P10" s="730">
        <f t="shared" si="4"/>
        <v>2033800</v>
      </c>
    </row>
    <row r="11" ht="18.75" customHeight="1">
      <c r="A11" s="731">
        <v>5.0</v>
      </c>
      <c r="B11" s="742" t="s">
        <v>573</v>
      </c>
      <c r="C11" s="720" t="s">
        <v>574</v>
      </c>
      <c r="D11" s="721" t="s">
        <v>557</v>
      </c>
      <c r="E11" s="722">
        <f>iferror(vlookup(B11,'TỒN'!$A:$E,5,false),)</f>
        <v>323</v>
      </c>
      <c r="F11" s="723">
        <v>2.5351920299999993</v>
      </c>
      <c r="G11" s="724">
        <f t="shared" si="1"/>
        <v>621100</v>
      </c>
      <c r="H11" s="725">
        <f t="shared" si="2"/>
        <v>564600</v>
      </c>
      <c r="I11" s="692"/>
      <c r="J11" s="713" t="s">
        <v>575</v>
      </c>
      <c r="K11" s="707" t="s">
        <v>576</v>
      </c>
      <c r="L11" s="733" t="s">
        <v>560</v>
      </c>
      <c r="M11" s="709" t="str">
        <f>iferror(vlookup(J11,'TỒN'!$A:$C,5,false),)</f>
        <v/>
      </c>
      <c r="N11" s="715">
        <v>8.496768000000001</v>
      </c>
      <c r="O11" s="716">
        <f t="shared" si="3"/>
        <v>2549000</v>
      </c>
      <c r="P11" s="717">
        <f t="shared" si="4"/>
        <v>2317300</v>
      </c>
    </row>
    <row r="12" ht="18.75" customHeight="1">
      <c r="A12" s="718">
        <v>6.0</v>
      </c>
      <c r="B12" s="742" t="s">
        <v>577</v>
      </c>
      <c r="C12" s="720" t="s">
        <v>578</v>
      </c>
      <c r="D12" s="721" t="s">
        <v>557</v>
      </c>
      <c r="E12" s="722">
        <f>iferror(vlookup(B12,'TỒN'!$A:$E,5,false),)</f>
        <v>151</v>
      </c>
      <c r="F12" s="743">
        <v>2.9299199999999996</v>
      </c>
      <c r="G12" s="724">
        <f t="shared" si="1"/>
        <v>717800</v>
      </c>
      <c r="H12" s="725">
        <f t="shared" si="2"/>
        <v>652500</v>
      </c>
      <c r="I12" s="692"/>
      <c r="J12" s="726" t="s">
        <v>579</v>
      </c>
      <c r="K12" s="720" t="s">
        <v>580</v>
      </c>
      <c r="L12" s="727" t="s">
        <v>560</v>
      </c>
      <c r="M12" s="722" t="str">
        <f>iferror(vlookup(J12,'TỒN'!$A:$C,5,false),)</f>
        <v/>
      </c>
      <c r="N12" s="728">
        <v>9.529632000000001</v>
      </c>
      <c r="O12" s="729">
        <f t="shared" si="3"/>
        <v>2858900</v>
      </c>
      <c r="P12" s="730">
        <f t="shared" si="4"/>
        <v>2599000</v>
      </c>
    </row>
    <row r="13" ht="18.75" customHeight="1">
      <c r="A13" s="744">
        <v>7.0</v>
      </c>
      <c r="B13" s="745" t="s">
        <v>581</v>
      </c>
      <c r="C13" s="736" t="s">
        <v>582</v>
      </c>
      <c r="D13" s="737" t="s">
        <v>557</v>
      </c>
      <c r="E13" s="738">
        <f>iferror(vlookup(B13,'TỒN'!$A:$E,5,false),)</f>
        <v>156</v>
      </c>
      <c r="F13" s="739">
        <v>2.98904697</v>
      </c>
      <c r="G13" s="740">
        <f t="shared" si="1"/>
        <v>732300</v>
      </c>
      <c r="H13" s="741">
        <f t="shared" si="2"/>
        <v>665700</v>
      </c>
      <c r="I13" s="692"/>
      <c r="J13" s="713" t="s">
        <v>583</v>
      </c>
      <c r="K13" s="707" t="s">
        <v>584</v>
      </c>
      <c r="L13" s="733" t="s">
        <v>560</v>
      </c>
      <c r="M13" s="709" t="str">
        <f>iferror(vlookup(J13,'TỒN'!$A:$C,5,false),)</f>
        <v/>
      </c>
      <c r="N13" s="715">
        <v>10.556</v>
      </c>
      <c r="O13" s="716">
        <f t="shared" si="3"/>
        <v>3166800</v>
      </c>
      <c r="P13" s="717">
        <f t="shared" si="4"/>
        <v>2878900</v>
      </c>
    </row>
    <row r="14" ht="18.75" customHeight="1">
      <c r="A14" s="718">
        <v>8.0</v>
      </c>
      <c r="B14" s="742" t="s">
        <v>585</v>
      </c>
      <c r="C14" s="720" t="s">
        <v>586</v>
      </c>
      <c r="D14" s="721" t="s">
        <v>557</v>
      </c>
      <c r="E14" s="722">
        <f>iferror(vlookup(B14,'TỒN'!$A:$E,5,false),)</f>
        <v>248</v>
      </c>
      <c r="F14" s="723">
        <v>3.4502783699999995</v>
      </c>
      <c r="G14" s="724">
        <f t="shared" si="1"/>
        <v>845300</v>
      </c>
      <c r="H14" s="725">
        <f t="shared" si="2"/>
        <v>768500</v>
      </c>
      <c r="I14" s="692"/>
      <c r="J14" s="726" t="s">
        <v>587</v>
      </c>
      <c r="K14" s="720" t="s">
        <v>588</v>
      </c>
      <c r="L14" s="727" t="s">
        <v>560</v>
      </c>
      <c r="M14" s="722" t="str">
        <f>iferror(vlookup(J14,'TỒN'!$A:$C,5,false),)</f>
        <v/>
      </c>
      <c r="N14" s="728">
        <v>7.885332000000001</v>
      </c>
      <c r="O14" s="729">
        <f t="shared" si="3"/>
        <v>2365600</v>
      </c>
      <c r="P14" s="730">
        <f t="shared" si="4"/>
        <v>2150500</v>
      </c>
    </row>
    <row r="15" ht="18.75" customHeight="1">
      <c r="A15" s="731">
        <v>9.0</v>
      </c>
      <c r="B15" s="742" t="s">
        <v>589</v>
      </c>
      <c r="C15" s="720" t="s">
        <v>590</v>
      </c>
      <c r="D15" s="721" t="s">
        <v>557</v>
      </c>
      <c r="E15" s="722">
        <f>iferror(vlookup(B15,'TỒN'!$A:$E,5,false),)</f>
        <v>250</v>
      </c>
      <c r="F15" s="723">
        <v>3.9984</v>
      </c>
      <c r="G15" s="724">
        <f t="shared" si="1"/>
        <v>979600</v>
      </c>
      <c r="H15" s="725">
        <f t="shared" si="2"/>
        <v>890500</v>
      </c>
      <c r="I15" s="692"/>
      <c r="J15" s="713" t="s">
        <v>591</v>
      </c>
      <c r="K15" s="707" t="s">
        <v>592</v>
      </c>
      <c r="L15" s="733" t="s">
        <v>560</v>
      </c>
      <c r="M15" s="709" t="str">
        <f>iferror(vlookup(J15,'TỒN'!$A:$C,5,false),)</f>
        <v/>
      </c>
      <c r="N15" s="715">
        <v>9.666048000000002</v>
      </c>
      <c r="O15" s="716">
        <f t="shared" si="3"/>
        <v>2899800</v>
      </c>
      <c r="P15" s="717">
        <f t="shared" si="4"/>
        <v>2636200</v>
      </c>
    </row>
    <row r="16" ht="18.75" customHeight="1">
      <c r="A16" s="734">
        <v>10.0</v>
      </c>
      <c r="B16" s="745" t="s">
        <v>593</v>
      </c>
      <c r="C16" s="736" t="s">
        <v>594</v>
      </c>
      <c r="D16" s="737" t="s">
        <v>557</v>
      </c>
      <c r="E16" s="738" t="str">
        <f>iferror(vlookup(B16,'TỒN'!$A:$E,5,false),)</f>
        <v/>
      </c>
      <c r="F16" s="739"/>
      <c r="G16" s="740"/>
      <c r="H16" s="741" t="str">
        <f t="shared" si="2"/>
        <v/>
      </c>
      <c r="I16" s="692"/>
      <c r="J16" s="726" t="s">
        <v>595</v>
      </c>
      <c r="K16" s="720" t="s">
        <v>596</v>
      </c>
      <c r="L16" s="727" t="s">
        <v>560</v>
      </c>
      <c r="M16" s="722" t="str">
        <f>iferror(vlookup(J16,'TỒN'!$A:$C,5,false),)</f>
        <v/>
      </c>
      <c r="N16" s="728">
        <v>10.845072</v>
      </c>
      <c r="O16" s="729">
        <f t="shared" si="3"/>
        <v>3253500</v>
      </c>
      <c r="P16" s="730">
        <f t="shared" si="4"/>
        <v>2957700</v>
      </c>
    </row>
    <row r="17" ht="18.75" customHeight="1">
      <c r="A17" s="744">
        <v>11.0</v>
      </c>
      <c r="B17" s="746" t="s">
        <v>597</v>
      </c>
      <c r="C17" s="736" t="s">
        <v>598</v>
      </c>
      <c r="D17" s="737" t="s">
        <v>557</v>
      </c>
      <c r="E17" s="738">
        <f>iferror(vlookup(B17,'TỒN'!$A:$E,5,false),)</f>
        <v>178</v>
      </c>
      <c r="F17" s="739">
        <v>4.365364710000001</v>
      </c>
      <c r="G17" s="740">
        <f t="shared" ref="G17:G22" si="5">ROUND($D$2*F17,-2)</f>
        <v>1069500</v>
      </c>
      <c r="H17" s="741">
        <f t="shared" si="2"/>
        <v>972300</v>
      </c>
      <c r="I17" s="692"/>
      <c r="J17" s="713" t="s">
        <v>599</v>
      </c>
      <c r="K17" s="707" t="s">
        <v>600</v>
      </c>
      <c r="L17" s="733" t="s">
        <v>560</v>
      </c>
      <c r="M17" s="709" t="str">
        <f>iferror(vlookup(J17,'TỒN'!$A:$C,5,false),)</f>
        <v/>
      </c>
      <c r="N17" s="715">
        <v>13.719552</v>
      </c>
      <c r="O17" s="716">
        <f t="shared" si="3"/>
        <v>4115900</v>
      </c>
      <c r="P17" s="717">
        <f t="shared" si="4"/>
        <v>3741700</v>
      </c>
    </row>
    <row r="18" ht="18.75" customHeight="1">
      <c r="A18" s="718">
        <v>12.0</v>
      </c>
      <c r="B18" s="742" t="s">
        <v>601</v>
      </c>
      <c r="C18" s="720" t="s">
        <v>602</v>
      </c>
      <c r="D18" s="721" t="s">
        <v>557</v>
      </c>
      <c r="E18" s="722">
        <f>iferror(vlookup(B18,'TỒN'!$A:$E,5,false),)</f>
        <v>224</v>
      </c>
      <c r="F18" s="723">
        <v>5.066879999999999</v>
      </c>
      <c r="G18" s="724">
        <f t="shared" si="5"/>
        <v>1241400</v>
      </c>
      <c r="H18" s="725">
        <f t="shared" si="2"/>
        <v>1128500</v>
      </c>
      <c r="I18" s="692"/>
      <c r="J18" s="726" t="s">
        <v>603</v>
      </c>
      <c r="K18" s="720" t="s">
        <v>604</v>
      </c>
      <c r="L18" s="727" t="s">
        <v>560</v>
      </c>
      <c r="M18" s="722" t="str">
        <f>iferror(vlookup(J18,'TỒN'!$A:$C,5,false),)</f>
        <v/>
      </c>
      <c r="N18" s="728">
        <v>10.1051776</v>
      </c>
      <c r="O18" s="729">
        <f t="shared" si="3"/>
        <v>3031600</v>
      </c>
      <c r="P18" s="730">
        <f t="shared" si="4"/>
        <v>2756000</v>
      </c>
    </row>
    <row r="19" ht="18.75" customHeight="1">
      <c r="A19" s="731">
        <v>13.0</v>
      </c>
      <c r="B19" s="732" t="s">
        <v>605</v>
      </c>
      <c r="C19" s="720" t="s">
        <v>606</v>
      </c>
      <c r="D19" s="721" t="s">
        <v>557</v>
      </c>
      <c r="E19" s="722">
        <f>iferror(vlookup(B19,'TỒN'!$A:$E,5,false),)</f>
        <v>273</v>
      </c>
      <c r="F19" s="723">
        <v>6.2496</v>
      </c>
      <c r="G19" s="724">
        <f t="shared" si="5"/>
        <v>1531200</v>
      </c>
      <c r="H19" s="725">
        <f t="shared" si="2"/>
        <v>1392000</v>
      </c>
      <c r="I19" s="692"/>
      <c r="J19" s="713" t="s">
        <v>607</v>
      </c>
      <c r="K19" s="707" t="s">
        <v>608</v>
      </c>
      <c r="L19" s="733" t="s">
        <v>560</v>
      </c>
      <c r="M19" s="709" t="str">
        <f>iferror(vlookup(J19,'TỒN'!$A:$C,5,false),)</f>
        <v/>
      </c>
      <c r="N19" s="715">
        <v>17.23142764</v>
      </c>
      <c r="O19" s="716">
        <f t="shared" si="3"/>
        <v>5169400</v>
      </c>
      <c r="P19" s="717">
        <f t="shared" si="4"/>
        <v>4699500</v>
      </c>
    </row>
    <row r="20" ht="18.75" customHeight="1">
      <c r="A20" s="734">
        <v>14.0</v>
      </c>
      <c r="B20" s="735" t="s">
        <v>609</v>
      </c>
      <c r="C20" s="736" t="s">
        <v>610</v>
      </c>
      <c r="D20" s="737" t="s">
        <v>557</v>
      </c>
      <c r="E20" s="747">
        <f>iferror(vlookup(B20,'TỒN'!$A:$E,5,false),)</f>
        <v>1</v>
      </c>
      <c r="F20" s="739">
        <v>5.27757342</v>
      </c>
      <c r="G20" s="748">
        <f t="shared" si="5"/>
        <v>1293000</v>
      </c>
      <c r="H20" s="741">
        <f t="shared" si="2"/>
        <v>1175500</v>
      </c>
      <c r="I20" s="692"/>
      <c r="J20" s="726" t="s">
        <v>611</v>
      </c>
      <c r="K20" s="720" t="s">
        <v>612</v>
      </c>
      <c r="L20" s="727" t="s">
        <v>560</v>
      </c>
      <c r="M20" s="722" t="str">
        <f>iferror(vlookup(J20,'TỒN'!$A:$C,5,false),)</f>
        <v/>
      </c>
      <c r="N20" s="728">
        <v>28.387800000000002</v>
      </c>
      <c r="O20" s="729">
        <f t="shared" si="3"/>
        <v>8516300</v>
      </c>
      <c r="P20" s="730">
        <f t="shared" si="4"/>
        <v>7742100</v>
      </c>
    </row>
    <row r="21" ht="18.75" customHeight="1">
      <c r="A21" s="731">
        <v>15.0</v>
      </c>
      <c r="B21" s="742" t="s">
        <v>613</v>
      </c>
      <c r="C21" s="720" t="s">
        <v>614</v>
      </c>
      <c r="D21" s="721" t="s">
        <v>557</v>
      </c>
      <c r="E21" s="722">
        <f>iferror(vlookup(B21,'TỒN'!$A:$E,5,false),)</f>
        <v>227</v>
      </c>
      <c r="F21" s="723">
        <v>6.132000000000001</v>
      </c>
      <c r="G21" s="724">
        <f t="shared" si="5"/>
        <v>1502300</v>
      </c>
      <c r="H21" s="725">
        <f t="shared" si="2"/>
        <v>1365700</v>
      </c>
      <c r="I21" s="692"/>
      <c r="J21" s="713" t="s">
        <v>615</v>
      </c>
      <c r="K21" s="707" t="s">
        <v>616</v>
      </c>
      <c r="L21" s="733" t="s">
        <v>560</v>
      </c>
      <c r="M21" s="709" t="str">
        <f>iferror(vlookup(J21,'TỒN'!$A:$C,5,false),)</f>
        <v/>
      </c>
      <c r="N21" s="715">
        <v>6.379396799999999</v>
      </c>
      <c r="O21" s="716">
        <f t="shared" si="3"/>
        <v>1913800</v>
      </c>
      <c r="P21" s="717">
        <f t="shared" si="4"/>
        <v>1739800</v>
      </c>
    </row>
    <row r="22" ht="18.75" customHeight="1">
      <c r="A22" s="718">
        <v>16.0</v>
      </c>
      <c r="B22" s="742" t="s">
        <v>617</v>
      </c>
      <c r="C22" s="720" t="s">
        <v>618</v>
      </c>
      <c r="D22" s="721" t="s">
        <v>557</v>
      </c>
      <c r="E22" s="722" t="str">
        <f>iferror(vlookup(B22,'TỒN'!$A:$E,5,false),)</f>
        <v/>
      </c>
      <c r="F22" s="723">
        <v>7.581000000000001</v>
      </c>
      <c r="G22" s="724">
        <f t="shared" si="5"/>
        <v>1857300</v>
      </c>
      <c r="H22" s="725">
        <f t="shared" si="2"/>
        <v>1688500</v>
      </c>
      <c r="I22" s="692"/>
      <c r="J22" s="726" t="s">
        <v>619</v>
      </c>
      <c r="K22" s="720" t="s">
        <v>620</v>
      </c>
      <c r="L22" s="727" t="s">
        <v>560</v>
      </c>
      <c r="M22" s="722" t="str">
        <f>iferror(vlookup(J22,'TỒN'!$A:$C,5,false),)</f>
        <v/>
      </c>
      <c r="N22" s="728">
        <v>7.419893599999999</v>
      </c>
      <c r="O22" s="729">
        <f t="shared" si="3"/>
        <v>2226000</v>
      </c>
      <c r="P22" s="730">
        <f t="shared" si="4"/>
        <v>2023600</v>
      </c>
    </row>
    <row r="23" ht="18.75" customHeight="1">
      <c r="A23" s="749"/>
      <c r="B23" s="750"/>
      <c r="C23" s="750"/>
      <c r="D23" s="751"/>
      <c r="E23" s="752"/>
      <c r="F23" s="753"/>
      <c r="G23" s="754"/>
      <c r="H23" s="755" t="str">
        <f t="shared" si="2"/>
        <v/>
      </c>
      <c r="I23" s="692"/>
      <c r="J23" s="713" t="s">
        <v>621</v>
      </c>
      <c r="K23" s="707" t="s">
        <v>622</v>
      </c>
      <c r="L23" s="733" t="s">
        <v>560</v>
      </c>
      <c r="M23" s="709" t="str">
        <f>iferror(vlookup(J23,'TỒN'!$A:$C,5,false),)</f>
        <v/>
      </c>
      <c r="N23" s="715">
        <v>8.453894400000003</v>
      </c>
      <c r="O23" s="716">
        <f t="shared" si="3"/>
        <v>2536200</v>
      </c>
      <c r="P23" s="717">
        <f t="shared" si="4"/>
        <v>2305600</v>
      </c>
    </row>
    <row r="24" ht="18.75" customHeight="1">
      <c r="A24" s="679"/>
      <c r="B24" s="679"/>
      <c r="C24" s="679"/>
      <c r="D24" s="679"/>
      <c r="E24" s="679"/>
      <c r="F24" s="679"/>
      <c r="G24" s="679"/>
      <c r="H24" s="679"/>
      <c r="I24" s="692"/>
      <c r="J24" s="726" t="s">
        <v>623</v>
      </c>
      <c r="K24" s="720" t="s">
        <v>624</v>
      </c>
      <c r="L24" s="727" t="s">
        <v>560</v>
      </c>
      <c r="M24" s="722" t="str">
        <f>iferror(vlookup(J24,'TỒN'!$A:$C,5,false),)</f>
        <v/>
      </c>
      <c r="N24" s="728">
        <v>8.9684588</v>
      </c>
      <c r="O24" s="729">
        <f t="shared" si="3"/>
        <v>2690500</v>
      </c>
      <c r="P24" s="730">
        <f t="shared" si="4"/>
        <v>2445900</v>
      </c>
    </row>
    <row r="25" ht="18.75" customHeight="1">
      <c r="A25" s="679"/>
      <c r="B25" s="756" t="s">
        <v>625</v>
      </c>
      <c r="C25" s="757"/>
      <c r="D25" s="758" t="s">
        <v>202</v>
      </c>
      <c r="E25" s="758" t="s">
        <v>626</v>
      </c>
      <c r="F25" s="759" t="s">
        <v>552</v>
      </c>
      <c r="G25" s="759" t="s">
        <v>68</v>
      </c>
      <c r="H25" s="760" t="s">
        <v>70</v>
      </c>
      <c r="I25" s="761"/>
      <c r="J25" s="713" t="s">
        <v>627</v>
      </c>
      <c r="K25" s="707" t="s">
        <v>628</v>
      </c>
      <c r="L25" s="733" t="s">
        <v>560</v>
      </c>
      <c r="M25" s="709" t="str">
        <f>iferror(vlookup(J25,'TỒN'!$A:$C,5,false),)</f>
        <v/>
      </c>
      <c r="N25" s="715">
        <v>9.4813992</v>
      </c>
      <c r="O25" s="716">
        <f t="shared" si="3"/>
        <v>2844400</v>
      </c>
      <c r="P25" s="717">
        <f t="shared" si="4"/>
        <v>2585800</v>
      </c>
    </row>
    <row r="26" ht="18.75" customHeight="1">
      <c r="A26" s="679"/>
      <c r="B26" s="762"/>
      <c r="C26" s="763"/>
      <c r="D26" s="764"/>
      <c r="E26" s="764"/>
      <c r="F26" s="764"/>
      <c r="G26" s="764"/>
      <c r="H26" s="765"/>
      <c r="I26" s="679"/>
      <c r="J26" s="726" t="s">
        <v>629</v>
      </c>
      <c r="K26" s="720" t="s">
        <v>630</v>
      </c>
      <c r="L26" s="727" t="s">
        <v>560</v>
      </c>
      <c r="M26" s="722" t="str">
        <f>iferror(vlookup(J26,'TỒN'!$A:$C,5,false),)</f>
        <v/>
      </c>
      <c r="N26" s="728">
        <v>10.502408</v>
      </c>
      <c r="O26" s="729">
        <f t="shared" si="3"/>
        <v>3150700</v>
      </c>
      <c r="P26" s="730">
        <f t="shared" si="4"/>
        <v>2864300</v>
      </c>
    </row>
    <row r="27" ht="18.75" customHeight="1">
      <c r="A27" s="679"/>
      <c r="B27" s="766" t="s">
        <v>631</v>
      </c>
      <c r="C27" s="231"/>
      <c r="D27" s="231"/>
      <c r="E27" s="231"/>
      <c r="F27" s="231"/>
      <c r="G27" s="231"/>
      <c r="H27" s="767"/>
      <c r="I27" s="679"/>
      <c r="J27" s="713" t="s">
        <v>632</v>
      </c>
      <c r="K27" s="707" t="s">
        <v>633</v>
      </c>
      <c r="L27" s="733" t="s">
        <v>560</v>
      </c>
      <c r="M27" s="709" t="str">
        <f>iferror(vlookup(J27,'TỒN'!$A:$C,5,false),)</f>
        <v/>
      </c>
      <c r="N27" s="715">
        <v>10.502408</v>
      </c>
      <c r="O27" s="716">
        <f t="shared" si="3"/>
        <v>3150700</v>
      </c>
      <c r="P27" s="717">
        <f t="shared" si="4"/>
        <v>2864300</v>
      </c>
    </row>
    <row r="28" ht="18.75" customHeight="1">
      <c r="A28" s="276"/>
      <c r="B28" s="768" t="s">
        <v>634</v>
      </c>
      <c r="C28" s="769" t="s">
        <v>635</v>
      </c>
      <c r="D28" s="770" t="s">
        <v>636</v>
      </c>
      <c r="E28" s="771">
        <f>iferror(vlookup(B28,'TỒN'!$A:$E,5,false),)</f>
        <v>84</v>
      </c>
      <c r="F28" s="772">
        <v>1.20714552</v>
      </c>
      <c r="G28" s="773">
        <f t="shared" ref="G28:G30" si="6">ROUND(F28*$D$3,-2)</f>
        <v>289700</v>
      </c>
      <c r="H28" s="774">
        <f t="shared" ref="H28:H30" si="7">IF(ISBLANK(G28),,ROUND(G28/1.1,-2))</f>
        <v>263400</v>
      </c>
      <c r="I28" s="679"/>
      <c r="J28" s="726" t="s">
        <v>637</v>
      </c>
      <c r="K28" s="720" t="s">
        <v>638</v>
      </c>
      <c r="L28" s="727" t="s">
        <v>560</v>
      </c>
      <c r="M28" s="722" t="str">
        <f>iferror(vlookup(J28,'TỒN'!$A:$C,5,false),)</f>
        <v/>
      </c>
      <c r="N28" s="728">
        <v>10.727461920000001</v>
      </c>
      <c r="O28" s="729">
        <f t="shared" si="3"/>
        <v>3218200</v>
      </c>
      <c r="P28" s="730">
        <f t="shared" si="4"/>
        <v>2925600</v>
      </c>
    </row>
    <row r="29" ht="18.75" customHeight="1">
      <c r="A29" s="276"/>
      <c r="B29" s="768" t="s">
        <v>639</v>
      </c>
      <c r="C29" s="769" t="s">
        <v>640</v>
      </c>
      <c r="D29" s="770" t="s">
        <v>636</v>
      </c>
      <c r="E29" s="771">
        <f>iferror(vlookup(B29,'TỒN'!$A:$E,5,false),)</f>
        <v>310</v>
      </c>
      <c r="F29" s="772">
        <v>1.52206362</v>
      </c>
      <c r="G29" s="773">
        <f t="shared" si="6"/>
        <v>365300</v>
      </c>
      <c r="H29" s="774">
        <f t="shared" si="7"/>
        <v>332100</v>
      </c>
      <c r="I29" s="679"/>
      <c r="J29" s="713" t="s">
        <v>641</v>
      </c>
      <c r="K29" s="707" t="s">
        <v>642</v>
      </c>
      <c r="L29" s="733" t="s">
        <v>560</v>
      </c>
      <c r="M29" s="709" t="str">
        <f>iferror(vlookup(J29,'TỒN'!$A:$C,5,false),)</f>
        <v/>
      </c>
      <c r="N29" s="715">
        <v>9.0741</v>
      </c>
      <c r="O29" s="716">
        <f t="shared" si="3"/>
        <v>2722200</v>
      </c>
      <c r="P29" s="717">
        <f t="shared" si="4"/>
        <v>2474700</v>
      </c>
    </row>
    <row r="30" ht="18.75" customHeight="1">
      <c r="A30" s="276"/>
      <c r="B30" s="768" t="s">
        <v>643</v>
      </c>
      <c r="C30" s="769" t="s">
        <v>644</v>
      </c>
      <c r="D30" s="770" t="s">
        <v>636</v>
      </c>
      <c r="E30" s="771">
        <f>iferror(vlookup(B30,'TỒN'!$A:$E,5,false),)</f>
        <v>3</v>
      </c>
      <c r="F30" s="772">
        <v>1.9995475499999995</v>
      </c>
      <c r="G30" s="773">
        <f t="shared" si="6"/>
        <v>479900</v>
      </c>
      <c r="H30" s="774">
        <f t="shared" si="7"/>
        <v>436300</v>
      </c>
      <c r="I30" s="679"/>
      <c r="J30" s="726" t="s">
        <v>645</v>
      </c>
      <c r="K30" s="720" t="s">
        <v>646</v>
      </c>
      <c r="L30" s="727" t="s">
        <v>560</v>
      </c>
      <c r="M30" s="722" t="str">
        <f>iferror(vlookup(J30,'TỒN'!$A:$C,5,false),)</f>
        <v/>
      </c>
      <c r="N30" s="728">
        <v>10.845072</v>
      </c>
      <c r="O30" s="729">
        <f t="shared" si="3"/>
        <v>3253500</v>
      </c>
      <c r="P30" s="730">
        <f t="shared" si="4"/>
        <v>2957700</v>
      </c>
    </row>
    <row r="31" ht="18.75" customHeight="1">
      <c r="A31" s="276"/>
      <c r="B31" s="775" t="s">
        <v>647</v>
      </c>
      <c r="C31" s="248"/>
      <c r="D31" s="248"/>
      <c r="E31" s="248"/>
      <c r="F31" s="248"/>
      <c r="G31" s="248"/>
      <c r="H31" s="776"/>
      <c r="I31" s="679"/>
      <c r="J31" s="713" t="s">
        <v>648</v>
      </c>
      <c r="K31" s="707" t="s">
        <v>649</v>
      </c>
      <c r="L31" s="733" t="s">
        <v>560</v>
      </c>
      <c r="M31" s="709" t="str">
        <f>iferror(vlookup(J31,'TỒN'!$A:$C,5,false),)</f>
        <v/>
      </c>
      <c r="N31" s="715">
        <v>8.503263999999998</v>
      </c>
      <c r="O31" s="716">
        <f t="shared" si="3"/>
        <v>2551000</v>
      </c>
      <c r="P31" s="717">
        <f t="shared" si="4"/>
        <v>2319100</v>
      </c>
    </row>
    <row r="32" ht="18.75" customHeight="1">
      <c r="A32" s="276"/>
      <c r="B32" s="768" t="s">
        <v>650</v>
      </c>
      <c r="C32" s="769" t="s">
        <v>651</v>
      </c>
      <c r="D32" s="770" t="s">
        <v>636</v>
      </c>
      <c r="E32" s="771" t="str">
        <f>iferror(vlookup(B32,'TỒN'!$A:$E,5,false),)</f>
        <v/>
      </c>
      <c r="F32" s="772">
        <v>1.4191174199999999</v>
      </c>
      <c r="G32" s="773">
        <f t="shared" ref="G32:G38" si="8">ROUND(F32*$D$3,-2)</f>
        <v>340600</v>
      </c>
      <c r="H32" s="774">
        <f t="shared" ref="H32:H38" si="9">IF(ISBLANK(G32),,ROUND(G32/1.1,-2))</f>
        <v>309600</v>
      </c>
      <c r="I32" s="679"/>
      <c r="J32" s="726" t="s">
        <v>652</v>
      </c>
      <c r="K32" s="720" t="s">
        <v>649</v>
      </c>
      <c r="L32" s="727" t="s">
        <v>560</v>
      </c>
      <c r="M32" s="722" t="str">
        <f>iferror(vlookup(J32,'TỒN'!$A:$C,5,false),)</f>
        <v/>
      </c>
      <c r="N32" s="728">
        <v>8.796479999999999</v>
      </c>
      <c r="O32" s="729">
        <f t="shared" si="3"/>
        <v>2638900</v>
      </c>
      <c r="P32" s="730">
        <f t="shared" si="4"/>
        <v>2399000</v>
      </c>
    </row>
    <row r="33" ht="18.75" customHeight="1">
      <c r="A33" s="276"/>
      <c r="B33" s="768" t="s">
        <v>653</v>
      </c>
      <c r="C33" s="769" t="s">
        <v>654</v>
      </c>
      <c r="D33" s="770" t="s">
        <v>636</v>
      </c>
      <c r="E33" s="771">
        <f>iferror(vlookup(B33,'TỒN'!$A:$E,5,false),)</f>
        <v>132</v>
      </c>
      <c r="F33" s="772">
        <v>1.6229833199999997</v>
      </c>
      <c r="G33" s="773">
        <f t="shared" si="8"/>
        <v>389500</v>
      </c>
      <c r="H33" s="774">
        <f t="shared" si="9"/>
        <v>354100</v>
      </c>
      <c r="I33" s="679"/>
      <c r="J33" s="713" t="s">
        <v>655</v>
      </c>
      <c r="K33" s="707" t="s">
        <v>656</v>
      </c>
      <c r="L33" s="733" t="s">
        <v>560</v>
      </c>
      <c r="M33" s="709" t="str">
        <f>iferror(vlookup(J33,'TỒN'!$A:$C,5,false),)</f>
        <v/>
      </c>
      <c r="N33" s="715">
        <v>9.098460000000001</v>
      </c>
      <c r="O33" s="716">
        <f t="shared" si="3"/>
        <v>2729500</v>
      </c>
      <c r="P33" s="717">
        <f t="shared" si="4"/>
        <v>2481400</v>
      </c>
    </row>
    <row r="34" ht="18.75" customHeight="1">
      <c r="A34" s="276"/>
      <c r="B34" s="768" t="s">
        <v>657</v>
      </c>
      <c r="C34" s="769" t="s">
        <v>658</v>
      </c>
      <c r="D34" s="770" t="s">
        <v>636</v>
      </c>
      <c r="E34" s="771">
        <f>iferror(vlookup(B34,'TỒN'!$A:$E,5,false),)</f>
        <v>109</v>
      </c>
      <c r="F34" s="772">
        <v>1.8187432199999998</v>
      </c>
      <c r="G34" s="773">
        <f t="shared" si="8"/>
        <v>436500</v>
      </c>
      <c r="H34" s="774">
        <f t="shared" si="9"/>
        <v>396800</v>
      </c>
      <c r="I34" s="679"/>
      <c r="J34" s="726" t="s">
        <v>659</v>
      </c>
      <c r="K34" s="720" t="s">
        <v>660</v>
      </c>
      <c r="L34" s="727" t="s">
        <v>560</v>
      </c>
      <c r="M34" s="722" t="str">
        <f>iferror(vlookup(J34,'TỒN'!$A:$C,5,false),)</f>
        <v/>
      </c>
      <c r="N34" s="728">
        <v>9.692032000000001</v>
      </c>
      <c r="O34" s="729">
        <f t="shared" si="3"/>
        <v>2907600</v>
      </c>
      <c r="P34" s="730">
        <f t="shared" si="4"/>
        <v>2643300</v>
      </c>
    </row>
    <row r="35" ht="18.75" customHeight="1">
      <c r="A35" s="276"/>
      <c r="B35" s="768" t="s">
        <v>661</v>
      </c>
      <c r="C35" s="769" t="s">
        <v>662</v>
      </c>
      <c r="D35" s="770" t="s">
        <v>636</v>
      </c>
      <c r="E35" s="771">
        <f>iferror(vlookup(B35,'TỒN'!$A:$E,5,false),)</f>
        <v>30</v>
      </c>
      <c r="F35" s="772">
        <v>2.5351920299999993</v>
      </c>
      <c r="G35" s="773">
        <f t="shared" si="8"/>
        <v>608400</v>
      </c>
      <c r="H35" s="774">
        <f t="shared" si="9"/>
        <v>553100</v>
      </c>
      <c r="I35" s="679"/>
      <c r="J35" s="713" t="s">
        <v>663</v>
      </c>
      <c r="K35" s="707" t="s">
        <v>664</v>
      </c>
      <c r="L35" s="733" t="s">
        <v>560</v>
      </c>
      <c r="M35" s="709" t="str">
        <f>iferror(vlookup(J35,'TỒN'!$A:$C,5,false),)</f>
        <v/>
      </c>
      <c r="N35" s="715">
        <v>10.28398</v>
      </c>
      <c r="O35" s="716">
        <f t="shared" si="3"/>
        <v>3085200</v>
      </c>
      <c r="P35" s="717">
        <f t="shared" si="4"/>
        <v>2804700</v>
      </c>
    </row>
    <row r="36" ht="18.75" customHeight="1">
      <c r="A36" s="276"/>
      <c r="B36" s="768" t="s">
        <v>665</v>
      </c>
      <c r="C36" s="769" t="s">
        <v>666</v>
      </c>
      <c r="D36" s="770" t="s">
        <v>636</v>
      </c>
      <c r="E36" s="771">
        <f>iferror(vlookup(B36,'TỒN'!$A:$E,5,false),)</f>
        <v>175</v>
      </c>
      <c r="F36" s="772">
        <v>2.85943203</v>
      </c>
      <c r="G36" s="773">
        <f t="shared" si="8"/>
        <v>686300</v>
      </c>
      <c r="H36" s="774">
        <f t="shared" si="9"/>
        <v>623900</v>
      </c>
      <c r="I36" s="679"/>
      <c r="J36" s="726" t="s">
        <v>667</v>
      </c>
      <c r="K36" s="720" t="s">
        <v>668</v>
      </c>
      <c r="L36" s="727" t="s">
        <v>560</v>
      </c>
      <c r="M36" s="722" t="str">
        <f>iferror(vlookup(J36,'TỒN'!$A:$C,5,false),)</f>
        <v/>
      </c>
      <c r="N36" s="728">
        <v>13.801564</v>
      </c>
      <c r="O36" s="729">
        <f t="shared" si="3"/>
        <v>4140500</v>
      </c>
      <c r="P36" s="730">
        <f t="shared" si="4"/>
        <v>3764100</v>
      </c>
    </row>
    <row r="37" ht="18.75" customHeight="1">
      <c r="A37" s="276"/>
      <c r="B37" s="768" t="s">
        <v>669</v>
      </c>
      <c r="C37" s="769" t="s">
        <v>670</v>
      </c>
      <c r="D37" s="770" t="s">
        <v>636</v>
      </c>
      <c r="E37" s="771">
        <f>iferror(vlookup(B37,'TỒN'!$A:$E,5,false),)</f>
        <v>1</v>
      </c>
      <c r="F37" s="772">
        <v>2.98904697</v>
      </c>
      <c r="G37" s="773">
        <f t="shared" si="8"/>
        <v>717400</v>
      </c>
      <c r="H37" s="774">
        <f t="shared" si="9"/>
        <v>652200</v>
      </c>
      <c r="I37" s="679"/>
      <c r="J37" s="713" t="s">
        <v>671</v>
      </c>
      <c r="K37" s="707" t="s">
        <v>672</v>
      </c>
      <c r="L37" s="733" t="s">
        <v>560</v>
      </c>
      <c r="M37" s="709" t="str">
        <f>iferror(vlookup(J37,'TỒN'!$A:$C,5,false),)</f>
        <v/>
      </c>
      <c r="N37" s="715">
        <v>14.961099999999998</v>
      </c>
      <c r="O37" s="716">
        <f t="shared" si="3"/>
        <v>4488300</v>
      </c>
      <c r="P37" s="717">
        <f t="shared" si="4"/>
        <v>4080300</v>
      </c>
    </row>
    <row r="38" ht="18.75" customHeight="1">
      <c r="A38" s="276"/>
      <c r="B38" s="768" t="s">
        <v>673</v>
      </c>
      <c r="C38" s="769" t="s">
        <v>674</v>
      </c>
      <c r="D38" s="770" t="s">
        <v>636</v>
      </c>
      <c r="E38" s="771">
        <f>iferror(vlookup(B38,'TỒN'!$A:$E,5,false),)</f>
        <v>8</v>
      </c>
      <c r="F38" s="772">
        <v>7.315665000000001</v>
      </c>
      <c r="G38" s="773">
        <f t="shared" si="8"/>
        <v>1755800</v>
      </c>
      <c r="H38" s="774">
        <f t="shared" si="9"/>
        <v>1596200</v>
      </c>
      <c r="I38" s="679"/>
      <c r="J38" s="726" t="s">
        <v>675</v>
      </c>
      <c r="K38" s="720" t="s">
        <v>676</v>
      </c>
      <c r="L38" s="727" t="s">
        <v>560</v>
      </c>
      <c r="M38" s="722" t="str">
        <f>iferror(vlookup(J38,'TỒN'!$A:$C,5,false),)</f>
        <v/>
      </c>
      <c r="N38" s="728">
        <v>11.3376312</v>
      </c>
      <c r="O38" s="729">
        <f t="shared" si="3"/>
        <v>3401300</v>
      </c>
      <c r="P38" s="730">
        <f t="shared" si="4"/>
        <v>3092100</v>
      </c>
    </row>
    <row r="39" ht="18.75" customHeight="1">
      <c r="A39" s="276"/>
      <c r="B39" s="775" t="s">
        <v>677</v>
      </c>
      <c r="C39" s="248"/>
      <c r="D39" s="248"/>
      <c r="E39" s="248"/>
      <c r="F39" s="248"/>
      <c r="G39" s="248"/>
      <c r="H39" s="776"/>
      <c r="I39" s="679"/>
      <c r="J39" s="713" t="s">
        <v>678</v>
      </c>
      <c r="K39" s="707" t="s">
        <v>679</v>
      </c>
      <c r="L39" s="733" t="s">
        <v>560</v>
      </c>
      <c r="M39" s="709" t="str">
        <f>iferror(vlookup(J39,'TỒN'!$A:$C,5,false),)</f>
        <v/>
      </c>
      <c r="N39" s="715">
        <v>28.66946264</v>
      </c>
      <c r="O39" s="716">
        <f t="shared" si="3"/>
        <v>8600800</v>
      </c>
      <c r="P39" s="717">
        <f t="shared" si="4"/>
        <v>7818900</v>
      </c>
    </row>
    <row r="40" ht="18.75" customHeight="1">
      <c r="A40" s="276"/>
      <c r="B40" s="768" t="s">
        <v>680</v>
      </c>
      <c r="C40" s="769" t="s">
        <v>681</v>
      </c>
      <c r="D40" s="770" t="s">
        <v>636</v>
      </c>
      <c r="E40" s="771">
        <f>iferror(vlookup(B40,'TỒN'!$A:$E,5,false),)</f>
        <v>0</v>
      </c>
      <c r="F40" s="777">
        <v>4.365364710000001</v>
      </c>
      <c r="G40" s="778">
        <f t="shared" ref="G40:G41" si="10">ROUND(F40*$D$3,-2)</f>
        <v>1047700</v>
      </c>
      <c r="H40" s="774">
        <f t="shared" ref="H40:H41" si="11">IF(ISBLANK(G40),,ROUND(G40/1.1,-2))</f>
        <v>952500</v>
      </c>
      <c r="I40" s="679"/>
      <c r="J40" s="779" t="s">
        <v>682</v>
      </c>
      <c r="K40" s="780" t="s">
        <v>683</v>
      </c>
      <c r="L40" s="781" t="s">
        <v>560</v>
      </c>
      <c r="M40" s="782" t="str">
        <f>iferror(vlookup(J40,'TỒN'!$A:$C,5,false),)</f>
        <v/>
      </c>
      <c r="N40" s="783">
        <v>16.173416</v>
      </c>
      <c r="O40" s="784">
        <f t="shared" si="3"/>
        <v>4852000</v>
      </c>
      <c r="P40" s="785">
        <f t="shared" si="4"/>
        <v>4410900</v>
      </c>
    </row>
    <row r="41" ht="18.75" customHeight="1">
      <c r="A41" s="276"/>
      <c r="B41" s="786" t="s">
        <v>684</v>
      </c>
      <c r="C41" s="787" t="s">
        <v>685</v>
      </c>
      <c r="D41" s="788" t="s">
        <v>636</v>
      </c>
      <c r="E41" s="789">
        <f>iferror(vlookup(B41,'TỒN'!$A:$E,5,false),)</f>
        <v>0</v>
      </c>
      <c r="F41" s="790">
        <v>5.27757342</v>
      </c>
      <c r="G41" s="790">
        <f t="shared" si="10"/>
        <v>1266600</v>
      </c>
      <c r="H41" s="791">
        <f t="shared" si="11"/>
        <v>1151500</v>
      </c>
      <c r="I41" s="679"/>
      <c r="J41" s="276"/>
      <c r="K41" s="276"/>
      <c r="L41" s="276"/>
      <c r="M41" s="276"/>
      <c r="N41" s="276"/>
      <c r="O41" s="276"/>
      <c r="P41" s="679"/>
    </row>
  </sheetData>
  <mergeCells count="24">
    <mergeCell ref="H5:H6"/>
    <mergeCell ref="J5:J6"/>
    <mergeCell ref="K5:K6"/>
    <mergeCell ref="L5:L6"/>
    <mergeCell ref="M5:M6"/>
    <mergeCell ref="N5:N6"/>
    <mergeCell ref="O5:O6"/>
    <mergeCell ref="P5:P6"/>
    <mergeCell ref="A5:A6"/>
    <mergeCell ref="B5:B6"/>
    <mergeCell ref="C5:C6"/>
    <mergeCell ref="D5:D6"/>
    <mergeCell ref="E5:E6"/>
    <mergeCell ref="F5:F6"/>
    <mergeCell ref="G5:G6"/>
    <mergeCell ref="B31:H31"/>
    <mergeCell ref="B39:H39"/>
    <mergeCell ref="B25:C26"/>
    <mergeCell ref="D25:D26"/>
    <mergeCell ref="E25:E26"/>
    <mergeCell ref="F25:F26"/>
    <mergeCell ref="G25:G26"/>
    <mergeCell ref="H25:H26"/>
    <mergeCell ref="B27:H27"/>
  </mergeCells>
  <conditionalFormatting sqref="J7:J40 L7:L40 K40">
    <cfRule type="expression" dxfId="0" priority="1">
      <formula>ISFORMULA(J7)</formula>
    </cfRule>
  </conditionalFormatting>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6.38"/>
    <col customWidth="1" min="2" max="3" width="8.88"/>
    <col customWidth="1" min="4" max="4" width="23.38"/>
    <col customWidth="1" min="5" max="5" width="16.88"/>
    <col customWidth="1" min="6" max="6" width="9.38"/>
    <col customWidth="1" min="7" max="7" width="15.38"/>
    <col customWidth="1" min="8" max="8" width="9.75"/>
    <col customWidth="1" min="9" max="10" width="10.63"/>
    <col customWidth="1" min="11" max="11" width="13.63"/>
    <col customWidth="1" min="12" max="12" width="12.75"/>
    <col customWidth="1" hidden="1" min="13" max="21" width="12.75"/>
    <col hidden="1" min="22" max="23" width="12.63"/>
  </cols>
  <sheetData>
    <row r="1">
      <c r="A1" s="467"/>
      <c r="B1" s="48"/>
      <c r="C1" s="48"/>
      <c r="D1" s="48"/>
      <c r="E1" s="48"/>
      <c r="F1" s="48"/>
      <c r="G1" s="48"/>
      <c r="H1" s="48"/>
      <c r="I1" s="48"/>
      <c r="J1" s="48"/>
      <c r="K1" s="48"/>
      <c r="L1" s="467"/>
      <c r="M1" s="467"/>
      <c r="N1" s="467"/>
      <c r="O1" s="467"/>
      <c r="P1" s="467"/>
      <c r="Q1" s="467"/>
      <c r="R1" s="467"/>
      <c r="S1" s="467"/>
      <c r="T1" s="467"/>
      <c r="U1" s="467"/>
      <c r="V1" s="467"/>
      <c r="W1" s="467"/>
    </row>
    <row r="2">
      <c r="A2" s="467" t="str">
        <f>IFERROR(__xludf.DUMMYFUNCTION("IMPORTRANGE(""https://docs.google.com/spreadsheets/d/1pco64LWA5xyufKnYiyby_d6QiH0hAquxv3p3fRcCjAk"",""Ống Đồng Luồn Xốp HCM!A2:T"")"),"")</f>
        <v/>
      </c>
      <c r="B2" s="48"/>
      <c r="C2" s="48"/>
      <c r="D2" s="792" t="str">
        <f>IFERROR(__xludf.DUMMYFUNCTION("""COMPUTED_VALUE"""),"GT HCM // CHÍNH SÁCH ỐNG ĐỒNG LUỒN XỐP")</f>
        <v>GT HCM // CHÍNH SÁCH ỐNG ĐỒNG LUỒN XỐP</v>
      </c>
      <c r="J2" s="48"/>
      <c r="K2" s="48"/>
      <c r="L2" s="467"/>
      <c r="M2" s="467"/>
      <c r="N2" s="467"/>
      <c r="O2" s="467"/>
      <c r="P2" s="467"/>
      <c r="Q2" s="467"/>
      <c r="R2" s="467"/>
      <c r="S2" s="467"/>
      <c r="T2" s="467"/>
      <c r="U2" s="467"/>
      <c r="V2" s="359"/>
      <c r="W2" s="359"/>
    </row>
    <row r="3">
      <c r="A3" s="467"/>
      <c r="B3" s="48"/>
      <c r="C3" s="48"/>
      <c r="J3" s="48"/>
      <c r="K3" s="48"/>
      <c r="L3" s="467"/>
      <c r="M3" s="467"/>
      <c r="N3" s="467"/>
      <c r="O3" s="467"/>
      <c r="P3" s="467"/>
      <c r="Q3" s="467"/>
      <c r="R3" s="467"/>
      <c r="S3" s="467"/>
      <c r="T3" s="467"/>
      <c r="U3" s="467"/>
      <c r="V3" s="49"/>
      <c r="W3" s="49"/>
    </row>
    <row r="4">
      <c r="A4" s="793"/>
      <c r="B4" s="793"/>
      <c r="C4" s="793"/>
      <c r="D4" s="467"/>
      <c r="E4" s="793"/>
      <c r="F4" s="794"/>
      <c r="G4" s="794"/>
      <c r="H4" s="794"/>
      <c r="I4" s="794"/>
      <c r="J4" s="793"/>
      <c r="K4" s="795"/>
      <c r="L4" s="793"/>
      <c r="M4" s="793"/>
      <c r="N4" s="793"/>
      <c r="O4" s="793"/>
      <c r="P4" s="793"/>
      <c r="Q4" s="793"/>
      <c r="R4" s="793"/>
      <c r="S4" s="793"/>
      <c r="T4" s="793"/>
      <c r="U4" s="793"/>
      <c r="V4" s="49"/>
      <c r="W4" s="49"/>
    </row>
    <row r="5">
      <c r="A5" s="793"/>
      <c r="B5" s="793"/>
      <c r="C5" s="793"/>
      <c r="D5" s="467"/>
      <c r="E5" s="793"/>
      <c r="F5" s="794"/>
      <c r="G5" s="794"/>
      <c r="H5" s="794"/>
      <c r="I5" s="794"/>
      <c r="J5" s="793"/>
      <c r="K5" s="795"/>
      <c r="L5" s="793"/>
      <c r="M5" s="793"/>
      <c r="N5" s="793"/>
      <c r="O5" s="793"/>
      <c r="P5" s="793"/>
      <c r="Q5" s="793"/>
      <c r="R5" s="793"/>
      <c r="S5" s="793"/>
      <c r="T5" s="793"/>
      <c r="U5" s="793"/>
      <c r="V5" s="49"/>
      <c r="W5" s="49"/>
    </row>
    <row r="6">
      <c r="A6" s="794"/>
      <c r="B6" s="794"/>
      <c r="C6" s="794"/>
      <c r="D6" s="467"/>
      <c r="E6" s="796" t="str">
        <f>IFERROR(__xludf.DUMMYFUNCTION("""COMPUTED_VALUE"""),"Toàn Phát")</f>
        <v>Toàn Phát</v>
      </c>
      <c r="F6" s="797" t="str">
        <f>IFERROR(__xludf.DUMMYFUNCTION("""COMPUTED_VALUE"""),"Giá niêm yết")</f>
        <v>Giá niêm yết</v>
      </c>
      <c r="G6" s="796" t="str">
        <f>IFERROR(__xludf.DUMMYFUNCTION("""COMPUTED_VALUE"""),"Hailiang")</f>
        <v>Hailiang</v>
      </c>
      <c r="H6" s="798" t="str">
        <f>IFERROR(__xludf.DUMMYFUNCTION("""COMPUTED_VALUE"""),"Giá niêm yết")</f>
        <v>Giá niêm yết</v>
      </c>
      <c r="I6" s="794"/>
      <c r="J6" s="467"/>
      <c r="K6" s="467"/>
      <c r="L6" s="467"/>
      <c r="M6" s="467"/>
      <c r="N6" s="467"/>
      <c r="O6" s="467"/>
      <c r="P6" s="467"/>
      <c r="Q6" s="467"/>
      <c r="R6" s="467"/>
      <c r="S6" s="467"/>
      <c r="T6" s="467"/>
      <c r="U6" s="467"/>
      <c r="V6" s="49"/>
      <c r="W6" s="49"/>
    </row>
    <row r="7">
      <c r="A7" s="794"/>
      <c r="B7" s="794"/>
      <c r="C7" s="794"/>
      <c r="D7" s="467"/>
      <c r="E7" s="799"/>
      <c r="F7" s="800">
        <f>IFERROR(__xludf.DUMMYFUNCTION("""COMPUTED_VALUE"""),247000.0)</f>
        <v>247000</v>
      </c>
      <c r="G7" s="799"/>
      <c r="H7" s="801">
        <f>IFERROR(__xludf.DUMMYFUNCTION("""COMPUTED_VALUE"""),245000.0)</f>
        <v>245000</v>
      </c>
      <c r="I7" s="794"/>
      <c r="J7" s="467"/>
      <c r="K7" s="467"/>
      <c r="L7" s="467"/>
      <c r="M7" s="467"/>
      <c r="N7" s="467"/>
      <c r="O7" s="467"/>
      <c r="P7" s="467"/>
      <c r="Q7" s="467"/>
      <c r="R7" s="467"/>
      <c r="S7" s="467"/>
      <c r="T7" s="467"/>
      <c r="U7" s="467"/>
      <c r="V7" s="467"/>
      <c r="W7" s="467"/>
    </row>
    <row r="8">
      <c r="A8" s="521"/>
      <c r="B8" s="521"/>
      <c r="C8" s="521"/>
      <c r="D8" s="521"/>
      <c r="E8" s="467"/>
      <c r="F8" s="467"/>
      <c r="G8" s="467"/>
      <c r="H8" s="467"/>
      <c r="I8" s="521"/>
      <c r="J8" s="521"/>
      <c r="K8" s="802"/>
      <c r="L8" s="521"/>
      <c r="M8" s="521"/>
      <c r="N8" s="521"/>
      <c r="O8" s="521"/>
      <c r="P8" s="521"/>
      <c r="Q8" s="521"/>
      <c r="R8" s="521"/>
      <c r="S8" s="521"/>
      <c r="T8" s="521"/>
      <c r="U8" s="521"/>
      <c r="V8" s="467"/>
      <c r="W8" s="467"/>
    </row>
    <row r="9">
      <c r="A9" s="521"/>
      <c r="B9" s="521"/>
      <c r="C9" s="521"/>
      <c r="D9" s="521"/>
      <c r="E9" s="467"/>
      <c r="F9" s="467"/>
      <c r="G9" s="467"/>
      <c r="H9" s="467"/>
      <c r="I9" s="521"/>
      <c r="J9" s="521"/>
      <c r="K9" s="802"/>
      <c r="L9" s="521"/>
      <c r="M9" s="521"/>
      <c r="N9" s="521"/>
      <c r="O9" s="521"/>
      <c r="P9" s="521"/>
      <c r="Q9" s="521"/>
      <c r="R9" s="521"/>
      <c r="S9" s="521"/>
      <c r="T9" s="521"/>
      <c r="U9" s="521"/>
      <c r="V9" s="467"/>
      <c r="W9" s="467"/>
    </row>
    <row r="10">
      <c r="A10" s="803" t="str">
        <f>IFERROR(__xludf.DUMMYFUNCTION("""COMPUTED_VALUE"""),"STT")</f>
        <v>STT</v>
      </c>
      <c r="B10" s="804" t="str">
        <f>IFERROR(__xludf.DUMMYFUNCTION("""COMPUTED_VALUE"""),"Mã Toàn Phát")</f>
        <v>Mã Toàn Phát</v>
      </c>
      <c r="C10" s="804" t="str">
        <f>IFERROR(__xludf.DUMMYFUNCTION("""COMPUTED_VALUE"""),"Mã Hailiang")</f>
        <v>Mã Hailiang</v>
      </c>
      <c r="D10" s="805" t="str">
        <f>IFERROR(__xludf.DUMMYFUNCTION("""COMPUTED_VALUE"""),"Mặt hàng")</f>
        <v>Mặt hàng</v>
      </c>
      <c r="E10" s="806"/>
      <c r="F10" s="807" t="str">
        <f>IFERROR(__xludf.DUMMYFUNCTION("""COMPUTED_VALUE"""),"ĐVT")</f>
        <v>ĐVT</v>
      </c>
      <c r="G10" s="808" t="str">
        <f>IFERROR(__xludf.DUMMYFUNCTION("""COMPUTED_VALUE"""),"Toàn Phát (Được cộng dồn các mã hàng)")</f>
        <v>Toàn Phát (Được cộng dồn các mã hàng)</v>
      </c>
      <c r="H10" s="809"/>
      <c r="I10" s="809"/>
      <c r="J10" s="810"/>
      <c r="K10" s="805" t="str">
        <f>IFERROR(__xludf.DUMMYFUNCTION("""COMPUTED_VALUE"""),"Hailiang")</f>
        <v>Hailiang</v>
      </c>
      <c r="L10" s="811" t="str">
        <f>IFERROR(__xludf.DUMMYFUNCTION("""COMPUTED_VALUE"""),"Quy cách")</f>
        <v>Quy cách</v>
      </c>
      <c r="M10" s="521"/>
      <c r="N10" s="812"/>
      <c r="O10" s="812"/>
      <c r="P10" s="813" t="str">
        <f>IFERROR(__xludf.DUMMYFUNCTION("""COMPUTED_VALUE"""),"Mã cân")</f>
        <v>Mã cân</v>
      </c>
      <c r="Q10" s="814"/>
      <c r="R10" s="814"/>
      <c r="S10" s="814"/>
      <c r="T10" s="814"/>
      <c r="U10" s="815"/>
      <c r="V10" s="467"/>
      <c r="W10" s="467"/>
    </row>
    <row r="11">
      <c r="A11" s="816"/>
      <c r="B11" s="817"/>
      <c r="C11" s="817"/>
      <c r="D11" s="818"/>
      <c r="E11" s="819"/>
      <c r="F11" s="817"/>
      <c r="G11" s="820" t="str">
        <f>IFERROR(__xludf.DUMMYFUNCTION("""COMPUTED_VALUE"""),"Bán lẻ")</f>
        <v>Bán lẻ</v>
      </c>
      <c r="H11" s="821" t="str">
        <f>IFERROR(__xludf.DUMMYFUNCTION("""COMPUTED_VALUE"""),"10c / 50tr ố đồng")</f>
        <v>10c / 50tr ố đồng</v>
      </c>
      <c r="I11" s="821" t="str">
        <f>IFERROR(__xludf.DUMMYFUNCTION("""COMPUTED_VALUE"""),"20c / 120tr ố đồng")</f>
        <v>20c / 120tr ố đồng</v>
      </c>
      <c r="J11" s="821" t="str">
        <f>IFERROR(__xludf.DUMMYFUNCTION("""COMPUTED_VALUE"""),"50c / 280tr ố đồng")</f>
        <v>50c / 280tr ố đồng</v>
      </c>
      <c r="K11" s="818"/>
      <c r="L11" s="822"/>
      <c r="M11" s="521"/>
      <c r="N11" s="812" t="str">
        <f>IFERROR(__xludf.DUMMYFUNCTION("""COMPUTED_VALUE"""),"Giá Max")</f>
        <v>Giá Max</v>
      </c>
      <c r="O11" s="812" t="str">
        <f>IFERROR(__xludf.DUMMYFUNCTION("""COMPUTED_VALUE"""),"Giá Min")</f>
        <v>Giá Min</v>
      </c>
      <c r="P11" s="823" t="str">
        <f>IFERROR(__xludf.DUMMYFUNCTION("""COMPUTED_VALUE"""),"Max")</f>
        <v>Max</v>
      </c>
      <c r="Q11" s="823" t="str">
        <f>IFERROR(__xludf.DUMMYFUNCTION("""COMPUTED_VALUE"""),"Bán lẻ")</f>
        <v>Bán lẻ</v>
      </c>
      <c r="R11" s="823" t="str">
        <f>IFERROR(__xludf.DUMMYFUNCTION("""COMPUTED_VALUE"""),"Khung 1")</f>
        <v>Khung 1</v>
      </c>
      <c r="S11" s="823" t="str">
        <f>IFERROR(__xludf.DUMMYFUNCTION("""COMPUTED_VALUE"""),"Khung 2")</f>
        <v>Khung 2</v>
      </c>
      <c r="T11" s="823" t="str">
        <f>IFERROR(__xludf.DUMMYFUNCTION("""COMPUTED_VALUE"""),"Khung 3")</f>
        <v>Khung 3</v>
      </c>
      <c r="U11" s="823"/>
      <c r="V11" s="467"/>
      <c r="W11" s="467"/>
    </row>
    <row r="12">
      <c r="A12" s="824">
        <f>IFERROR(__xludf.DUMMYFUNCTION("""COMPUTED_VALUE"""),1.0)</f>
        <v>1</v>
      </c>
      <c r="B12" s="825" t="str">
        <f>IFERROR(__xludf.DUMMYFUNCTION("""COMPUTED_VALUE"""),"ODLBOTS0610061")</f>
        <v>ODLBOTS0610061</v>
      </c>
      <c r="C12" s="825" t="str">
        <f>IFERROR(__xludf.DUMMYFUNCTION("""COMPUTED_VALUE"""),"ODLBOTSHL0610061")</f>
        <v>ODLBOTSHL0610061</v>
      </c>
      <c r="D12" s="826" t="str">
        <f>IFERROR(__xludf.DUMMYFUNCTION("""COMPUTED_VALUE"""),"Ống đồng luồn sẵn bảo ôn")</f>
        <v>Ống đồng luồn sẵn bảo ôn</v>
      </c>
      <c r="E12" s="827" t="str">
        <f>IFERROR(__xludf.DUMMYFUNCTION("""COMPUTED_VALUE"""),"(6+10) dày 0.61")</f>
        <v>(6+10) dày 0.61</v>
      </c>
      <c r="F12" s="828" t="str">
        <f>IFERROR(__xludf.DUMMYFUNCTION("""COMPUTED_VALUE"""),"cặp")</f>
        <v>cặp</v>
      </c>
      <c r="G12" s="829">
        <f>IFERROR(__xludf.DUMMYFUNCTION("""COMPUTED_VALUE"""),1035500.0)</f>
        <v>1035500</v>
      </c>
      <c r="H12" s="829">
        <f>IFERROR(__xludf.DUMMYFUNCTION("""COMPUTED_VALUE"""),1004100.0)</f>
        <v>1004100</v>
      </c>
      <c r="I12" s="829"/>
      <c r="J12" s="829"/>
      <c r="K12" s="830">
        <f>IFERROR(__xludf.DUMMYFUNCTION("""COMPUTED_VALUE"""),1026200.0)</f>
        <v>1026200</v>
      </c>
      <c r="L12" s="831" t="str">
        <f>IFERROR(__xludf.DUMMYFUNCTION("""COMPUTED_VALUE"""),"15m/cuộn")</f>
        <v>15m/cuộn</v>
      </c>
      <c r="M12" s="521"/>
      <c r="N12" s="829">
        <f>IFERROR(__xludf.DUMMYFUNCTION("""COMPUTED_VALUE"""),992300.0)</f>
        <v>992300</v>
      </c>
      <c r="O12" s="829">
        <f>IFERROR(__xludf.DUMMYFUNCTION("""COMPUTED_VALUE"""),896000.0)</f>
        <v>896000</v>
      </c>
      <c r="P12" s="832">
        <f>IFERROR(__xludf.DUMMYFUNCTION("""COMPUTED_VALUE"""),3.636111)</f>
        <v>3.636111</v>
      </c>
      <c r="Q12" s="833">
        <f>IFERROR(__xludf.DUMMYFUNCTION("""COMPUTED_VALUE"""),3.75)</f>
        <v>3.75</v>
      </c>
      <c r="R12" s="833">
        <f>IFERROR(__xludf.DUMMYFUNCTION("""COMPUTED_VALUE"""),3.63)</f>
        <v>3.63</v>
      </c>
      <c r="S12" s="832">
        <f>IFERROR(__xludf.DUMMYFUNCTION("""COMPUTED_VALUE"""),3.61)</f>
        <v>3.61</v>
      </c>
      <c r="T12" s="832">
        <f>IFERROR(__xludf.DUMMYFUNCTION("""COMPUTED_VALUE"""),3.59)</f>
        <v>3.59</v>
      </c>
      <c r="U12" s="832"/>
      <c r="V12" s="467"/>
      <c r="W12" s="467"/>
    </row>
    <row r="13">
      <c r="A13" s="834">
        <f>IFERROR(__xludf.DUMMYFUNCTION("""COMPUTED_VALUE"""),2.0)</f>
        <v>2</v>
      </c>
      <c r="B13" s="835" t="str">
        <f>IFERROR(__xludf.DUMMYFUNCTION("""COMPUTED_VALUE"""),"ODLBOTS0612061")</f>
        <v>ODLBOTS0612061</v>
      </c>
      <c r="C13" s="835" t="str">
        <f>IFERROR(__xludf.DUMMYFUNCTION("""COMPUTED_VALUE"""),"ODLBOTSHL0612061")</f>
        <v>ODLBOTSHL0612061</v>
      </c>
      <c r="D13" s="836" t="str">
        <f>IFERROR(__xludf.DUMMYFUNCTION("""COMPUTED_VALUE"""),"Ống đồng luồn sẵn bảo ôn")</f>
        <v>Ống đồng luồn sẵn bảo ôn</v>
      </c>
      <c r="E13" s="837" t="str">
        <f>IFERROR(__xludf.DUMMYFUNCTION("""COMPUTED_VALUE"""),"(6+12) dày 0.61")</f>
        <v>(6+12) dày 0.61</v>
      </c>
      <c r="F13" s="838" t="str">
        <f>IFERROR(__xludf.DUMMYFUNCTION("""COMPUTED_VALUE"""),"cặp")</f>
        <v>cặp</v>
      </c>
      <c r="G13" s="839">
        <f>IFERROR(__xludf.DUMMYFUNCTION("""COMPUTED_VALUE"""),1242200.0)</f>
        <v>1242200</v>
      </c>
      <c r="H13" s="839">
        <f>IFERROR(__xludf.DUMMYFUNCTION("""COMPUTED_VALUE"""),1202600.0)</f>
        <v>1202600</v>
      </c>
      <c r="I13" s="839"/>
      <c r="J13" s="839"/>
      <c r="K13" s="840">
        <f>IFERROR(__xludf.DUMMYFUNCTION("""COMPUTED_VALUE"""),1230600.0)</f>
        <v>1230600</v>
      </c>
      <c r="L13" s="841" t="str">
        <f>IFERROR(__xludf.DUMMYFUNCTION("""COMPUTED_VALUE"""),"15m/cuộn")</f>
        <v>15m/cuộn</v>
      </c>
      <c r="M13" s="521"/>
      <c r="N13" s="839">
        <f>IFERROR(__xludf.DUMMYFUNCTION("""COMPUTED_VALUE"""),1227200.0)</f>
        <v>1227200</v>
      </c>
      <c r="O13" s="839">
        <f>IFERROR(__xludf.DUMMYFUNCTION("""COMPUTED_VALUE"""),1094400.0)</f>
        <v>1094400</v>
      </c>
      <c r="P13" s="842">
        <f>IFERROR(__xludf.DUMMYFUNCTION("""COMPUTED_VALUE"""),4.425)</f>
        <v>4.425</v>
      </c>
      <c r="Q13" s="843">
        <f>IFERROR(__xludf.DUMMYFUNCTION("""COMPUTED_VALUE"""),4.57)</f>
        <v>4.57</v>
      </c>
      <c r="R13" s="843">
        <f>IFERROR(__xludf.DUMMYFUNCTION("""COMPUTED_VALUE"""),4.42)</f>
        <v>4.42</v>
      </c>
      <c r="S13" s="842">
        <f>IFERROR(__xludf.DUMMYFUNCTION("""COMPUTED_VALUE"""),4.390000000000001)</f>
        <v>4.39</v>
      </c>
      <c r="T13" s="842">
        <f>IFERROR(__xludf.DUMMYFUNCTION("""COMPUTED_VALUE"""),4.37)</f>
        <v>4.37</v>
      </c>
      <c r="U13" s="842"/>
      <c r="V13" s="467"/>
      <c r="W13" s="467"/>
    </row>
    <row r="14">
      <c r="A14" s="834">
        <f>IFERROR(__xludf.DUMMYFUNCTION("""COMPUTED_VALUE"""),3.0)</f>
        <v>3</v>
      </c>
      <c r="B14" s="835" t="str">
        <f>IFERROR(__xludf.DUMMYFUNCTION("""COMPUTED_VALUE"""),"ODLBOTS0610071")</f>
        <v>ODLBOTS0610071</v>
      </c>
      <c r="C14" s="835" t="str">
        <f>IFERROR(__xludf.DUMMYFUNCTION("""COMPUTED_VALUE"""),"ODLBOTSHL0610071")</f>
        <v>ODLBOTSHL0610071</v>
      </c>
      <c r="D14" s="836" t="str">
        <f>IFERROR(__xludf.DUMMYFUNCTION("""COMPUTED_VALUE"""),"Ống đồng luồn sẵn bảo ôn")</f>
        <v>Ống đồng luồn sẵn bảo ôn</v>
      </c>
      <c r="E14" s="837" t="str">
        <f>IFERROR(__xludf.DUMMYFUNCTION("""COMPUTED_VALUE"""),"(6+10) dày 0.71")</f>
        <v>(6+10) dày 0.71</v>
      </c>
      <c r="F14" s="838" t="str">
        <f>IFERROR(__xludf.DUMMYFUNCTION("""COMPUTED_VALUE"""),"cặp")</f>
        <v>cặp</v>
      </c>
      <c r="G14" s="839">
        <f>IFERROR(__xludf.DUMMYFUNCTION("""COMPUTED_VALUE"""),1173800.0)</f>
        <v>1173800</v>
      </c>
      <c r="H14" s="839">
        <f>IFERROR(__xludf.DUMMYFUNCTION("""COMPUTED_VALUE"""),1135000.0)</f>
        <v>1135000</v>
      </c>
      <c r="I14" s="839"/>
      <c r="J14" s="839"/>
      <c r="K14" s="840">
        <f>IFERROR(__xludf.DUMMYFUNCTION("""COMPUTED_VALUE"""),1163400.0)</f>
        <v>1163400</v>
      </c>
      <c r="L14" s="841" t="str">
        <f>IFERROR(__xludf.DUMMYFUNCTION("""COMPUTED_VALUE"""),"15m/cuộn")</f>
        <v>15m/cuộn</v>
      </c>
      <c r="M14" s="521"/>
      <c r="N14" s="839">
        <f>IFERROR(__xludf.DUMMYFUNCTION("""COMPUTED_VALUE"""),1158800.0)</f>
        <v>1158800</v>
      </c>
      <c r="O14" s="839">
        <f>IFERROR(__xludf.DUMMYFUNCTION("""COMPUTED_VALUE"""),1032600.0)</f>
        <v>1032600</v>
      </c>
      <c r="P14" s="842">
        <f>IFERROR(__xludf.DUMMYFUNCTION("""COMPUTED_VALUE"""),4.177778)</f>
        <v>4.177778</v>
      </c>
      <c r="Q14" s="843">
        <f>IFERROR(__xludf.DUMMYFUNCTION("""COMPUTED_VALUE"""),4.31)</f>
        <v>4.31</v>
      </c>
      <c r="R14" s="843">
        <f>IFERROR(__xludf.DUMMYFUNCTION("""COMPUTED_VALUE"""),4.16)</f>
        <v>4.16</v>
      </c>
      <c r="S14" s="842">
        <f>IFERROR(__xludf.DUMMYFUNCTION("""COMPUTED_VALUE"""),4.140000000000001)</f>
        <v>4.14</v>
      </c>
      <c r="T14" s="842">
        <f>IFERROR(__xludf.DUMMYFUNCTION("""COMPUTED_VALUE"""),4.12)</f>
        <v>4.12</v>
      </c>
      <c r="U14" s="842"/>
      <c r="V14" s="467"/>
      <c r="W14" s="467"/>
    </row>
    <row r="15">
      <c r="A15" s="834">
        <f>IFERROR(__xludf.DUMMYFUNCTION("""COMPUTED_VALUE"""),4.0)</f>
        <v>4</v>
      </c>
      <c r="B15" s="835" t="str">
        <f>IFERROR(__xludf.DUMMYFUNCTION("""COMPUTED_VALUE"""),"ODLBOTS0612071")</f>
        <v>ODLBOTS0612071</v>
      </c>
      <c r="C15" s="835" t="str">
        <f>IFERROR(__xludf.DUMMYFUNCTION("""COMPUTED_VALUE"""),"ODLBOTSHL0612071")</f>
        <v>ODLBOTSHL0612071</v>
      </c>
      <c r="D15" s="836" t="str">
        <f>IFERROR(__xludf.DUMMYFUNCTION("""COMPUTED_VALUE"""),"Ống đồng luồn sẵn bảo ôn")</f>
        <v>Ống đồng luồn sẵn bảo ôn</v>
      </c>
      <c r="E15" s="837" t="str">
        <f>IFERROR(__xludf.DUMMYFUNCTION("""COMPUTED_VALUE"""),"(6+12) dày 0.71")</f>
        <v>(6+12) dày 0.71</v>
      </c>
      <c r="F15" s="838" t="str">
        <f>IFERROR(__xludf.DUMMYFUNCTION("""COMPUTED_VALUE"""),"cặp")</f>
        <v>cặp</v>
      </c>
      <c r="G15" s="839">
        <f>IFERROR(__xludf.DUMMYFUNCTION("""COMPUTED_VALUE"""),1412700.0)</f>
        <v>1412700</v>
      </c>
      <c r="H15" s="839">
        <f>IFERROR(__xludf.DUMMYFUNCTION("""COMPUTED_VALUE"""),1363200.0)</f>
        <v>1363200</v>
      </c>
      <c r="I15" s="839"/>
      <c r="J15" s="839"/>
      <c r="K15" s="840">
        <f>IFERROR(__xludf.DUMMYFUNCTION("""COMPUTED_VALUE"""),1399600.0)</f>
        <v>1399600</v>
      </c>
      <c r="L15" s="841" t="str">
        <f>IFERROR(__xludf.DUMMYFUNCTION("""COMPUTED_VALUE"""),"15m/cuộn")</f>
        <v>15m/cuộn</v>
      </c>
      <c r="M15" s="521"/>
      <c r="N15" s="839">
        <f>IFERROR(__xludf.DUMMYFUNCTION("""COMPUTED_VALUE"""),1397700.0)</f>
        <v>1397700</v>
      </c>
      <c r="O15" s="839">
        <f>IFERROR(__xludf.DUMMYFUNCTION("""COMPUTED_VALUE"""),1254900.0)</f>
        <v>1254900</v>
      </c>
      <c r="P15" s="842">
        <f>IFERROR(__xludf.DUMMYFUNCTION("""COMPUTED_VALUE"""),5.104762)</f>
        <v>5.104762</v>
      </c>
      <c r="Q15" s="843">
        <f>IFERROR(__xludf.DUMMYFUNCTION("""COMPUTED_VALUE"""),5.26)</f>
        <v>5.26</v>
      </c>
      <c r="R15" s="843">
        <f>IFERROR(__xludf.DUMMYFUNCTION("""COMPUTED_VALUE"""),5.07)</f>
        <v>5.07</v>
      </c>
      <c r="S15" s="842">
        <f>IFERROR(__xludf.DUMMYFUNCTION("""COMPUTED_VALUE"""),5.050000000000001)</f>
        <v>5.05</v>
      </c>
      <c r="T15" s="842">
        <f>IFERROR(__xludf.DUMMYFUNCTION("""COMPUTED_VALUE"""),5.0200000000000005)</f>
        <v>5.02</v>
      </c>
      <c r="U15" s="842"/>
      <c r="V15" s="467"/>
      <c r="W15" s="467"/>
    </row>
    <row r="16">
      <c r="A16" s="834">
        <f>IFERROR(__xludf.DUMMYFUNCTION("""COMPUTED_VALUE"""),5.0)</f>
        <v>5</v>
      </c>
      <c r="B16" s="835" t="str">
        <f>IFERROR(__xludf.DUMMYFUNCTION("""COMPUTED_VALUE"""),"ODLBOTS0616071")</f>
        <v>ODLBOTS0616071</v>
      </c>
      <c r="C16" s="835" t="str">
        <f>IFERROR(__xludf.DUMMYFUNCTION("""COMPUTED_VALUE"""),"ODLBOTSHL0616071")</f>
        <v>ODLBOTSHL0616071</v>
      </c>
      <c r="D16" s="836" t="str">
        <f>IFERROR(__xludf.DUMMYFUNCTION("""COMPUTED_VALUE"""),"Ống đồng luồn sẵn bảo ôn")</f>
        <v>Ống đồng luồn sẵn bảo ôn</v>
      </c>
      <c r="E16" s="837" t="str">
        <f>IFERROR(__xludf.DUMMYFUNCTION("""COMPUTED_VALUE"""),"(6+16) dày 0.71")</f>
        <v>(6+16) dày 0.71</v>
      </c>
      <c r="F16" s="838" t="str">
        <f>IFERROR(__xludf.DUMMYFUNCTION("""COMPUTED_VALUE"""),"cặp")</f>
        <v>cặp</v>
      </c>
      <c r="G16" s="839">
        <f>IFERROR(__xludf.DUMMYFUNCTION("""COMPUTED_VALUE"""),1662700.0)</f>
        <v>1662700</v>
      </c>
      <c r="H16" s="839">
        <f>IFERROR(__xludf.DUMMYFUNCTION("""COMPUTED_VALUE"""),1597600.0)</f>
        <v>1597600</v>
      </c>
      <c r="I16" s="839"/>
      <c r="J16" s="839"/>
      <c r="K16" s="840">
        <f>IFERROR(__xludf.DUMMYFUNCTION("""COMPUTED_VALUE"""),1646900.0)</f>
        <v>1646900</v>
      </c>
      <c r="L16" s="841" t="str">
        <f>IFERROR(__xludf.DUMMYFUNCTION("""COMPUTED_VALUE"""),"15m/cuộn")</f>
        <v>15m/cuộn</v>
      </c>
      <c r="M16" s="521"/>
      <c r="N16" s="839">
        <f>IFERROR(__xludf.DUMMYFUNCTION("""COMPUTED_VALUE"""),1647700.0)</f>
        <v>1647700</v>
      </c>
      <c r="O16" s="839">
        <f>IFERROR(__xludf.DUMMYFUNCTION("""COMPUTED_VALUE"""),1469800.0)</f>
        <v>1469800</v>
      </c>
      <c r="P16" s="842">
        <f>IFERROR(__xludf.DUMMYFUNCTION("""COMPUTED_VALUE"""),6.013333)</f>
        <v>6.013333</v>
      </c>
      <c r="Q16" s="843">
        <f>IFERROR(__xludf.DUMMYFUNCTION("""COMPUTED_VALUE"""),6.199999999999999)</f>
        <v>6.2</v>
      </c>
      <c r="R16" s="843">
        <f>IFERROR(__xludf.DUMMYFUNCTION("""COMPUTED_VALUE"""),5.95)</f>
        <v>5.95</v>
      </c>
      <c r="S16" s="842">
        <f>IFERROR(__xludf.DUMMYFUNCTION("""COMPUTED_VALUE"""),5.92)</f>
        <v>5.92</v>
      </c>
      <c r="T16" s="842">
        <f>IFERROR(__xludf.DUMMYFUNCTION("""COMPUTED_VALUE"""),5.890000000000001)</f>
        <v>5.89</v>
      </c>
      <c r="U16" s="842"/>
      <c r="V16" s="467"/>
      <c r="W16" s="467"/>
    </row>
    <row r="17">
      <c r="A17" s="834">
        <f>IFERROR(__xludf.DUMMYFUNCTION("""COMPUTED_VALUE"""),6.0)</f>
        <v>6</v>
      </c>
      <c r="B17" s="835" t="str">
        <f>IFERROR(__xludf.DUMMYFUNCTION("""COMPUTED_VALUE"""),"ODLBOTS1016071")</f>
        <v>ODLBOTS1016071</v>
      </c>
      <c r="C17" s="835" t="str">
        <f>IFERROR(__xludf.DUMMYFUNCTION("""COMPUTED_VALUE"""),"ODLBOTSHL1016071")</f>
        <v>ODLBOTSHL1016071</v>
      </c>
      <c r="D17" s="836" t="str">
        <f>IFERROR(__xludf.DUMMYFUNCTION("""COMPUTED_VALUE"""),"Ống đồng luồn sẵn bảo ôn")</f>
        <v>Ống đồng luồn sẵn bảo ôn</v>
      </c>
      <c r="E17" s="837" t="str">
        <f>IFERROR(__xludf.DUMMYFUNCTION("""COMPUTED_VALUE"""),"(10+16) dày 0.71")</f>
        <v>(10+16) dày 0.71</v>
      </c>
      <c r="F17" s="838" t="str">
        <f>IFERROR(__xludf.DUMMYFUNCTION("""COMPUTED_VALUE"""),"cặp")</f>
        <v>cặp</v>
      </c>
      <c r="G17" s="839">
        <f>IFERROR(__xludf.DUMMYFUNCTION("""COMPUTED_VALUE"""),1910200.0)</f>
        <v>1910200</v>
      </c>
      <c r="H17" s="839">
        <f>IFERROR(__xludf.DUMMYFUNCTION("""COMPUTED_VALUE"""),1832700.0)</f>
        <v>1832700</v>
      </c>
      <c r="I17" s="839"/>
      <c r="J17" s="839"/>
      <c r="K17" s="840">
        <f>IFERROR(__xludf.DUMMYFUNCTION("""COMPUTED_VALUE"""),1892500.0)</f>
        <v>1892500</v>
      </c>
      <c r="L17" s="841" t="str">
        <f>IFERROR(__xludf.DUMMYFUNCTION("""COMPUTED_VALUE"""),"15m/cuộn")</f>
        <v>15m/cuộn</v>
      </c>
      <c r="M17" s="521"/>
      <c r="N17" s="839">
        <f>IFERROR(__xludf.DUMMYFUNCTION("""COMPUTED_VALUE"""),1895200.0)</f>
        <v>1895200</v>
      </c>
      <c r="O17" s="839">
        <f>IFERROR(__xludf.DUMMYFUNCTION("""COMPUTED_VALUE"""),1692100.0)</f>
        <v>1692100</v>
      </c>
      <c r="P17" s="842">
        <f>IFERROR(__xludf.DUMMYFUNCTION("""COMPUTED_VALUE"""),6.924444)</f>
        <v>6.924444</v>
      </c>
      <c r="Q17" s="843">
        <f>IFERROR(__xludf.DUMMYFUNCTION("""COMPUTED_VALUE"""),7.1499999999999995)</f>
        <v>7.15</v>
      </c>
      <c r="R17" s="843">
        <f>IFERROR(__xludf.DUMMYFUNCTION("""COMPUTED_VALUE"""),6.85)</f>
        <v>6.85</v>
      </c>
      <c r="S17" s="842">
        <f>IFERROR(__xludf.DUMMYFUNCTION("""COMPUTED_VALUE"""),6.82)</f>
        <v>6.82</v>
      </c>
      <c r="T17" s="842">
        <f>IFERROR(__xludf.DUMMYFUNCTION("""COMPUTED_VALUE"""),6.79)</f>
        <v>6.79</v>
      </c>
      <c r="U17" s="842"/>
      <c r="V17" s="467"/>
      <c r="W17" s="467"/>
    </row>
    <row r="18">
      <c r="A18" s="834">
        <f>IFERROR(__xludf.DUMMYFUNCTION("""COMPUTED_VALUE"""),7.0)</f>
        <v>7</v>
      </c>
      <c r="B18" s="835" t="str">
        <f>IFERROR(__xludf.DUMMYFUNCTION("""COMPUTED_VALUE"""),"ODLBOTS0610081")</f>
        <v>ODLBOTS0610081</v>
      </c>
      <c r="C18" s="835" t="str">
        <f>IFERROR(__xludf.DUMMYFUNCTION("""COMPUTED_VALUE"""),"ODLBOTSHL0610081")</f>
        <v>ODLBOTSHL0610081</v>
      </c>
      <c r="D18" s="836" t="str">
        <f>IFERROR(__xludf.DUMMYFUNCTION("""COMPUTED_VALUE"""),"Ống đồng luồn sẵn bảo ôn")</f>
        <v>Ống đồng luồn sẵn bảo ôn</v>
      </c>
      <c r="E18" s="837" t="str">
        <f>IFERROR(__xludf.DUMMYFUNCTION("""COMPUTED_VALUE"""),"(6+10) dày 0.81")</f>
        <v>(6+10) dày 0.81</v>
      </c>
      <c r="F18" s="838" t="str">
        <f>IFERROR(__xludf.DUMMYFUNCTION("""COMPUTED_VALUE"""),"cặp")</f>
        <v>cặp</v>
      </c>
      <c r="G18" s="839">
        <f>IFERROR(__xludf.DUMMYFUNCTION("""COMPUTED_VALUE"""),1304700.0)</f>
        <v>1304700</v>
      </c>
      <c r="H18" s="839">
        <f>IFERROR(__xludf.DUMMYFUNCTION("""COMPUTED_VALUE"""),1268400.0)</f>
        <v>1268400</v>
      </c>
      <c r="I18" s="839"/>
      <c r="J18" s="839"/>
      <c r="K18" s="840">
        <f>IFERROR(__xludf.DUMMYFUNCTION("""COMPUTED_VALUE"""),1293300.0)</f>
        <v>1293300</v>
      </c>
      <c r="L18" s="841" t="str">
        <f>IFERROR(__xludf.DUMMYFUNCTION("""COMPUTED_VALUE"""),"15m/cuộn")</f>
        <v>15m/cuộn</v>
      </c>
      <c r="M18" s="521"/>
      <c r="N18" s="839">
        <f>IFERROR(__xludf.DUMMYFUNCTION("""COMPUTED_VALUE"""),1289700.0)</f>
        <v>1289700</v>
      </c>
      <c r="O18" s="839">
        <f>IFERROR(__xludf.DUMMYFUNCTION("""COMPUTED_VALUE"""),1166000.0)</f>
        <v>1166000</v>
      </c>
      <c r="P18" s="842">
        <f>IFERROR(__xludf.DUMMYFUNCTION("""COMPUTED_VALUE"""),4.8)</f>
        <v>4.8</v>
      </c>
      <c r="Q18" s="843">
        <f>IFERROR(__xludf.DUMMYFUNCTION("""COMPUTED_VALUE"""),4.84)</f>
        <v>4.84</v>
      </c>
      <c r="R18" s="843">
        <f>IFERROR(__xludf.DUMMYFUNCTION("""COMPUTED_VALUE"""),4.7)</f>
        <v>4.7</v>
      </c>
      <c r="S18" s="842">
        <f>IFERROR(__xludf.DUMMYFUNCTION("""COMPUTED_VALUE"""),4.6899999999999995)</f>
        <v>4.69</v>
      </c>
      <c r="T18" s="842">
        <f>IFERROR(__xludf.DUMMYFUNCTION("""COMPUTED_VALUE"""),4.66)</f>
        <v>4.66</v>
      </c>
      <c r="U18" s="842"/>
      <c r="V18" s="467"/>
      <c r="W18" s="467"/>
    </row>
    <row r="19">
      <c r="A19" s="834">
        <f>IFERROR(__xludf.DUMMYFUNCTION("""COMPUTED_VALUE"""),8.0)</f>
        <v>8</v>
      </c>
      <c r="B19" s="835" t="str">
        <f>IFERROR(__xludf.DUMMYFUNCTION("""COMPUTED_VALUE"""),"ODLBOTS0612081")</f>
        <v>ODLBOTS0612081</v>
      </c>
      <c r="C19" s="835" t="str">
        <f>IFERROR(__xludf.DUMMYFUNCTION("""COMPUTED_VALUE"""),"ODLBOTSHL0612081")</f>
        <v>ODLBOTSHL0612081</v>
      </c>
      <c r="D19" s="836" t="str">
        <f>IFERROR(__xludf.DUMMYFUNCTION("""COMPUTED_VALUE"""),"Ống đồng luồn sẵn bảo ôn")</f>
        <v>Ống đồng luồn sẵn bảo ôn</v>
      </c>
      <c r="E19" s="837" t="str">
        <f>IFERROR(__xludf.DUMMYFUNCTION("""COMPUTED_VALUE"""),"(6+12) dày 0.81")</f>
        <v>(6+12) dày 0.81</v>
      </c>
      <c r="F19" s="838" t="str">
        <f>IFERROR(__xludf.DUMMYFUNCTION("""COMPUTED_VALUE"""),"cặp")</f>
        <v>cặp</v>
      </c>
      <c r="G19" s="839">
        <f>IFERROR(__xludf.DUMMYFUNCTION("""COMPUTED_VALUE"""),1575700.0)</f>
        <v>1575700</v>
      </c>
      <c r="H19" s="839">
        <f>IFERROR(__xludf.DUMMYFUNCTION("""COMPUTED_VALUE"""),1516300.0)</f>
        <v>1516300</v>
      </c>
      <c r="I19" s="839"/>
      <c r="J19" s="839"/>
      <c r="K19" s="840">
        <f>IFERROR(__xludf.DUMMYFUNCTION("""COMPUTED_VALUE"""),1561300.0)</f>
        <v>1561300</v>
      </c>
      <c r="L19" s="841" t="str">
        <f>IFERROR(__xludf.DUMMYFUNCTION("""COMPUTED_VALUE"""),"15m/cuộn")</f>
        <v>15m/cuộn</v>
      </c>
      <c r="M19" s="521"/>
      <c r="N19" s="839">
        <f>IFERROR(__xludf.DUMMYFUNCTION("""COMPUTED_VALUE"""),1560700.0)</f>
        <v>1560700</v>
      </c>
      <c r="O19" s="839">
        <f>IFERROR(__xludf.DUMMYFUNCTION("""COMPUTED_VALUE"""),1410600.0)</f>
        <v>1410600</v>
      </c>
      <c r="P19" s="842">
        <f>IFERROR(__xludf.DUMMYFUNCTION("""COMPUTED_VALUE"""),5.866667)</f>
        <v>5.866667</v>
      </c>
      <c r="Q19" s="843">
        <f>IFERROR(__xludf.DUMMYFUNCTION("""COMPUTED_VALUE"""),5.92)</f>
        <v>5.92</v>
      </c>
      <c r="R19" s="843">
        <f>IFERROR(__xludf.DUMMYFUNCTION("""COMPUTED_VALUE"""),5.6899999999999995)</f>
        <v>5.69</v>
      </c>
      <c r="S19" s="842">
        <f>IFERROR(__xludf.DUMMYFUNCTION("""COMPUTED_VALUE"""),5.67)</f>
        <v>5.67</v>
      </c>
      <c r="T19" s="842">
        <f>IFERROR(__xludf.DUMMYFUNCTION("""COMPUTED_VALUE"""),5.65)</f>
        <v>5.65</v>
      </c>
      <c r="U19" s="842"/>
      <c r="V19" s="49"/>
      <c r="W19" s="49"/>
    </row>
    <row r="20">
      <c r="A20" s="834">
        <f>IFERROR(__xludf.DUMMYFUNCTION("""COMPUTED_VALUE"""),9.0)</f>
        <v>9</v>
      </c>
      <c r="B20" s="835" t="str">
        <f>IFERROR(__xludf.DUMMYFUNCTION("""COMPUTED_VALUE"""),"ODLBOTS0616081")</f>
        <v>ODLBOTS0616081</v>
      </c>
      <c r="C20" s="835" t="str">
        <f>IFERROR(__xludf.DUMMYFUNCTION("""COMPUTED_VALUE"""),"ODLBOTSHL0616081")</f>
        <v>ODLBOTSHL0616081</v>
      </c>
      <c r="D20" s="836" t="str">
        <f>IFERROR(__xludf.DUMMYFUNCTION("""COMPUTED_VALUE"""),"Ống đồng luồn sẵn bảo ôn")</f>
        <v>Ống đồng luồn sẵn bảo ôn</v>
      </c>
      <c r="E20" s="837" t="str">
        <f>IFERROR(__xludf.DUMMYFUNCTION("""COMPUTED_VALUE"""),"(6+16) dày 0.81")</f>
        <v>(6+16) dày 0.81</v>
      </c>
      <c r="F20" s="838" t="str">
        <f>IFERROR(__xludf.DUMMYFUNCTION("""COMPUTED_VALUE"""),"cặp")</f>
        <v>cặp</v>
      </c>
      <c r="G20" s="839">
        <f>IFERROR(__xludf.DUMMYFUNCTION("""COMPUTED_VALUE"""),1862800.0)</f>
        <v>1862800</v>
      </c>
      <c r="H20" s="839">
        <f>IFERROR(__xludf.DUMMYFUNCTION("""COMPUTED_VALUE"""),1800100.0)</f>
        <v>1800100</v>
      </c>
      <c r="I20" s="839"/>
      <c r="J20" s="839"/>
      <c r="K20" s="840">
        <f>IFERROR(__xludf.DUMMYFUNCTION("""COMPUTED_VALUE"""),1845400.0)</f>
        <v>1845400</v>
      </c>
      <c r="L20" s="841" t="str">
        <f>IFERROR(__xludf.DUMMYFUNCTION("""COMPUTED_VALUE"""),"15m/cuộn")</f>
        <v>15m/cuộn</v>
      </c>
      <c r="M20" s="521"/>
      <c r="N20" s="839">
        <f>IFERROR(__xludf.DUMMYFUNCTION("""COMPUTED_VALUE"""),1847800.0)</f>
        <v>1847800</v>
      </c>
      <c r="O20" s="839">
        <f>IFERROR(__xludf.DUMMYFUNCTION("""COMPUTED_VALUE"""),1674800.0)</f>
        <v>1674800</v>
      </c>
      <c r="P20" s="842">
        <f>IFERROR(__xludf.DUMMYFUNCTION("""COMPUTED_VALUE"""),6.846667)</f>
        <v>6.846667</v>
      </c>
      <c r="Q20" s="843">
        <f>IFERROR(__xludf.DUMMYFUNCTION("""COMPUTED_VALUE"""),7.01)</f>
        <v>7.01</v>
      </c>
      <c r="R20" s="843">
        <f>IFERROR(__xludf.DUMMYFUNCTION("""COMPUTED_VALUE"""),6.7700000000000005)</f>
        <v>6.77</v>
      </c>
      <c r="S20" s="842">
        <f>IFERROR(__xludf.DUMMYFUNCTION("""COMPUTED_VALUE"""),6.75)</f>
        <v>6.75</v>
      </c>
      <c r="T20" s="842">
        <f>IFERROR(__xludf.DUMMYFUNCTION("""COMPUTED_VALUE"""),6.720000000000001)</f>
        <v>6.72</v>
      </c>
      <c r="U20" s="842"/>
      <c r="V20" s="49"/>
      <c r="W20" s="49"/>
    </row>
    <row r="21">
      <c r="A21" s="844">
        <f>IFERROR(__xludf.DUMMYFUNCTION("""COMPUTED_VALUE"""),10.0)</f>
        <v>10</v>
      </c>
      <c r="B21" s="845" t="str">
        <f>IFERROR(__xludf.DUMMYFUNCTION("""COMPUTED_VALUE"""),"ODLBOTS1016081")</f>
        <v>ODLBOTS1016081</v>
      </c>
      <c r="C21" s="845" t="str">
        <f>IFERROR(__xludf.DUMMYFUNCTION("""COMPUTED_VALUE"""),"ODLBOTSHL1016081")</f>
        <v>ODLBOTSHL1016081</v>
      </c>
      <c r="D21" s="846" t="str">
        <f>IFERROR(__xludf.DUMMYFUNCTION("""COMPUTED_VALUE"""),"Ống đồng luồn sẵn bảo ôn")</f>
        <v>Ống đồng luồn sẵn bảo ôn</v>
      </c>
      <c r="E21" s="847" t="str">
        <f>IFERROR(__xludf.DUMMYFUNCTION("""COMPUTED_VALUE"""),"(10+16) dày 0.81")</f>
        <v>(10+16) dày 0.81</v>
      </c>
      <c r="F21" s="848" t="str">
        <f>IFERROR(__xludf.DUMMYFUNCTION("""COMPUTED_VALUE"""),"cặp")</f>
        <v>cặp</v>
      </c>
      <c r="G21" s="849">
        <f>IFERROR(__xludf.DUMMYFUNCTION("""COMPUTED_VALUE"""),2142300.0)</f>
        <v>2142300</v>
      </c>
      <c r="H21" s="849">
        <f>IFERROR(__xludf.DUMMYFUNCTION("""COMPUTED_VALUE"""),2069800.0)</f>
        <v>2069800</v>
      </c>
      <c r="I21" s="849"/>
      <c r="J21" s="849"/>
      <c r="K21" s="850">
        <f>IFERROR(__xludf.DUMMYFUNCTION("""COMPUTED_VALUE"""),2122800.0)</f>
        <v>2122800</v>
      </c>
      <c r="L21" s="851" t="str">
        <f>IFERROR(__xludf.DUMMYFUNCTION("""COMPUTED_VALUE"""),"15m/cuộn")</f>
        <v>15m/cuộn</v>
      </c>
      <c r="M21" s="521"/>
      <c r="N21" s="849">
        <f>IFERROR(__xludf.DUMMYFUNCTION("""COMPUTED_VALUE"""),2127300.0)</f>
        <v>2127300</v>
      </c>
      <c r="O21" s="849">
        <f>IFERROR(__xludf.DUMMYFUNCTION("""COMPUTED_VALUE"""),1926800.0)</f>
        <v>1926800</v>
      </c>
      <c r="P21" s="852">
        <f>IFERROR(__xludf.DUMMYFUNCTION("""COMPUTED_VALUE"""),7.913333)</f>
        <v>7.913333</v>
      </c>
      <c r="Q21" s="853">
        <f>IFERROR(__xludf.DUMMYFUNCTION("""COMPUTED_VALUE"""),8.09)</f>
        <v>8.09</v>
      </c>
      <c r="R21" s="853">
        <f>IFERROR(__xludf.DUMMYFUNCTION("""COMPUTED_VALUE"""),7.8100000000000005)</f>
        <v>7.81</v>
      </c>
      <c r="S21" s="852">
        <f>IFERROR(__xludf.DUMMYFUNCTION("""COMPUTED_VALUE"""),7.779999999999999)</f>
        <v>7.78</v>
      </c>
      <c r="T21" s="852">
        <f>IFERROR(__xludf.DUMMYFUNCTION("""COMPUTED_VALUE"""),7.74)</f>
        <v>7.74</v>
      </c>
      <c r="U21" s="852"/>
      <c r="V21" s="49"/>
      <c r="W21" s="49"/>
    </row>
    <row r="22">
      <c r="A22" s="521"/>
      <c r="B22" s="521"/>
      <c r="C22" s="521"/>
      <c r="D22" s="521"/>
      <c r="E22" s="521"/>
      <c r="F22" s="521"/>
      <c r="G22" s="521"/>
      <c r="H22" s="802"/>
      <c r="I22" s="802"/>
      <c r="J22" s="521"/>
      <c r="K22" s="521"/>
      <c r="L22" s="521"/>
      <c r="M22" s="521"/>
      <c r="N22" s="521"/>
      <c r="O22" s="521"/>
      <c r="P22" s="521"/>
      <c r="Q22" s="521"/>
      <c r="R22" s="521"/>
      <c r="S22" s="521"/>
      <c r="T22" s="521"/>
      <c r="U22" s="521"/>
      <c r="V22" s="49"/>
      <c r="W22" s="49"/>
    </row>
    <row r="23">
      <c r="A23" s="521"/>
      <c r="B23" s="521"/>
      <c r="C23" s="521"/>
      <c r="D23" s="521"/>
      <c r="E23" s="854" t="str">
        <f>IFERROR(__xludf.DUMMYFUNCTION("""COMPUTED_VALUE"""),"PHÍ GIA CÔNG:")</f>
        <v>PHÍ GIA CÔNG:</v>
      </c>
      <c r="F23" s="855">
        <f>IFERROR(__xludf.DUMMYFUNCTION("""COMPUTED_VALUE"""),30000.0)</f>
        <v>30000</v>
      </c>
      <c r="G23" s="521"/>
      <c r="H23" s="802"/>
      <c r="I23" s="802"/>
      <c r="J23" s="521"/>
      <c r="K23" s="521"/>
      <c r="L23" s="521"/>
      <c r="M23" s="521"/>
      <c r="N23" s="521"/>
      <c r="O23" s="521"/>
      <c r="P23" s="521"/>
      <c r="Q23" s="521"/>
      <c r="R23" s="521"/>
      <c r="S23" s="521"/>
      <c r="T23" s="521"/>
      <c r="U23" s="521"/>
      <c r="V23" s="49"/>
      <c r="W23" s="49"/>
    </row>
    <row r="24">
      <c r="A24" s="521"/>
      <c r="B24" s="521"/>
      <c r="C24" s="521"/>
      <c r="D24" s="521"/>
      <c r="E24" s="521"/>
      <c r="F24" s="521"/>
      <c r="G24" s="521"/>
      <c r="H24" s="802"/>
      <c r="I24" s="802"/>
      <c r="J24" s="521"/>
      <c r="K24" s="521"/>
      <c r="L24" s="521"/>
      <c r="M24" s="521"/>
      <c r="N24" s="521"/>
      <c r="O24" s="521"/>
      <c r="P24" s="521"/>
      <c r="Q24" s="521"/>
      <c r="R24" s="521"/>
      <c r="S24" s="521"/>
      <c r="T24" s="521"/>
      <c r="U24" s="521"/>
      <c r="V24" s="49"/>
      <c r="W24" s="49"/>
    </row>
    <row r="25">
      <c r="A25" s="521"/>
      <c r="B25" s="521"/>
      <c r="C25" s="521"/>
      <c r="D25" s="856"/>
      <c r="E25" s="521"/>
      <c r="F25" s="521"/>
      <c r="G25" s="521"/>
      <c r="H25" s="802"/>
      <c r="I25" s="802"/>
      <c r="J25" s="521"/>
      <c r="K25" s="521"/>
      <c r="L25" s="521"/>
      <c r="M25" s="521"/>
      <c r="N25" s="521"/>
      <c r="O25" s="521"/>
      <c r="P25" s="521"/>
      <c r="Q25" s="521"/>
      <c r="R25" s="521"/>
      <c r="S25" s="521"/>
      <c r="T25" s="521"/>
      <c r="U25" s="521"/>
      <c r="V25" s="49"/>
      <c r="W25" s="49"/>
    </row>
    <row r="26">
      <c r="A26" s="521"/>
      <c r="B26" s="521"/>
      <c r="C26" s="521"/>
      <c r="D26" s="856" t="str">
        <f>IFERROR(__xludf.DUMMYFUNCTION("""COMPUTED_VALUE"""),"* Giữ giá Hàng D, Taisei 1 tuần, Toàn Phát theo ngày.")</f>
        <v>* Giữ giá Hàng D, Taisei 1 tuần, Toàn Phát theo ngày.</v>
      </c>
      <c r="E26" s="521"/>
      <c r="F26" s="521"/>
      <c r="G26" s="521"/>
      <c r="H26" s="802"/>
      <c r="I26" s="802"/>
      <c r="J26" s="521"/>
      <c r="K26" s="521"/>
      <c r="L26" s="521"/>
      <c r="M26" s="521"/>
      <c r="N26" s="521"/>
      <c r="O26" s="521"/>
      <c r="P26" s="521"/>
      <c r="Q26" s="521"/>
      <c r="R26" s="467"/>
      <c r="S26" s="467"/>
      <c r="T26" s="467"/>
      <c r="U26" s="467"/>
      <c r="V26" s="49"/>
      <c r="W26" s="49"/>
    </row>
    <row r="27">
      <c r="A27" s="521"/>
      <c r="B27" s="521"/>
      <c r="C27" s="521"/>
      <c r="D27" s="521"/>
      <c r="E27" s="521"/>
      <c r="F27" s="521"/>
      <c r="G27" s="521"/>
      <c r="H27" s="521"/>
      <c r="I27" s="521"/>
      <c r="J27" s="521"/>
      <c r="K27" s="521"/>
      <c r="L27" s="521"/>
      <c r="M27" s="521"/>
      <c r="N27" s="521"/>
      <c r="O27" s="521"/>
      <c r="P27" s="521"/>
      <c r="Q27" s="521"/>
      <c r="R27" s="467"/>
      <c r="S27" s="467"/>
      <c r="T27" s="467"/>
      <c r="U27" s="467"/>
      <c r="V27" s="49"/>
      <c r="W27" s="49"/>
    </row>
    <row r="28">
      <c r="A28" s="521"/>
      <c r="B28" s="521"/>
      <c r="C28" s="521"/>
      <c r="D28" s="521"/>
      <c r="E28" s="521"/>
      <c r="F28" s="521"/>
      <c r="G28" s="521"/>
      <c r="H28" s="521"/>
      <c r="I28" s="521"/>
      <c r="J28" s="521"/>
      <c r="K28" s="521"/>
      <c r="L28" s="521"/>
      <c r="M28" s="521"/>
      <c r="N28" s="521"/>
      <c r="O28" s="521"/>
      <c r="P28" s="521"/>
      <c r="Q28" s="521"/>
      <c r="R28" s="467"/>
      <c r="S28" s="467"/>
      <c r="T28" s="467"/>
      <c r="U28" s="467"/>
      <c r="V28" s="49"/>
      <c r="W28" s="49"/>
    </row>
    <row r="29">
      <c r="A29" s="521"/>
      <c r="B29" s="521"/>
      <c r="C29" s="521"/>
      <c r="D29" s="521"/>
      <c r="E29" s="521"/>
      <c r="F29" s="521"/>
      <c r="G29" s="521"/>
      <c r="H29" s="521"/>
      <c r="I29" s="521"/>
      <c r="J29" s="521"/>
      <c r="K29" s="521"/>
      <c r="L29" s="521"/>
      <c r="M29" s="521"/>
      <c r="N29" s="521"/>
      <c r="O29" s="521"/>
      <c r="P29" s="521"/>
      <c r="Q29" s="521"/>
      <c r="R29" s="467"/>
      <c r="S29" s="467"/>
      <c r="T29" s="467"/>
      <c r="U29" s="467"/>
      <c r="V29" s="49"/>
      <c r="W29" s="49"/>
    </row>
  </sheetData>
  <mergeCells count="12">
    <mergeCell ref="F10:F11"/>
    <mergeCell ref="G10:J10"/>
    <mergeCell ref="K10:K11"/>
    <mergeCell ref="L10:L11"/>
    <mergeCell ref="P10:U10"/>
    <mergeCell ref="D2:I3"/>
    <mergeCell ref="E6:E7"/>
    <mergeCell ref="G6:G7"/>
    <mergeCell ref="A10:A11"/>
    <mergeCell ref="B10:B11"/>
    <mergeCell ref="C10:C11"/>
    <mergeCell ref="D10:E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hidden="1" min="1" max="1" width="5.25"/>
    <col customWidth="1" hidden="1" min="2" max="2" width="11.13"/>
    <col customWidth="1" hidden="1" min="3" max="3" width="20.63"/>
    <col customWidth="1" hidden="1" min="4" max="5" width="11.0"/>
    <col customWidth="1" hidden="1" min="6" max="6" width="10.75"/>
    <col customWidth="1" hidden="1" min="7" max="7" width="10.88"/>
    <col customWidth="1" hidden="1" min="8" max="8" width="11.13"/>
    <col customWidth="1" hidden="1" min="9" max="9" width="11.5"/>
    <col customWidth="1" hidden="1" min="10" max="10" width="10.63"/>
    <col customWidth="1" hidden="1" min="11" max="11" width="14.88"/>
    <col customWidth="1" hidden="1" min="12" max="12" width="12.38"/>
    <col customWidth="1" hidden="1" min="13" max="13" width="10.88"/>
    <col customWidth="1" hidden="1" min="14" max="14" width="7.25"/>
    <col customWidth="1" hidden="1" min="15" max="15" width="8.88"/>
    <col customWidth="1" hidden="1" min="16" max="16" width="13.88"/>
    <col customWidth="1" min="17" max="17" width="7.25"/>
  </cols>
  <sheetData>
    <row r="1">
      <c r="A1" s="857" t="s">
        <v>686</v>
      </c>
      <c r="O1" s="858"/>
      <c r="P1" s="858"/>
      <c r="Q1" s="859"/>
    </row>
    <row r="2">
      <c r="A2" s="857"/>
      <c r="B2" s="857"/>
      <c r="C2" s="857"/>
      <c r="D2" s="857"/>
      <c r="E2" s="857"/>
      <c r="F2" s="857"/>
      <c r="G2" s="857"/>
      <c r="H2" s="857"/>
      <c r="I2" s="857"/>
      <c r="J2" s="857"/>
      <c r="K2" s="857"/>
      <c r="L2" s="857"/>
      <c r="M2" s="857"/>
      <c r="N2" s="857"/>
      <c r="O2" s="858"/>
      <c r="P2" s="858"/>
      <c r="Q2" s="859"/>
    </row>
    <row r="3" ht="23.25" customHeight="1">
      <c r="A3" s="859"/>
      <c r="B3" s="859"/>
      <c r="C3" s="860" t="s">
        <v>424</v>
      </c>
      <c r="D3" s="861">
        <v>240000.0</v>
      </c>
      <c r="E3" s="862" t="s">
        <v>687</v>
      </c>
      <c r="F3" s="863"/>
      <c r="G3" s="860"/>
      <c r="H3" s="864"/>
      <c r="I3" s="861"/>
      <c r="J3" s="50"/>
      <c r="K3" s="859"/>
      <c r="L3" s="859"/>
      <c r="M3" s="859"/>
      <c r="N3" s="858"/>
      <c r="O3" s="858"/>
      <c r="P3" s="858"/>
      <c r="Q3" s="859"/>
    </row>
    <row r="4">
      <c r="A4" s="859"/>
      <c r="B4" s="859"/>
      <c r="C4" s="859"/>
      <c r="D4" s="859"/>
      <c r="E4" s="859"/>
      <c r="F4" s="859"/>
      <c r="G4" s="859"/>
      <c r="H4" s="864"/>
      <c r="I4" s="859"/>
      <c r="J4" s="859"/>
      <c r="K4" s="859"/>
      <c r="L4" s="859"/>
      <c r="M4" s="859"/>
      <c r="N4" s="858"/>
      <c r="O4" s="858"/>
      <c r="P4" s="858"/>
      <c r="Q4" s="859"/>
    </row>
    <row r="5">
      <c r="A5" s="865" t="s">
        <v>310</v>
      </c>
      <c r="B5" s="866" t="s">
        <v>427</v>
      </c>
      <c r="C5" s="866" t="s">
        <v>688</v>
      </c>
      <c r="D5" s="866"/>
      <c r="E5" s="866" t="s">
        <v>202</v>
      </c>
      <c r="F5" s="867" t="s">
        <v>689</v>
      </c>
      <c r="G5" s="867" t="s">
        <v>430</v>
      </c>
      <c r="H5" s="867" t="s">
        <v>690</v>
      </c>
      <c r="I5" s="867" t="s">
        <v>691</v>
      </c>
      <c r="J5" s="868" t="s">
        <v>692</v>
      </c>
      <c r="K5" s="868" t="s">
        <v>693</v>
      </c>
      <c r="L5" s="868" t="s">
        <v>694</v>
      </c>
      <c r="M5" s="869" t="s">
        <v>695</v>
      </c>
      <c r="N5" s="859"/>
      <c r="O5" s="870" t="s">
        <v>423</v>
      </c>
      <c r="P5" s="535"/>
      <c r="Q5" s="858"/>
    </row>
    <row r="6" ht="18.75" customHeight="1">
      <c r="A6" s="871"/>
      <c r="B6" s="300"/>
      <c r="C6" s="300"/>
      <c r="D6" s="300"/>
      <c r="E6" s="300"/>
      <c r="F6" s="300"/>
      <c r="G6" s="300"/>
      <c r="H6" s="300"/>
      <c r="I6" s="300"/>
      <c r="J6" s="872" t="s">
        <v>161</v>
      </c>
      <c r="K6" s="872" t="s">
        <v>162</v>
      </c>
      <c r="L6" s="872" t="s">
        <v>163</v>
      </c>
      <c r="M6" s="873"/>
      <c r="N6" s="874"/>
      <c r="O6" s="872" t="s">
        <v>425</v>
      </c>
      <c r="P6" s="872" t="s">
        <v>426</v>
      </c>
      <c r="Q6" s="858"/>
    </row>
    <row r="7" ht="18.75" customHeight="1">
      <c r="A7" s="875">
        <v>1.0</v>
      </c>
      <c r="B7" s="876" t="s">
        <v>433</v>
      </c>
      <c r="C7" s="877" t="s">
        <v>434</v>
      </c>
      <c r="D7" s="878" t="s">
        <v>435</v>
      </c>
      <c r="E7" s="877" t="s">
        <v>436</v>
      </c>
      <c r="F7" s="879">
        <v>1.42</v>
      </c>
      <c r="G7" s="877">
        <v>10.0</v>
      </c>
      <c r="H7" s="880">
        <f t="shared" ref="H7:H21" si="1">ROUND(F7*$D$3/1.1,0)</f>
        <v>309818</v>
      </c>
      <c r="I7" s="881">
        <f t="shared" ref="I7:I21" si="2">ROUND(H7*0.98,-2)</f>
        <v>303600</v>
      </c>
      <c r="J7" s="881">
        <f t="shared" ref="J7:J21" si="3">ROUND(H7*0.97,-2)</f>
        <v>300500</v>
      </c>
      <c r="K7" s="881">
        <f t="shared" ref="K7:K21" si="4">ROUND(H7*0.965,-2)</f>
        <v>299000</v>
      </c>
      <c r="L7" s="881">
        <f t="shared" ref="L7:L21" si="5">ROUND(H7*0.96,-2)</f>
        <v>297400</v>
      </c>
      <c r="M7" s="882">
        <f t="shared" ref="M7:M21" si="6">ROUND(F7*$D$3,0)</f>
        <v>340800</v>
      </c>
      <c r="N7" s="874"/>
      <c r="O7" s="883">
        <v>258000.0</v>
      </c>
      <c r="P7" s="884">
        <v>44732.0</v>
      </c>
      <c r="Q7" s="858"/>
    </row>
    <row r="8" ht="18.75" customHeight="1">
      <c r="A8" s="885">
        <v>2.0</v>
      </c>
      <c r="B8" s="886" t="s">
        <v>437</v>
      </c>
      <c r="C8" s="887" t="s">
        <v>434</v>
      </c>
      <c r="D8" s="888" t="s">
        <v>438</v>
      </c>
      <c r="E8" s="887" t="s">
        <v>436</v>
      </c>
      <c r="F8" s="889">
        <v>1.62</v>
      </c>
      <c r="G8" s="887">
        <v>10.0</v>
      </c>
      <c r="H8" s="890">
        <f t="shared" si="1"/>
        <v>353455</v>
      </c>
      <c r="I8" s="881">
        <f t="shared" si="2"/>
        <v>346400</v>
      </c>
      <c r="J8" s="881">
        <f t="shared" si="3"/>
        <v>342900</v>
      </c>
      <c r="K8" s="881">
        <f t="shared" si="4"/>
        <v>341100</v>
      </c>
      <c r="L8" s="881">
        <f t="shared" si="5"/>
        <v>339300</v>
      </c>
      <c r="M8" s="891">
        <f t="shared" si="6"/>
        <v>388800</v>
      </c>
      <c r="N8" s="874"/>
      <c r="O8" s="892">
        <v>251000.0</v>
      </c>
      <c r="P8" s="893">
        <v>44735.0</v>
      </c>
      <c r="Q8" s="858"/>
    </row>
    <row r="9" ht="18.75" customHeight="1">
      <c r="A9" s="875">
        <v>3.0</v>
      </c>
      <c r="B9" s="876" t="s">
        <v>439</v>
      </c>
      <c r="C9" s="877" t="s">
        <v>434</v>
      </c>
      <c r="D9" s="878" t="s">
        <v>440</v>
      </c>
      <c r="E9" s="877" t="s">
        <v>436</v>
      </c>
      <c r="F9" s="879">
        <v>1.82</v>
      </c>
      <c r="G9" s="877">
        <v>10.0</v>
      </c>
      <c r="H9" s="880">
        <f t="shared" si="1"/>
        <v>397091</v>
      </c>
      <c r="I9" s="881">
        <f t="shared" si="2"/>
        <v>389100</v>
      </c>
      <c r="J9" s="881">
        <f t="shared" si="3"/>
        <v>385200</v>
      </c>
      <c r="K9" s="881">
        <f t="shared" si="4"/>
        <v>383200</v>
      </c>
      <c r="L9" s="881">
        <f t="shared" si="5"/>
        <v>381200</v>
      </c>
      <c r="M9" s="882">
        <f t="shared" si="6"/>
        <v>436800</v>
      </c>
      <c r="N9" s="874"/>
      <c r="O9" s="892">
        <v>246000.0</v>
      </c>
      <c r="P9" s="893">
        <v>44741.0</v>
      </c>
      <c r="Q9" s="858"/>
    </row>
    <row r="10" ht="18.75" customHeight="1">
      <c r="A10" s="885">
        <v>4.0</v>
      </c>
      <c r="B10" s="886" t="s">
        <v>442</v>
      </c>
      <c r="C10" s="887" t="s">
        <v>434</v>
      </c>
      <c r="D10" s="888" t="s">
        <v>443</v>
      </c>
      <c r="E10" s="887" t="s">
        <v>436</v>
      </c>
      <c r="F10" s="889">
        <v>2.2</v>
      </c>
      <c r="G10" s="887">
        <v>10.0</v>
      </c>
      <c r="H10" s="890">
        <f t="shared" si="1"/>
        <v>480000</v>
      </c>
      <c r="I10" s="881">
        <f t="shared" si="2"/>
        <v>470400</v>
      </c>
      <c r="J10" s="881">
        <f t="shared" si="3"/>
        <v>465600</v>
      </c>
      <c r="K10" s="881">
        <f t="shared" si="4"/>
        <v>463200</v>
      </c>
      <c r="L10" s="881">
        <f t="shared" si="5"/>
        <v>460800</v>
      </c>
      <c r="M10" s="891">
        <f t="shared" si="6"/>
        <v>528000</v>
      </c>
      <c r="N10" s="874"/>
      <c r="O10" s="883">
        <v>238000.0</v>
      </c>
      <c r="P10" s="884">
        <v>44748.0</v>
      </c>
      <c r="Q10" s="858"/>
    </row>
    <row r="11" ht="18.75" customHeight="1">
      <c r="A11" s="875">
        <v>5.0</v>
      </c>
      <c r="B11" s="876" t="s">
        <v>444</v>
      </c>
      <c r="C11" s="877" t="s">
        <v>434</v>
      </c>
      <c r="D11" s="878" t="s">
        <v>445</v>
      </c>
      <c r="E11" s="877" t="s">
        <v>436</v>
      </c>
      <c r="F11" s="879">
        <v>2.52</v>
      </c>
      <c r="G11" s="877">
        <v>10.0</v>
      </c>
      <c r="H11" s="880">
        <f t="shared" si="1"/>
        <v>549818</v>
      </c>
      <c r="I11" s="881">
        <f t="shared" si="2"/>
        <v>538800</v>
      </c>
      <c r="J11" s="881">
        <f t="shared" si="3"/>
        <v>533300</v>
      </c>
      <c r="K11" s="881">
        <f t="shared" si="4"/>
        <v>530600</v>
      </c>
      <c r="L11" s="881">
        <f t="shared" si="5"/>
        <v>527800</v>
      </c>
      <c r="M11" s="882">
        <f t="shared" si="6"/>
        <v>604800</v>
      </c>
      <c r="N11" s="874"/>
      <c r="O11" s="892">
        <v>245000.0</v>
      </c>
      <c r="P11" s="893">
        <v>44753.0</v>
      </c>
      <c r="Q11" s="858"/>
    </row>
    <row r="12" ht="18.75" customHeight="1">
      <c r="A12" s="885">
        <v>6.0</v>
      </c>
      <c r="B12" s="886" t="s">
        <v>446</v>
      </c>
      <c r="C12" s="887" t="s">
        <v>434</v>
      </c>
      <c r="D12" s="888" t="s">
        <v>447</v>
      </c>
      <c r="E12" s="887" t="s">
        <v>436</v>
      </c>
      <c r="F12" s="889">
        <v>2.86</v>
      </c>
      <c r="G12" s="887">
        <v>10.0</v>
      </c>
      <c r="H12" s="890">
        <f t="shared" si="1"/>
        <v>624000</v>
      </c>
      <c r="I12" s="881">
        <f t="shared" si="2"/>
        <v>611500</v>
      </c>
      <c r="J12" s="881">
        <f t="shared" si="3"/>
        <v>605300</v>
      </c>
      <c r="K12" s="881">
        <f t="shared" si="4"/>
        <v>602200</v>
      </c>
      <c r="L12" s="881">
        <f t="shared" si="5"/>
        <v>599000</v>
      </c>
      <c r="M12" s="891">
        <f t="shared" si="6"/>
        <v>686400</v>
      </c>
      <c r="N12" s="874"/>
      <c r="O12" s="883">
        <v>238000.0</v>
      </c>
      <c r="P12" s="884" t="s">
        <v>696</v>
      </c>
      <c r="Q12" s="858"/>
    </row>
    <row r="13" ht="18.75" customHeight="1">
      <c r="A13" s="875">
        <v>7.0</v>
      </c>
      <c r="B13" s="876" t="s">
        <v>448</v>
      </c>
      <c r="C13" s="877" t="s">
        <v>434</v>
      </c>
      <c r="D13" s="878" t="s">
        <v>449</v>
      </c>
      <c r="E13" s="877" t="s">
        <v>436</v>
      </c>
      <c r="F13" s="879">
        <v>2.98</v>
      </c>
      <c r="G13" s="877">
        <v>5.0</v>
      </c>
      <c r="H13" s="880">
        <f t="shared" si="1"/>
        <v>650182</v>
      </c>
      <c r="I13" s="881">
        <f t="shared" si="2"/>
        <v>637200</v>
      </c>
      <c r="J13" s="881">
        <f t="shared" si="3"/>
        <v>630700</v>
      </c>
      <c r="K13" s="881">
        <f t="shared" si="4"/>
        <v>627400</v>
      </c>
      <c r="L13" s="881">
        <f t="shared" si="5"/>
        <v>624200</v>
      </c>
      <c r="M13" s="882">
        <f t="shared" si="6"/>
        <v>715200</v>
      </c>
      <c r="N13" s="874"/>
      <c r="O13" s="892">
        <v>228000.0</v>
      </c>
      <c r="P13" s="893">
        <v>44755.0</v>
      </c>
      <c r="Q13" s="858"/>
    </row>
    <row r="14" ht="18.75" customHeight="1">
      <c r="A14" s="885">
        <v>8.0</v>
      </c>
      <c r="B14" s="886" t="s">
        <v>450</v>
      </c>
      <c r="C14" s="887" t="s">
        <v>434</v>
      </c>
      <c r="D14" s="888" t="s">
        <v>451</v>
      </c>
      <c r="E14" s="887" t="s">
        <v>436</v>
      </c>
      <c r="F14" s="889">
        <v>3.45</v>
      </c>
      <c r="G14" s="887">
        <v>5.0</v>
      </c>
      <c r="H14" s="890">
        <f t="shared" si="1"/>
        <v>752727</v>
      </c>
      <c r="I14" s="881">
        <f t="shared" si="2"/>
        <v>737700</v>
      </c>
      <c r="J14" s="881">
        <f t="shared" si="3"/>
        <v>730100</v>
      </c>
      <c r="K14" s="881">
        <f t="shared" si="4"/>
        <v>726400</v>
      </c>
      <c r="L14" s="881">
        <f t="shared" si="5"/>
        <v>722600</v>
      </c>
      <c r="M14" s="891">
        <f t="shared" si="6"/>
        <v>828000</v>
      </c>
      <c r="N14" s="874"/>
      <c r="O14" s="883">
        <v>238000.0</v>
      </c>
      <c r="P14" s="884">
        <v>44756.0</v>
      </c>
      <c r="Q14" s="858"/>
    </row>
    <row r="15" ht="18.75" customHeight="1">
      <c r="A15" s="875">
        <v>9.0</v>
      </c>
      <c r="B15" s="876" t="s">
        <v>452</v>
      </c>
      <c r="C15" s="877" t="s">
        <v>434</v>
      </c>
      <c r="D15" s="878" t="s">
        <v>453</v>
      </c>
      <c r="E15" s="877" t="s">
        <v>436</v>
      </c>
      <c r="F15" s="879">
        <v>3.91</v>
      </c>
      <c r="G15" s="877">
        <v>5.0</v>
      </c>
      <c r="H15" s="880">
        <f t="shared" si="1"/>
        <v>853091</v>
      </c>
      <c r="I15" s="881">
        <f t="shared" si="2"/>
        <v>836000</v>
      </c>
      <c r="J15" s="881">
        <f t="shared" si="3"/>
        <v>827500</v>
      </c>
      <c r="K15" s="881">
        <f t="shared" si="4"/>
        <v>823200</v>
      </c>
      <c r="L15" s="881">
        <f t="shared" si="5"/>
        <v>819000</v>
      </c>
      <c r="M15" s="882">
        <f t="shared" si="6"/>
        <v>938400</v>
      </c>
      <c r="N15" s="874"/>
      <c r="O15" s="892">
        <v>230000.0</v>
      </c>
      <c r="P15" s="893">
        <v>44758.0</v>
      </c>
      <c r="Q15" s="858"/>
    </row>
    <row r="16" ht="18.75" customHeight="1">
      <c r="A16" s="885">
        <v>10.0</v>
      </c>
      <c r="B16" s="886" t="s">
        <v>454</v>
      </c>
      <c r="C16" s="887" t="s">
        <v>434</v>
      </c>
      <c r="D16" s="888" t="s">
        <v>455</v>
      </c>
      <c r="E16" s="887" t="s">
        <v>436</v>
      </c>
      <c r="F16" s="889">
        <v>4.38</v>
      </c>
      <c r="G16" s="887">
        <v>5.0</v>
      </c>
      <c r="H16" s="890">
        <f t="shared" si="1"/>
        <v>955636</v>
      </c>
      <c r="I16" s="881">
        <f t="shared" si="2"/>
        <v>936500</v>
      </c>
      <c r="J16" s="881">
        <f t="shared" si="3"/>
        <v>927000</v>
      </c>
      <c r="K16" s="881">
        <f t="shared" si="4"/>
        <v>922200</v>
      </c>
      <c r="L16" s="881">
        <f t="shared" si="5"/>
        <v>917400</v>
      </c>
      <c r="M16" s="891">
        <f t="shared" si="6"/>
        <v>1051200</v>
      </c>
      <c r="N16" s="874"/>
      <c r="O16" s="883">
        <v>225000.0</v>
      </c>
      <c r="P16" s="884" t="s">
        <v>697</v>
      </c>
      <c r="Q16" s="858"/>
    </row>
    <row r="17" ht="18.75" customHeight="1">
      <c r="A17" s="875">
        <v>11.0</v>
      </c>
      <c r="B17" s="876" t="s">
        <v>456</v>
      </c>
      <c r="C17" s="877" t="s">
        <v>434</v>
      </c>
      <c r="D17" s="878" t="s">
        <v>457</v>
      </c>
      <c r="E17" s="877" t="s">
        <v>436</v>
      </c>
      <c r="F17" s="879">
        <v>4.96</v>
      </c>
      <c r="G17" s="877">
        <v>5.0</v>
      </c>
      <c r="H17" s="880">
        <f t="shared" si="1"/>
        <v>1082182</v>
      </c>
      <c r="I17" s="881">
        <f t="shared" si="2"/>
        <v>1060500</v>
      </c>
      <c r="J17" s="881">
        <f t="shared" si="3"/>
        <v>1049700</v>
      </c>
      <c r="K17" s="881">
        <f t="shared" si="4"/>
        <v>1044300</v>
      </c>
      <c r="L17" s="881">
        <f t="shared" si="5"/>
        <v>1038900</v>
      </c>
      <c r="M17" s="882">
        <f t="shared" si="6"/>
        <v>1190400</v>
      </c>
      <c r="N17" s="874"/>
      <c r="O17" s="892">
        <v>226000.0</v>
      </c>
      <c r="P17" s="893" t="s">
        <v>698</v>
      </c>
      <c r="Q17" s="858"/>
    </row>
    <row r="18" ht="18.75" customHeight="1">
      <c r="A18" s="885">
        <v>12.0</v>
      </c>
      <c r="B18" s="886" t="s">
        <v>458</v>
      </c>
      <c r="C18" s="887" t="s">
        <v>434</v>
      </c>
      <c r="D18" s="888" t="s">
        <v>459</v>
      </c>
      <c r="E18" s="887" t="s">
        <v>436</v>
      </c>
      <c r="F18" s="889">
        <v>6.12</v>
      </c>
      <c r="G18" s="887">
        <v>5.0</v>
      </c>
      <c r="H18" s="890">
        <f t="shared" si="1"/>
        <v>1335273</v>
      </c>
      <c r="I18" s="881">
        <f t="shared" si="2"/>
        <v>1308600</v>
      </c>
      <c r="J18" s="881">
        <f t="shared" si="3"/>
        <v>1295200</v>
      </c>
      <c r="K18" s="881">
        <f t="shared" si="4"/>
        <v>1288500</v>
      </c>
      <c r="L18" s="881">
        <f t="shared" si="5"/>
        <v>1281900</v>
      </c>
      <c r="M18" s="891">
        <f t="shared" si="6"/>
        <v>1468800</v>
      </c>
      <c r="N18" s="874"/>
      <c r="O18" s="883">
        <v>232000.0</v>
      </c>
      <c r="P18" s="884">
        <v>44569.0</v>
      </c>
      <c r="Q18" s="858"/>
    </row>
    <row r="19" ht="18.75" customHeight="1">
      <c r="A19" s="875">
        <v>13.0</v>
      </c>
      <c r="B19" s="876" t="s">
        <v>460</v>
      </c>
      <c r="C19" s="877" t="s">
        <v>434</v>
      </c>
      <c r="D19" s="878" t="s">
        <v>461</v>
      </c>
      <c r="E19" s="877" t="s">
        <v>436</v>
      </c>
      <c r="F19" s="879">
        <v>5.28</v>
      </c>
      <c r="G19" s="877">
        <v>4.0</v>
      </c>
      <c r="H19" s="880">
        <f t="shared" si="1"/>
        <v>1152000</v>
      </c>
      <c r="I19" s="881">
        <f t="shared" si="2"/>
        <v>1129000</v>
      </c>
      <c r="J19" s="881">
        <f t="shared" si="3"/>
        <v>1117400</v>
      </c>
      <c r="K19" s="881">
        <f t="shared" si="4"/>
        <v>1111700</v>
      </c>
      <c r="L19" s="881">
        <f t="shared" si="5"/>
        <v>1105900</v>
      </c>
      <c r="M19" s="882">
        <f t="shared" si="6"/>
        <v>1267200</v>
      </c>
      <c r="N19" s="874"/>
      <c r="O19" s="892">
        <v>230000.0</v>
      </c>
      <c r="P19" s="893">
        <v>44781.0</v>
      </c>
      <c r="Q19" s="858"/>
    </row>
    <row r="20" ht="18.75" customHeight="1">
      <c r="A20" s="885">
        <v>14.0</v>
      </c>
      <c r="B20" s="886" t="s">
        <v>462</v>
      </c>
      <c r="C20" s="887" t="s">
        <v>434</v>
      </c>
      <c r="D20" s="888" t="s">
        <v>463</v>
      </c>
      <c r="E20" s="887" t="s">
        <v>436</v>
      </c>
      <c r="F20" s="889">
        <v>6.03</v>
      </c>
      <c r="G20" s="887">
        <v>4.0</v>
      </c>
      <c r="H20" s="890">
        <f t="shared" si="1"/>
        <v>1315636</v>
      </c>
      <c r="I20" s="881">
        <f t="shared" si="2"/>
        <v>1289300</v>
      </c>
      <c r="J20" s="881">
        <f t="shared" si="3"/>
        <v>1276200</v>
      </c>
      <c r="K20" s="881">
        <f t="shared" si="4"/>
        <v>1269600</v>
      </c>
      <c r="L20" s="881">
        <f t="shared" si="5"/>
        <v>1263000</v>
      </c>
      <c r="M20" s="891">
        <f t="shared" si="6"/>
        <v>1447200</v>
      </c>
      <c r="N20" s="874"/>
      <c r="O20" s="883">
        <v>240000.0</v>
      </c>
      <c r="P20" s="884">
        <v>44782.0</v>
      </c>
      <c r="Q20" s="858"/>
    </row>
    <row r="21" ht="18.75" customHeight="1">
      <c r="A21" s="894">
        <v>15.0</v>
      </c>
      <c r="B21" s="895" t="s">
        <v>464</v>
      </c>
      <c r="C21" s="896" t="s">
        <v>434</v>
      </c>
      <c r="D21" s="897" t="s">
        <v>465</v>
      </c>
      <c r="E21" s="896" t="s">
        <v>436</v>
      </c>
      <c r="F21" s="898">
        <v>7.45</v>
      </c>
      <c r="G21" s="896">
        <v>4.0</v>
      </c>
      <c r="H21" s="899">
        <f t="shared" si="1"/>
        <v>1625455</v>
      </c>
      <c r="I21" s="900">
        <f t="shared" si="2"/>
        <v>1592900</v>
      </c>
      <c r="J21" s="900">
        <f t="shared" si="3"/>
        <v>1576700</v>
      </c>
      <c r="K21" s="900">
        <f t="shared" si="4"/>
        <v>1568600</v>
      </c>
      <c r="L21" s="900">
        <f t="shared" si="5"/>
        <v>1560400</v>
      </c>
      <c r="M21" s="901">
        <f t="shared" si="6"/>
        <v>1788000</v>
      </c>
      <c r="N21" s="874"/>
      <c r="O21" s="892">
        <v>236000.0</v>
      </c>
      <c r="P21" s="893">
        <v>44783.0</v>
      </c>
      <c r="Q21" s="858"/>
    </row>
    <row r="22" ht="18.75" customHeight="1">
      <c r="A22" s="859"/>
      <c r="B22" s="859"/>
      <c r="C22" s="859"/>
      <c r="D22" s="859"/>
      <c r="E22" s="859"/>
      <c r="F22" s="859"/>
      <c r="G22" s="859"/>
      <c r="H22" s="859"/>
      <c r="I22" s="859"/>
      <c r="J22" s="859"/>
      <c r="K22" s="859"/>
      <c r="L22" s="859"/>
      <c r="M22" s="859"/>
      <c r="N22" s="858"/>
      <c r="O22" s="883">
        <v>240000.0</v>
      </c>
      <c r="P22" s="884">
        <v>44786.0</v>
      </c>
      <c r="Q22" s="859"/>
    </row>
    <row r="23" ht="18.75" hidden="1" customHeight="1">
      <c r="A23" s="859"/>
      <c r="B23" s="859"/>
      <c r="C23" s="859"/>
      <c r="D23" s="859"/>
      <c r="E23" s="859"/>
      <c r="F23" s="859"/>
      <c r="G23" s="902" t="s">
        <v>699</v>
      </c>
      <c r="N23" s="858"/>
      <c r="O23" s="903"/>
      <c r="P23" s="904"/>
      <c r="Q23" s="874"/>
    </row>
    <row r="24" ht="18.75" hidden="1" customHeight="1">
      <c r="A24" s="859"/>
      <c r="B24" s="859"/>
      <c r="C24" s="859"/>
      <c r="D24" s="859"/>
      <c r="E24" s="859"/>
      <c r="F24" s="859"/>
      <c r="G24" s="905" t="s">
        <v>700</v>
      </c>
      <c r="J24" s="905"/>
      <c r="K24" s="906" t="s">
        <v>701</v>
      </c>
      <c r="M24" s="907">
        <v>0.005</v>
      </c>
      <c r="N24" s="908"/>
      <c r="O24" s="858"/>
      <c r="P24" s="909">
        <f t="shared" ref="P24:P27" si="7">$D$3*(1-M24)</f>
        <v>238800</v>
      </c>
      <c r="Q24" s="874"/>
    </row>
    <row r="25" ht="18.75" hidden="1" customHeight="1">
      <c r="A25" s="859"/>
      <c r="B25" s="859"/>
      <c r="C25" s="859"/>
      <c r="D25" s="859"/>
      <c r="E25" s="859"/>
      <c r="F25" s="859"/>
      <c r="G25" s="910"/>
      <c r="H25" s="911"/>
      <c r="I25" s="911"/>
      <c r="J25" s="912"/>
      <c r="K25" s="906" t="s">
        <v>702</v>
      </c>
      <c r="M25" s="907">
        <v>0.015</v>
      </c>
      <c r="N25" s="908"/>
      <c r="O25" s="858"/>
      <c r="P25" s="909">
        <f t="shared" si="7"/>
        <v>236400</v>
      </c>
      <c r="Q25" s="874"/>
    </row>
    <row r="26" ht="18.75" hidden="1" customHeight="1">
      <c r="A26" s="859"/>
      <c r="B26" s="859"/>
      <c r="C26" s="859"/>
      <c r="D26" s="859"/>
      <c r="E26" s="859"/>
      <c r="F26" s="859"/>
      <c r="G26" s="910"/>
      <c r="H26" s="911"/>
      <c r="I26" s="911"/>
      <c r="J26" s="912"/>
      <c r="K26" s="906" t="s">
        <v>703</v>
      </c>
      <c r="M26" s="907">
        <v>0.035</v>
      </c>
      <c r="N26" s="908"/>
      <c r="O26" s="858"/>
      <c r="P26" s="909">
        <f t="shared" si="7"/>
        <v>231600</v>
      </c>
      <c r="Q26" s="874"/>
    </row>
    <row r="27" ht="18.75" hidden="1" customHeight="1">
      <c r="A27" s="859"/>
      <c r="B27" s="859"/>
      <c r="C27" s="859"/>
      <c r="D27" s="859"/>
      <c r="E27" s="859"/>
      <c r="F27" s="859"/>
      <c r="G27" s="910"/>
      <c r="H27" s="911"/>
      <c r="I27" s="911"/>
      <c r="J27" s="913"/>
      <c r="K27" s="906" t="s">
        <v>704</v>
      </c>
      <c r="M27" s="914">
        <v>0.04</v>
      </c>
      <c r="N27" s="908"/>
      <c r="O27" s="858"/>
      <c r="P27" s="915">
        <f t="shared" si="7"/>
        <v>230400</v>
      </c>
      <c r="Q27" s="874"/>
    </row>
    <row r="28" ht="18.75" hidden="1" customHeight="1">
      <c r="A28" s="859"/>
      <c r="B28" s="859"/>
      <c r="C28" s="859"/>
      <c r="D28" s="859"/>
      <c r="E28" s="859"/>
      <c r="F28" s="859"/>
      <c r="G28" s="905" t="s">
        <v>705</v>
      </c>
      <c r="P28" s="909"/>
      <c r="Q28" s="874"/>
    </row>
    <row r="29" ht="18.75" hidden="1" customHeight="1">
      <c r="A29" s="859"/>
      <c r="B29" s="859"/>
      <c r="C29" s="859"/>
      <c r="D29" s="859"/>
      <c r="E29" s="859"/>
      <c r="F29" s="859"/>
      <c r="G29" s="902" t="s">
        <v>706</v>
      </c>
      <c r="H29" s="911"/>
      <c r="I29" s="911"/>
      <c r="J29" s="916"/>
      <c r="K29" s="906"/>
      <c r="M29" s="914"/>
      <c r="N29" s="908"/>
      <c r="O29" s="858"/>
      <c r="P29" s="909"/>
      <c r="Q29" s="859"/>
    </row>
    <row r="30" ht="18.75" hidden="1" customHeight="1">
      <c r="A30" s="859"/>
      <c r="B30" s="859"/>
      <c r="C30" s="859"/>
      <c r="D30" s="859"/>
      <c r="E30" s="859"/>
      <c r="F30" s="859"/>
      <c r="G30" s="917" t="s">
        <v>707</v>
      </c>
      <c r="N30" s="858"/>
      <c r="O30" s="858"/>
      <c r="P30" s="909"/>
      <c r="Q30" s="859"/>
    </row>
    <row r="31" ht="18.75" hidden="1" customHeight="1">
      <c r="A31" s="859"/>
      <c r="B31" s="859"/>
      <c r="C31" s="859"/>
      <c r="D31" s="859"/>
      <c r="E31" s="859"/>
      <c r="F31" s="859"/>
      <c r="N31" s="858"/>
      <c r="O31" s="858"/>
      <c r="P31" s="909"/>
      <c r="Q31" s="859"/>
    </row>
    <row r="32" ht="18.75" hidden="1" customHeight="1">
      <c r="A32" s="859"/>
      <c r="B32" s="859"/>
      <c r="C32" s="859"/>
      <c r="D32" s="859"/>
      <c r="E32" s="859"/>
      <c r="F32" s="859"/>
      <c r="G32" s="918"/>
      <c r="H32" s="906" t="s">
        <v>708</v>
      </c>
      <c r="O32" s="858"/>
      <c r="P32" s="909"/>
      <c r="Q32" s="859"/>
    </row>
    <row r="33" ht="18.75" customHeight="1">
      <c r="A33" s="859"/>
      <c r="B33" s="859"/>
      <c r="C33" s="859"/>
      <c r="D33" s="859"/>
      <c r="E33" s="859"/>
      <c r="F33" s="859"/>
      <c r="G33" s="859"/>
      <c r="H33" s="859"/>
      <c r="I33" s="859"/>
      <c r="J33" s="859"/>
      <c r="K33" s="859"/>
      <c r="L33" s="859"/>
      <c r="M33" s="859"/>
      <c r="N33" s="858"/>
      <c r="O33" s="892"/>
      <c r="P33" s="893"/>
      <c r="Q33" s="859"/>
    </row>
    <row r="34" ht="18.75" customHeight="1">
      <c r="A34" s="859"/>
      <c r="B34" s="859"/>
      <c r="C34" s="859"/>
      <c r="D34" s="859"/>
      <c r="E34" s="859"/>
      <c r="F34" s="859"/>
      <c r="G34" s="859"/>
      <c r="H34" s="859"/>
      <c r="I34" s="859"/>
      <c r="J34" s="859"/>
      <c r="K34" s="859"/>
      <c r="L34" s="859"/>
      <c r="M34" s="859"/>
      <c r="N34" s="858"/>
      <c r="O34" s="883"/>
      <c r="P34" s="884"/>
      <c r="Q34" s="859"/>
    </row>
    <row r="35" ht="18.75" customHeight="1">
      <c r="A35" s="859"/>
      <c r="B35" s="859"/>
      <c r="C35" s="859"/>
      <c r="D35" s="859"/>
      <c r="E35" s="859"/>
      <c r="F35" s="859"/>
      <c r="G35" s="859"/>
      <c r="H35" s="859"/>
      <c r="I35" s="859"/>
      <c r="J35" s="859"/>
      <c r="K35" s="859"/>
      <c r="L35" s="859"/>
      <c r="M35" s="859"/>
      <c r="N35" s="858"/>
      <c r="O35" s="892"/>
      <c r="P35" s="893"/>
      <c r="Q35" s="859"/>
    </row>
    <row r="36" ht="18.75" customHeight="1">
      <c r="A36" s="859"/>
      <c r="B36" s="859"/>
      <c r="C36" s="859"/>
      <c r="D36" s="859"/>
      <c r="E36" s="859"/>
      <c r="F36" s="859"/>
      <c r="G36" s="859"/>
      <c r="H36" s="859"/>
      <c r="I36" s="859"/>
      <c r="J36" s="859"/>
      <c r="K36" s="859"/>
      <c r="L36" s="859"/>
      <c r="M36" s="859"/>
      <c r="N36" s="858"/>
      <c r="O36" s="883"/>
      <c r="P36" s="884"/>
      <c r="Q36" s="859"/>
    </row>
    <row r="37" ht="18.75" customHeight="1">
      <c r="A37" s="859"/>
      <c r="B37" s="859"/>
      <c r="C37" s="859"/>
      <c r="D37" s="859"/>
      <c r="E37" s="859"/>
      <c r="F37" s="859"/>
      <c r="G37" s="859"/>
      <c r="H37" s="859"/>
      <c r="I37" s="859"/>
      <c r="J37" s="859"/>
      <c r="K37" s="859"/>
      <c r="L37" s="859"/>
      <c r="M37" s="859"/>
      <c r="N37" s="858"/>
      <c r="O37" s="883"/>
      <c r="P37" s="884"/>
      <c r="Q37" s="859"/>
    </row>
  </sheetData>
  <mergeCells count="22">
    <mergeCell ref="I5:I6"/>
    <mergeCell ref="M5:M6"/>
    <mergeCell ref="O5:P5"/>
    <mergeCell ref="A1:N1"/>
    <mergeCell ref="A5:A6"/>
    <mergeCell ref="B5:B6"/>
    <mergeCell ref="C5:C6"/>
    <mergeCell ref="D5:D6"/>
    <mergeCell ref="E5:E6"/>
    <mergeCell ref="F5:F6"/>
    <mergeCell ref="K27:L27"/>
    <mergeCell ref="G28:O28"/>
    <mergeCell ref="K29:L29"/>
    <mergeCell ref="G30:M31"/>
    <mergeCell ref="H32:N32"/>
    <mergeCell ref="G5:G6"/>
    <mergeCell ref="H5:H6"/>
    <mergeCell ref="G23:M23"/>
    <mergeCell ref="G24:I24"/>
    <mergeCell ref="K24:L24"/>
    <mergeCell ref="K25:L25"/>
    <mergeCell ref="K26:L2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min="1" max="1" width="4.63"/>
    <col customWidth="1" min="2" max="2" width="8.88"/>
    <col customWidth="1" min="3" max="3" width="5.75"/>
    <col customWidth="1" min="4" max="4" width="6.25"/>
    <col customWidth="1" min="5" max="10" width="9.75"/>
    <col customWidth="1" min="11" max="12" width="4.38"/>
    <col customWidth="1" min="13" max="13" width="8.38"/>
    <col customWidth="1" min="14" max="14" width="5.63"/>
    <col customWidth="1" min="15" max="15" width="6.75"/>
    <col customWidth="1" min="16" max="21" width="10.63"/>
    <col customWidth="1" min="22" max="23" width="4.5"/>
    <col customWidth="1" min="24" max="24" width="9.75"/>
    <col customWidth="1" min="25" max="25" width="5.88"/>
    <col customWidth="1" min="26" max="26" width="7.63"/>
    <col customWidth="1" min="27" max="32" width="9.25"/>
    <col customWidth="1" min="33" max="33" width="4.38"/>
    <col customWidth="1" min="34" max="34" width="4.88"/>
    <col customWidth="1" min="35" max="35" width="22.88"/>
    <col customWidth="1" min="36" max="36" width="7.13"/>
    <col customWidth="1" min="37" max="37" width="6.38"/>
    <col customWidth="1" min="38" max="43" width="9.5"/>
  </cols>
  <sheetData>
    <row r="1">
      <c r="A1" s="919" t="str">
        <f>IFERROR(__xludf.DUMMYFUNCTION("IMPORTRANGE(""https://docs.google.com/spreadsheets/d/1pco64LWA5xyufKnYiyby_d6QiH0hAquxv3p3fRcCjAk"",""Co cút PKĐ(07)!A:AZ"")"),"")</f>
        <v/>
      </c>
      <c r="B1" s="919"/>
      <c r="C1" s="919"/>
      <c r="D1" s="919"/>
      <c r="E1" s="919"/>
      <c r="F1" s="919"/>
      <c r="G1" s="919"/>
      <c r="H1" s="919"/>
      <c r="I1" s="919"/>
      <c r="J1" s="919"/>
      <c r="K1" s="919"/>
      <c r="L1" s="919"/>
      <c r="M1" s="919"/>
      <c r="N1" s="919"/>
      <c r="O1" s="919"/>
      <c r="P1" s="919"/>
      <c r="Q1" s="919"/>
      <c r="R1" s="919"/>
      <c r="S1" s="919"/>
      <c r="T1" s="919"/>
      <c r="U1" s="919"/>
      <c r="V1" s="919"/>
      <c r="W1" s="919"/>
      <c r="X1" s="919"/>
      <c r="Y1" s="919"/>
      <c r="Z1" s="919"/>
      <c r="AA1" s="919"/>
      <c r="AB1" s="919"/>
      <c r="AC1" s="919"/>
      <c r="AD1" s="919"/>
      <c r="AE1" s="919"/>
      <c r="AF1" s="919"/>
      <c r="AG1" s="920"/>
      <c r="AH1" s="920"/>
      <c r="AI1" s="920"/>
      <c r="AJ1" s="920"/>
      <c r="AK1" s="921"/>
      <c r="AL1" s="920"/>
      <c r="AM1" s="920"/>
      <c r="AN1" s="920"/>
      <c r="AO1" s="920"/>
      <c r="AP1" s="920"/>
      <c r="AQ1" s="920"/>
    </row>
    <row r="2">
      <c r="A2" s="922"/>
      <c r="B2" s="923"/>
      <c r="C2" s="923"/>
      <c r="D2" s="923"/>
      <c r="E2" s="923"/>
      <c r="F2" s="924" t="str">
        <f>IFERROR(__xludf.DUMMYFUNCTION("""COMPUTED_VALUE"""),"VẬT TƯ ĐỒNG")</f>
        <v>VẬT TƯ ĐỒNG</v>
      </c>
      <c r="G2" s="456"/>
      <c r="H2" s="456"/>
      <c r="I2" s="456"/>
      <c r="J2" s="456"/>
      <c r="K2" s="456"/>
      <c r="L2" s="456"/>
      <c r="M2" s="456"/>
      <c r="N2" s="456"/>
      <c r="O2" s="456"/>
      <c r="P2" s="456"/>
      <c r="Q2" s="456"/>
      <c r="R2" s="456"/>
      <c r="S2" s="1"/>
      <c r="T2" s="1"/>
      <c r="U2" s="1"/>
      <c r="V2" s="1"/>
      <c r="W2" s="1"/>
      <c r="X2" s="1"/>
      <c r="Y2" s="1"/>
      <c r="Z2" s="1"/>
      <c r="AA2" s="1"/>
      <c r="AB2" s="1"/>
      <c r="AC2" s="1"/>
      <c r="AD2" s="1"/>
      <c r="AE2" s="1"/>
      <c r="AF2" s="1"/>
      <c r="AG2" s="920"/>
      <c r="AH2" s="920"/>
      <c r="AI2" s="920"/>
      <c r="AJ2" s="920"/>
      <c r="AK2" s="921"/>
      <c r="AL2" s="920"/>
      <c r="AM2" s="920"/>
      <c r="AN2" s="920"/>
      <c r="AO2" s="920"/>
      <c r="AP2" s="920"/>
      <c r="AQ2" s="920"/>
    </row>
    <row r="3">
      <c r="A3" s="919"/>
      <c r="B3" s="919"/>
      <c r="C3" s="919"/>
      <c r="D3" s="919"/>
      <c r="E3" s="919"/>
      <c r="F3" s="435"/>
      <c r="G3" s="418"/>
      <c r="H3" s="418"/>
      <c r="I3" s="418"/>
      <c r="J3" s="418"/>
      <c r="K3" s="418"/>
      <c r="L3" s="418"/>
      <c r="M3" s="418"/>
      <c r="N3" s="418"/>
      <c r="O3" s="418"/>
      <c r="P3" s="418"/>
      <c r="Q3" s="418"/>
      <c r="R3" s="418"/>
      <c r="S3" s="1"/>
      <c r="T3" s="1"/>
      <c r="U3" s="1"/>
      <c r="V3" s="1"/>
      <c r="W3" s="1"/>
      <c r="X3" s="1"/>
      <c r="Y3" s="1"/>
      <c r="Z3" s="1"/>
      <c r="AA3" s="1"/>
      <c r="AB3" s="1"/>
      <c r="AC3" s="1"/>
      <c r="AD3" s="1"/>
      <c r="AE3" s="1"/>
      <c r="AF3" s="1"/>
      <c r="AG3" s="920"/>
      <c r="AH3" s="920"/>
      <c r="AI3" s="920"/>
      <c r="AJ3" s="920"/>
      <c r="AK3" s="921"/>
      <c r="AL3" s="920"/>
      <c r="AM3" s="920"/>
      <c r="AN3" s="920"/>
      <c r="AO3" s="920"/>
      <c r="AP3" s="920"/>
      <c r="AQ3" s="920"/>
    </row>
    <row r="4">
      <c r="A4" s="919"/>
      <c r="B4" s="919"/>
      <c r="C4" s="919"/>
      <c r="D4" s="919"/>
      <c r="E4" s="919"/>
      <c r="F4" s="919"/>
      <c r="G4" s="919"/>
      <c r="H4" s="919"/>
      <c r="I4" s="919"/>
      <c r="J4" s="919"/>
      <c r="K4" s="919"/>
      <c r="L4" s="919"/>
      <c r="M4" s="919"/>
      <c r="N4" s="919"/>
      <c r="O4" s="919"/>
      <c r="P4" s="919"/>
      <c r="Q4" s="919"/>
      <c r="R4" s="919"/>
      <c r="S4" s="919"/>
      <c r="T4" s="919"/>
      <c r="U4" s="919"/>
      <c r="V4" s="919"/>
      <c r="W4" s="919"/>
      <c r="X4" s="919"/>
      <c r="Y4" s="919"/>
      <c r="Z4" s="919"/>
      <c r="AA4" s="919"/>
      <c r="AB4" s="919"/>
      <c r="AC4" s="919"/>
      <c r="AD4" s="919"/>
      <c r="AE4" s="919"/>
      <c r="AF4" s="919"/>
      <c r="AG4" s="920"/>
      <c r="AH4" s="920"/>
      <c r="AI4" s="920"/>
      <c r="AJ4" s="920"/>
      <c r="AK4" s="921"/>
      <c r="AL4" s="920"/>
      <c r="AM4" s="920"/>
      <c r="AN4" s="920"/>
      <c r="AO4" s="920"/>
      <c r="AP4" s="920"/>
      <c r="AQ4" s="920"/>
    </row>
    <row r="5">
      <c r="A5" s="925" t="str">
        <f>IFERROR(__xludf.DUMMYFUNCTION("""COMPUTED_VALUE""")," Mã ")</f>
        <v>Mã</v>
      </c>
      <c r="B5" s="926" t="str">
        <f>IFERROR(__xludf.DUMMYFUNCTION("""COMPUTED_VALUE"""),"CO")</f>
        <v>CO</v>
      </c>
      <c r="C5" s="927" t="str">
        <f>IFERROR(__xludf.DUMMYFUNCTION("""COMPUTED_VALUE"""),"ĐVT")</f>
        <v>ĐVT</v>
      </c>
      <c r="D5" s="928" t="str">
        <f>IFERROR(__xludf.DUMMYFUNCTION("""COMPUTED_VALUE""")," Đóng gói ")</f>
        <v>Đóng gói</v>
      </c>
      <c r="E5" s="929" t="str">
        <f>IFERROR(__xludf.DUMMYFUNCTION("""COMPUTED_VALUE""")," GIÁ NIÊM YẾT (= GIÁ K) ")</f>
        <v>GIÁ NIÊM YẾT (= GIÁ K)</v>
      </c>
      <c r="F5" s="930"/>
      <c r="G5" s="931"/>
      <c r="H5" s="932" t="str">
        <f>IFERROR(__xludf.DUMMYFUNCTION("""COMPUTED_VALUE""")," GIÁ CHƯA VAT ")</f>
        <v>GIÁ CHƯA VAT</v>
      </c>
      <c r="I5" s="930"/>
      <c r="J5" s="931"/>
      <c r="K5" s="919"/>
      <c r="L5" s="925" t="str">
        <f>IFERROR(__xludf.DUMMYFUNCTION("""COMPUTED_VALUE""")," Mã ")</f>
        <v>Mã</v>
      </c>
      <c r="M5" s="926" t="str">
        <f>IFERROR(__xludf.DUMMYFUNCTION("""COMPUTED_VALUE"""),"NỐI")</f>
        <v>NỐI</v>
      </c>
      <c r="N5" s="927" t="str">
        <f>IFERROR(__xludf.DUMMYFUNCTION("""COMPUTED_VALUE"""),"ĐVT")</f>
        <v>ĐVT</v>
      </c>
      <c r="O5" s="928" t="str">
        <f>IFERROR(__xludf.DUMMYFUNCTION("""COMPUTED_VALUE""")," Đóng gói ")</f>
        <v>Đóng gói</v>
      </c>
      <c r="P5" s="929" t="str">
        <f>IFERROR(__xludf.DUMMYFUNCTION("""COMPUTED_VALUE""")," GIÁ NIÊM YẾT (= GIÁ K) ")</f>
        <v>GIÁ NIÊM YẾT (= GIÁ K)</v>
      </c>
      <c r="Q5" s="930"/>
      <c r="R5" s="931"/>
      <c r="S5" s="933" t="str">
        <f>IFERROR(__xludf.DUMMYFUNCTION("""COMPUTED_VALUE""")," GIÁ CHƯA VAT ")</f>
        <v>GIÁ CHƯA VAT</v>
      </c>
      <c r="T5" s="930"/>
      <c r="U5" s="931"/>
      <c r="V5" s="919"/>
      <c r="W5" s="925" t="str">
        <f>IFERROR(__xludf.DUMMYFUNCTION("""COMPUTED_VALUE""")," Mã ")</f>
        <v>Mã</v>
      </c>
      <c r="X5" s="926" t="str">
        <f>IFERROR(__xludf.DUMMYFUNCTION("""COMPUTED_VALUE"""),"THU")</f>
        <v>THU</v>
      </c>
      <c r="Y5" s="927" t="str">
        <f>IFERROR(__xludf.DUMMYFUNCTION("""COMPUTED_VALUE"""),"ĐVT")</f>
        <v>ĐVT</v>
      </c>
      <c r="Z5" s="934" t="str">
        <f>IFERROR(__xludf.DUMMYFUNCTION("""COMPUTED_VALUE""")," Đóng gói ")</f>
        <v>Đóng gói</v>
      </c>
      <c r="AA5" s="929" t="str">
        <f>IFERROR(__xludf.DUMMYFUNCTION("""COMPUTED_VALUE""")," GIÁ NIÊM YẾT (= GIÁ K) ")</f>
        <v>GIÁ NIÊM YẾT (= GIÁ K)</v>
      </c>
      <c r="AB5" s="930"/>
      <c r="AC5" s="931"/>
      <c r="AD5" s="933" t="str">
        <f>IFERROR(__xludf.DUMMYFUNCTION("""COMPUTED_VALUE""")," GIÁ CHƯA VAT ")</f>
        <v>GIÁ CHƯA VAT</v>
      </c>
      <c r="AE5" s="930"/>
      <c r="AF5" s="931"/>
      <c r="AG5" s="1"/>
      <c r="AH5" s="925" t="str">
        <f>IFERROR(__xludf.DUMMYFUNCTION("""COMPUTED_VALUE""")," Mã ")</f>
        <v>Mã</v>
      </c>
      <c r="AI5" s="926" t="str">
        <f>IFERROR(__xludf.DUMMYFUNCTION("""COMPUTED_VALUE"""),"VẬT TƯ KHÁC")</f>
        <v>VẬT TƯ KHÁC</v>
      </c>
      <c r="AJ5" s="927" t="str">
        <f>IFERROR(__xludf.DUMMYFUNCTION("""COMPUTED_VALUE"""),"ĐVT")</f>
        <v>ĐVT</v>
      </c>
      <c r="AK5" s="934" t="str">
        <f>IFERROR(__xludf.DUMMYFUNCTION("""COMPUTED_VALUE""")," Đóng gói ")</f>
        <v>Đóng gói</v>
      </c>
      <c r="AL5" s="929" t="str">
        <f>IFERROR(__xludf.DUMMYFUNCTION("""COMPUTED_VALUE""")," GIÁ NIÊM YẾT (= GIÁ K) ")</f>
        <v>GIÁ NIÊM YẾT (= GIÁ K)</v>
      </c>
      <c r="AM5" s="930"/>
      <c r="AN5" s="931"/>
      <c r="AO5" s="933" t="str">
        <f>IFERROR(__xludf.DUMMYFUNCTION("""COMPUTED_VALUE""")," GIÁ CHƯA VAT ")</f>
        <v>GIÁ CHƯA VAT</v>
      </c>
      <c r="AP5" s="930"/>
      <c r="AQ5" s="931"/>
    </row>
    <row r="6">
      <c r="A6" s="935"/>
      <c r="B6" s="936"/>
      <c r="C6" s="936"/>
      <c r="D6" s="937"/>
      <c r="E6" s="938" t="str">
        <f>IFERROR(__xludf.DUMMYFUNCTION("""COMPUTED_VALUE""")," Bán lẻ ")</f>
        <v>Bán lẻ</v>
      </c>
      <c r="F6" s="939" t="str">
        <f>IFERROR(__xludf.DUMMYFUNCTION("""COMPUTED_VALUE""")," Túi ")</f>
        <v>Túi</v>
      </c>
      <c r="G6" s="940"/>
      <c r="H6" s="941" t="str">
        <f>IFERROR(__xludf.DUMMYFUNCTION("""COMPUTED_VALUE""")," Bán lẻ ")</f>
        <v>Bán lẻ</v>
      </c>
      <c r="I6" s="942" t="str">
        <f>IFERROR(__xludf.DUMMYFUNCTION("""COMPUTED_VALUE""")," Túi ")</f>
        <v>Túi</v>
      </c>
      <c r="J6" s="940"/>
      <c r="K6" s="919"/>
      <c r="L6" s="935"/>
      <c r="M6" s="936"/>
      <c r="N6" s="936"/>
      <c r="O6" s="937"/>
      <c r="P6" s="938" t="str">
        <f>IFERROR(__xludf.DUMMYFUNCTION("""COMPUTED_VALUE""")," Bán lẻ ")</f>
        <v>Bán lẻ</v>
      </c>
      <c r="Q6" s="939" t="str">
        <f>IFERROR(__xludf.DUMMYFUNCTION("""COMPUTED_VALUE""")," Túi ")</f>
        <v>Túi</v>
      </c>
      <c r="R6" s="940"/>
      <c r="S6" s="943" t="str">
        <f>IFERROR(__xludf.DUMMYFUNCTION("""COMPUTED_VALUE""")," Bán lẻ ")</f>
        <v>Bán lẻ</v>
      </c>
      <c r="T6" s="944" t="str">
        <f>IFERROR(__xludf.DUMMYFUNCTION("""COMPUTED_VALUE""")," Túi ")</f>
        <v>Túi</v>
      </c>
      <c r="U6" s="940"/>
      <c r="V6" s="919"/>
      <c r="W6" s="935"/>
      <c r="X6" s="936"/>
      <c r="Y6" s="936"/>
      <c r="Z6" s="945"/>
      <c r="AA6" s="938" t="str">
        <f>IFERROR(__xludf.DUMMYFUNCTION("""COMPUTED_VALUE""")," Bán lẻ ")</f>
        <v>Bán lẻ</v>
      </c>
      <c r="AB6" s="939" t="str">
        <f>IFERROR(__xludf.DUMMYFUNCTION("""COMPUTED_VALUE""")," Túi ")</f>
        <v>Túi</v>
      </c>
      <c r="AC6" s="940"/>
      <c r="AD6" s="943" t="str">
        <f>IFERROR(__xludf.DUMMYFUNCTION("""COMPUTED_VALUE""")," Bán lẻ ")</f>
        <v>Bán lẻ</v>
      </c>
      <c r="AE6" s="944" t="str">
        <f>IFERROR(__xludf.DUMMYFUNCTION("""COMPUTED_VALUE""")," Túi ")</f>
        <v>Túi</v>
      </c>
      <c r="AF6" s="940"/>
      <c r="AG6" s="1"/>
      <c r="AH6" s="935"/>
      <c r="AI6" s="936"/>
      <c r="AJ6" s="936"/>
      <c r="AK6" s="945"/>
      <c r="AL6" s="938" t="str">
        <f>IFERROR(__xludf.DUMMYFUNCTION("""COMPUTED_VALUE""")," Bán lẻ ")</f>
        <v>Bán lẻ</v>
      </c>
      <c r="AM6" s="939" t="str">
        <f>IFERROR(__xludf.DUMMYFUNCTION("""COMPUTED_VALUE""")," Túi ")</f>
        <v>Túi</v>
      </c>
      <c r="AN6" s="940"/>
      <c r="AO6" s="943" t="str">
        <f>IFERROR(__xludf.DUMMYFUNCTION("""COMPUTED_VALUE""")," Bán lẻ ")</f>
        <v>Bán lẻ</v>
      </c>
      <c r="AP6" s="944" t="str">
        <f>IFERROR(__xludf.DUMMYFUNCTION("""COMPUTED_VALUE""")," Túi ")</f>
        <v>Túi</v>
      </c>
      <c r="AQ6" s="940"/>
    </row>
    <row r="7">
      <c r="A7" s="946"/>
      <c r="B7" s="947"/>
      <c r="C7" s="947"/>
      <c r="D7" s="948"/>
      <c r="E7" s="949"/>
      <c r="F7" s="950" t="str">
        <f>IFERROR(__xludf.DUMMYFUNCTION("""COMPUTED_VALUE""")," Đơn giá ")</f>
        <v>Đơn giá</v>
      </c>
      <c r="G7" s="951" t="str">
        <f>IFERROR(__xludf.DUMMYFUNCTION("""COMPUTED_VALUE""")," Tổng ")</f>
        <v>Tổng</v>
      </c>
      <c r="H7" s="952"/>
      <c r="I7" s="953" t="str">
        <f>IFERROR(__xludf.DUMMYFUNCTION("""COMPUTED_VALUE""")," Đơn giá ")</f>
        <v>Đơn giá</v>
      </c>
      <c r="J7" s="954" t="str">
        <f>IFERROR(__xludf.DUMMYFUNCTION("""COMPUTED_VALUE""")," Tổng ")</f>
        <v>Tổng</v>
      </c>
      <c r="K7" s="919"/>
      <c r="L7" s="946"/>
      <c r="M7" s="947"/>
      <c r="N7" s="947"/>
      <c r="O7" s="948"/>
      <c r="P7" s="949"/>
      <c r="Q7" s="950" t="str">
        <f>IFERROR(__xludf.DUMMYFUNCTION("""COMPUTED_VALUE""")," Đơn giá ")</f>
        <v>Đơn giá</v>
      </c>
      <c r="R7" s="951" t="str">
        <f>IFERROR(__xludf.DUMMYFUNCTION("""COMPUTED_VALUE""")," Tổng ")</f>
        <v>Tổng</v>
      </c>
      <c r="S7" s="952"/>
      <c r="T7" s="955" t="str">
        <f>IFERROR(__xludf.DUMMYFUNCTION("""COMPUTED_VALUE""")," Đơn giá ")</f>
        <v>Đơn giá</v>
      </c>
      <c r="U7" s="956" t="str">
        <f>IFERROR(__xludf.DUMMYFUNCTION("""COMPUTED_VALUE""")," Tổng ")</f>
        <v>Tổng</v>
      </c>
      <c r="V7" s="919"/>
      <c r="W7" s="946"/>
      <c r="X7" s="947"/>
      <c r="Y7" s="947"/>
      <c r="Z7" s="957"/>
      <c r="AA7" s="949"/>
      <c r="AB7" s="950" t="str">
        <f>IFERROR(__xludf.DUMMYFUNCTION("""COMPUTED_VALUE""")," Đơn giá ")</f>
        <v>Đơn giá</v>
      </c>
      <c r="AC7" s="951" t="str">
        <f>IFERROR(__xludf.DUMMYFUNCTION("""COMPUTED_VALUE""")," Tổng ")</f>
        <v>Tổng</v>
      </c>
      <c r="AD7" s="952"/>
      <c r="AE7" s="955" t="str">
        <f>IFERROR(__xludf.DUMMYFUNCTION("""COMPUTED_VALUE""")," Đơn giá ")</f>
        <v>Đơn giá</v>
      </c>
      <c r="AF7" s="956" t="str">
        <f>IFERROR(__xludf.DUMMYFUNCTION("""COMPUTED_VALUE""")," Tổng ")</f>
        <v>Tổng</v>
      </c>
      <c r="AG7" s="1"/>
      <c r="AH7" s="946"/>
      <c r="AI7" s="947"/>
      <c r="AJ7" s="947"/>
      <c r="AK7" s="957"/>
      <c r="AL7" s="949"/>
      <c r="AM7" s="950" t="str">
        <f>IFERROR(__xludf.DUMMYFUNCTION("""COMPUTED_VALUE""")," Đơn giá ")</f>
        <v>Đơn giá</v>
      </c>
      <c r="AN7" s="951" t="str">
        <f>IFERROR(__xludf.DUMMYFUNCTION("""COMPUTED_VALUE""")," Tổng ")</f>
        <v>Tổng</v>
      </c>
      <c r="AO7" s="952"/>
      <c r="AP7" s="955" t="str">
        <f>IFERROR(__xludf.DUMMYFUNCTION("""COMPUTED_VALUE""")," Đơn giá ")</f>
        <v>Đơn giá</v>
      </c>
      <c r="AQ7" s="956" t="str">
        <f>IFERROR(__xludf.DUMMYFUNCTION("""COMPUTED_VALUE""")," Tổng ")</f>
        <v>Tổng</v>
      </c>
    </row>
    <row r="8">
      <c r="A8" s="958" t="str">
        <f>IFERROR(__xludf.DUMMYFUNCTION("""COMPUTED_VALUE"""),"HKCOD6")</f>
        <v>HKCOD6</v>
      </c>
      <c r="B8" s="959">
        <f>IFERROR(__xludf.DUMMYFUNCTION("""COMPUTED_VALUE"""),6.0)</f>
        <v>6</v>
      </c>
      <c r="C8" s="960" t="str">
        <f>IFERROR(__xludf.DUMMYFUNCTION("""COMPUTED_VALUE"""),"Túi")</f>
        <v>Túi</v>
      </c>
      <c r="D8" s="961">
        <f>IFERROR(__xludf.DUMMYFUNCTION("""COMPUTED_VALUE"""),200.0)</f>
        <v>200</v>
      </c>
      <c r="E8" s="962">
        <f>IFERROR(__xludf.DUMMYFUNCTION("""COMPUTED_VALUE"""),5500.0)</f>
        <v>5500</v>
      </c>
      <c r="F8" s="963">
        <f>IFERROR(__xludf.DUMMYFUNCTION("""COMPUTED_VALUE"""),5000.0)</f>
        <v>5000</v>
      </c>
      <c r="G8" s="964">
        <f>IFERROR(__xludf.DUMMYFUNCTION("""COMPUTED_VALUE"""),1000000.0)</f>
        <v>1000000</v>
      </c>
      <c r="H8" s="965">
        <f>IFERROR(__xludf.DUMMYFUNCTION("""COMPUTED_VALUE"""),5000.0)</f>
        <v>5000</v>
      </c>
      <c r="I8" s="963">
        <f>IFERROR(__xludf.DUMMYFUNCTION("""COMPUTED_VALUE"""),4550.0)</f>
        <v>4550</v>
      </c>
      <c r="J8" s="964">
        <f>IFERROR(__xludf.DUMMYFUNCTION("""COMPUTED_VALUE"""),909090.0)</f>
        <v>909090</v>
      </c>
      <c r="K8" s="919"/>
      <c r="L8" s="958" t="str">
        <f>IFERROR(__xludf.DUMMYFUNCTION("""COMPUTED_VALUE"""),"HKNOI6")</f>
        <v>HKNOI6</v>
      </c>
      <c r="M8" s="959">
        <f>IFERROR(__xludf.DUMMYFUNCTION("""COMPUTED_VALUE"""),6.0)</f>
        <v>6</v>
      </c>
      <c r="N8" s="960" t="str">
        <f>IFERROR(__xludf.DUMMYFUNCTION("""COMPUTED_VALUE"""),"Túi")</f>
        <v>Túi</v>
      </c>
      <c r="O8" s="961">
        <f>IFERROR(__xludf.DUMMYFUNCTION("""COMPUTED_VALUE"""),200.0)</f>
        <v>200</v>
      </c>
      <c r="P8" s="962">
        <f>IFERROR(__xludf.DUMMYFUNCTION("""COMPUTED_VALUE"""),4730.0)</f>
        <v>4730</v>
      </c>
      <c r="Q8" s="963">
        <f>IFERROR(__xludf.DUMMYFUNCTION("""COMPUTED_VALUE"""),3600.0)</f>
        <v>3600</v>
      </c>
      <c r="R8" s="964">
        <f>IFERROR(__xludf.DUMMYFUNCTION("""COMPUTED_VALUE"""),720000.0)</f>
        <v>720000</v>
      </c>
      <c r="S8" s="965">
        <f>IFERROR(__xludf.DUMMYFUNCTION("""COMPUTED_VALUE"""),4300.0)</f>
        <v>4300</v>
      </c>
      <c r="T8" s="963">
        <f>IFERROR(__xludf.DUMMYFUNCTION("""COMPUTED_VALUE"""),3270.0)</f>
        <v>3270</v>
      </c>
      <c r="U8" s="964">
        <f>IFERROR(__xludf.DUMMYFUNCTION("""COMPUTED_VALUE"""),654550.0)</f>
        <v>654550</v>
      </c>
      <c r="V8" s="919"/>
      <c r="W8" s="958" t="str">
        <f>IFERROR(__xludf.DUMMYFUNCTION("""COMPUTED_VALUE"""),"HKTHU1210")</f>
        <v>HKTHU1210</v>
      </c>
      <c r="X8" s="959" t="str">
        <f>IFERROR(__xludf.DUMMYFUNCTION("""COMPUTED_VALUE""")," 12, 10")</f>
        <v> 12, 10</v>
      </c>
      <c r="Y8" s="960" t="str">
        <f>IFERROR(__xludf.DUMMYFUNCTION("""COMPUTED_VALUE"""),"Túi")</f>
        <v>Túi</v>
      </c>
      <c r="Z8" s="961">
        <f>IFERROR(__xludf.DUMMYFUNCTION("""COMPUTED_VALUE"""),100.0)</f>
        <v>100</v>
      </c>
      <c r="AA8" s="962">
        <f>IFERROR(__xludf.DUMMYFUNCTION("""COMPUTED_VALUE"""),9020.0)</f>
        <v>9020</v>
      </c>
      <c r="AB8" s="963">
        <f>IFERROR(__xludf.DUMMYFUNCTION("""COMPUTED_VALUE"""),7000.0)</f>
        <v>7000</v>
      </c>
      <c r="AC8" s="964">
        <f>IFERROR(__xludf.DUMMYFUNCTION("""COMPUTED_VALUE"""),700000.0)</f>
        <v>700000</v>
      </c>
      <c r="AD8" s="965">
        <f>IFERROR(__xludf.DUMMYFUNCTION("""COMPUTED_VALUE"""),8200.0)</f>
        <v>8200</v>
      </c>
      <c r="AE8" s="963">
        <f>IFERROR(__xludf.DUMMYFUNCTION("""COMPUTED_VALUE"""),6360.0)</f>
        <v>6360</v>
      </c>
      <c r="AF8" s="964">
        <f>IFERROR(__xludf.DUMMYFUNCTION("""COMPUTED_VALUE"""),636360.0)</f>
        <v>636360</v>
      </c>
      <c r="AG8" s="1"/>
      <c r="AH8" s="958" t="str">
        <f>IFERROR(__xludf.DUMMYFUNCTION("""COMPUTED_VALUE"""),"HKCU12")</f>
        <v>HKCU12</v>
      </c>
      <c r="AI8" s="966" t="str">
        <f>IFERROR(__xludf.DUMMYFUNCTION("""COMPUTED_VALUE"""),"cút U 12")</f>
        <v>cút U 12</v>
      </c>
      <c r="AJ8" s="960" t="str">
        <f>IFERROR(__xludf.DUMMYFUNCTION("""COMPUTED_VALUE"""),"Cái")</f>
        <v>Cái</v>
      </c>
      <c r="AK8" s="961">
        <f>IFERROR(__xludf.DUMMYFUNCTION("""COMPUTED_VALUE"""),200.0)</f>
        <v>200</v>
      </c>
      <c r="AL8" s="962"/>
      <c r="AM8" s="963">
        <f>IFERROR(__xludf.DUMMYFUNCTION("""COMPUTED_VALUE"""),11000.0)</f>
        <v>11000</v>
      </c>
      <c r="AN8" s="964">
        <f>IFERROR(__xludf.DUMMYFUNCTION("""COMPUTED_VALUE"""),2200000.0)</f>
        <v>2200000</v>
      </c>
      <c r="AO8" s="965"/>
      <c r="AP8" s="963">
        <f>IFERROR(__xludf.DUMMYFUNCTION("""COMPUTED_VALUE"""),10000.0)</f>
        <v>10000</v>
      </c>
      <c r="AQ8" s="964">
        <f>IFERROR(__xludf.DUMMYFUNCTION("""COMPUTED_VALUE"""),2000000.0)</f>
        <v>2000000</v>
      </c>
    </row>
    <row r="9">
      <c r="A9" s="967" t="str">
        <f>IFERROR(__xludf.DUMMYFUNCTION("""COMPUTED_VALUE"""),"HKCOD10")</f>
        <v>HKCOD10</v>
      </c>
      <c r="B9" s="968">
        <f>IFERROR(__xludf.DUMMYFUNCTION("""COMPUTED_VALUE"""),10.0)</f>
        <v>10</v>
      </c>
      <c r="C9" s="969" t="str">
        <f>IFERROR(__xludf.DUMMYFUNCTION("""COMPUTED_VALUE"""),"Túi")</f>
        <v>Túi</v>
      </c>
      <c r="D9" s="970">
        <f>IFERROR(__xludf.DUMMYFUNCTION("""COMPUTED_VALUE"""),200.0)</f>
        <v>200</v>
      </c>
      <c r="E9" s="971">
        <f>IFERROR(__xludf.DUMMYFUNCTION("""COMPUTED_VALUE"""),6050.0)</f>
        <v>6050</v>
      </c>
      <c r="F9" s="972">
        <f>IFERROR(__xludf.DUMMYFUNCTION("""COMPUTED_VALUE"""),5000.0)</f>
        <v>5000</v>
      </c>
      <c r="G9" s="973">
        <f>IFERROR(__xludf.DUMMYFUNCTION("""COMPUTED_VALUE"""),1000000.0)</f>
        <v>1000000</v>
      </c>
      <c r="H9" s="974">
        <f>IFERROR(__xludf.DUMMYFUNCTION("""COMPUTED_VALUE"""),5500.0)</f>
        <v>5500</v>
      </c>
      <c r="I9" s="975">
        <f>IFERROR(__xludf.DUMMYFUNCTION("""COMPUTED_VALUE"""),4550.0)</f>
        <v>4550</v>
      </c>
      <c r="J9" s="976">
        <f>IFERROR(__xludf.DUMMYFUNCTION("""COMPUTED_VALUE"""),909090.0)</f>
        <v>909090</v>
      </c>
      <c r="K9" s="919"/>
      <c r="L9" s="967" t="str">
        <f>IFERROR(__xludf.DUMMYFUNCTION("""COMPUTED_VALUE"""),"HKNOI10")</f>
        <v>HKNOI10</v>
      </c>
      <c r="M9" s="968">
        <f>IFERROR(__xludf.DUMMYFUNCTION("""COMPUTED_VALUE"""),10.0)</f>
        <v>10</v>
      </c>
      <c r="N9" s="969" t="str">
        <f>IFERROR(__xludf.DUMMYFUNCTION("""COMPUTED_VALUE"""),"Túi")</f>
        <v>Túi</v>
      </c>
      <c r="O9" s="970">
        <f>IFERROR(__xludf.DUMMYFUNCTION("""COMPUTED_VALUE"""),200.0)</f>
        <v>200</v>
      </c>
      <c r="P9" s="971">
        <f>IFERROR(__xludf.DUMMYFUNCTION("""COMPUTED_VALUE"""),5280.0)</f>
        <v>5280</v>
      </c>
      <c r="Q9" s="972">
        <f>IFERROR(__xludf.DUMMYFUNCTION("""COMPUTED_VALUE"""),4200.0)</f>
        <v>4200</v>
      </c>
      <c r="R9" s="973">
        <f>IFERROR(__xludf.DUMMYFUNCTION("""COMPUTED_VALUE"""),840000.0)</f>
        <v>840000</v>
      </c>
      <c r="S9" s="974">
        <f>IFERROR(__xludf.DUMMYFUNCTION("""COMPUTED_VALUE"""),4800.0)</f>
        <v>4800</v>
      </c>
      <c r="T9" s="975">
        <f>IFERROR(__xludf.DUMMYFUNCTION("""COMPUTED_VALUE"""),3820.0)</f>
        <v>3820</v>
      </c>
      <c r="U9" s="976">
        <f>IFERROR(__xludf.DUMMYFUNCTION("""COMPUTED_VALUE"""),763640.0)</f>
        <v>763640</v>
      </c>
      <c r="V9" s="919"/>
      <c r="W9" s="967" t="str">
        <f>IFERROR(__xludf.DUMMYFUNCTION("""COMPUTED_VALUE"""),"HKTHU126")</f>
        <v>HKTHU126</v>
      </c>
      <c r="X9" s="968" t="str">
        <f>IFERROR(__xludf.DUMMYFUNCTION("""COMPUTED_VALUE""")," 12, 6")</f>
        <v> 12, 6</v>
      </c>
      <c r="Y9" s="969" t="str">
        <f>IFERROR(__xludf.DUMMYFUNCTION("""COMPUTED_VALUE"""),"Túi")</f>
        <v>Túi</v>
      </c>
      <c r="Z9" s="970">
        <f>IFERROR(__xludf.DUMMYFUNCTION("""COMPUTED_VALUE"""),100.0)</f>
        <v>100</v>
      </c>
      <c r="AA9" s="971">
        <f>IFERROR(__xludf.DUMMYFUNCTION("""COMPUTED_VALUE"""),9020.0)</f>
        <v>9020</v>
      </c>
      <c r="AB9" s="972">
        <f>IFERROR(__xludf.DUMMYFUNCTION("""COMPUTED_VALUE"""),4100.0)</f>
        <v>4100</v>
      </c>
      <c r="AC9" s="973">
        <f>IFERROR(__xludf.DUMMYFUNCTION("""COMPUTED_VALUE"""),410000.0)</f>
        <v>410000</v>
      </c>
      <c r="AD9" s="974">
        <f>IFERROR(__xludf.DUMMYFUNCTION("""COMPUTED_VALUE"""),8200.0)</f>
        <v>8200</v>
      </c>
      <c r="AE9" s="975">
        <f>IFERROR(__xludf.DUMMYFUNCTION("""COMPUTED_VALUE"""),3730.0)</f>
        <v>3730</v>
      </c>
      <c r="AF9" s="976">
        <f>IFERROR(__xludf.DUMMYFUNCTION("""COMPUTED_VALUE"""),372730.0)</f>
        <v>372730</v>
      </c>
      <c r="AG9" s="1"/>
      <c r="AH9" s="967" t="str">
        <f>IFERROR(__xludf.DUMMYFUNCTION("""COMPUTED_VALUE"""),"HKCU16D")</f>
        <v>HKCU16D</v>
      </c>
      <c r="AI9" s="977" t="str">
        <f>IFERROR(__xludf.DUMMYFUNCTION("""COMPUTED_VALUE"""),"Cút U 16 dày (NM)")</f>
        <v>Cút U 16 dày (NM)</v>
      </c>
      <c r="AJ9" s="969" t="str">
        <f>IFERROR(__xludf.DUMMYFUNCTION("""COMPUTED_VALUE"""),"Cái")</f>
        <v>Cái</v>
      </c>
      <c r="AK9" s="970">
        <f>IFERROR(__xludf.DUMMYFUNCTION("""COMPUTED_VALUE"""),200.0)</f>
        <v>200</v>
      </c>
      <c r="AL9" s="971">
        <f>IFERROR(__xludf.DUMMYFUNCTION("""COMPUTED_VALUE"""),12100.0)</f>
        <v>12100</v>
      </c>
      <c r="AM9" s="972">
        <f>IFERROR(__xludf.DUMMYFUNCTION("""COMPUTED_VALUE"""),11000.0)</f>
        <v>11000</v>
      </c>
      <c r="AN9" s="973">
        <f>IFERROR(__xludf.DUMMYFUNCTION("""COMPUTED_VALUE"""),2200000.0)</f>
        <v>2200000</v>
      </c>
      <c r="AO9" s="974">
        <f>IFERROR(__xludf.DUMMYFUNCTION("""COMPUTED_VALUE"""),11000.0)</f>
        <v>11000</v>
      </c>
      <c r="AP9" s="975">
        <f>IFERROR(__xludf.DUMMYFUNCTION("""COMPUTED_VALUE"""),10000.0)</f>
        <v>10000</v>
      </c>
      <c r="AQ9" s="976">
        <f>IFERROR(__xludf.DUMMYFUNCTION("""COMPUTED_VALUE"""),2000000.0)</f>
        <v>2000000</v>
      </c>
    </row>
    <row r="10">
      <c r="A10" s="978" t="str">
        <f>IFERROR(__xludf.DUMMYFUNCTION("""COMPUTED_VALUE"""),"HKCOD12")</f>
        <v>HKCOD12</v>
      </c>
      <c r="B10" s="979">
        <f>IFERROR(__xludf.DUMMYFUNCTION("""COMPUTED_VALUE"""),12.0)</f>
        <v>12</v>
      </c>
      <c r="C10" s="980" t="str">
        <f>IFERROR(__xludf.DUMMYFUNCTION("""COMPUTED_VALUE"""),"Túi")</f>
        <v>Túi</v>
      </c>
      <c r="D10" s="981">
        <f>IFERROR(__xludf.DUMMYFUNCTION("""COMPUTED_VALUE"""),100.0)</f>
        <v>100</v>
      </c>
      <c r="E10" s="982">
        <f>IFERROR(__xludf.DUMMYFUNCTION("""COMPUTED_VALUE"""),7040.0)</f>
        <v>7040</v>
      </c>
      <c r="F10" s="983">
        <f>IFERROR(__xludf.DUMMYFUNCTION("""COMPUTED_VALUE"""),6000.0)</f>
        <v>6000</v>
      </c>
      <c r="G10" s="984">
        <f>IFERROR(__xludf.DUMMYFUNCTION("""COMPUTED_VALUE"""),600000.0)</f>
        <v>600000</v>
      </c>
      <c r="H10" s="985">
        <f>IFERROR(__xludf.DUMMYFUNCTION("""COMPUTED_VALUE"""),6400.0)</f>
        <v>6400</v>
      </c>
      <c r="I10" s="983">
        <f>IFERROR(__xludf.DUMMYFUNCTION("""COMPUTED_VALUE"""),5450.0)</f>
        <v>5450</v>
      </c>
      <c r="J10" s="984">
        <f>IFERROR(__xludf.DUMMYFUNCTION("""COMPUTED_VALUE"""),545450.0)</f>
        <v>545450</v>
      </c>
      <c r="K10" s="919"/>
      <c r="L10" s="978" t="str">
        <f>IFERROR(__xludf.DUMMYFUNCTION("""COMPUTED_VALUE"""),"HKNOI12")</f>
        <v>HKNOI12</v>
      </c>
      <c r="M10" s="979">
        <f>IFERROR(__xludf.DUMMYFUNCTION("""COMPUTED_VALUE"""),12.0)</f>
        <v>12</v>
      </c>
      <c r="N10" s="980" t="str">
        <f>IFERROR(__xludf.DUMMYFUNCTION("""COMPUTED_VALUE"""),"Túi")</f>
        <v>Túi</v>
      </c>
      <c r="O10" s="981">
        <f>IFERROR(__xludf.DUMMYFUNCTION("""COMPUTED_VALUE"""),200.0)</f>
        <v>200</v>
      </c>
      <c r="P10" s="982">
        <f>IFERROR(__xludf.DUMMYFUNCTION("""COMPUTED_VALUE"""),6050.0)</f>
        <v>6050</v>
      </c>
      <c r="Q10" s="983">
        <f>IFERROR(__xludf.DUMMYFUNCTION("""COMPUTED_VALUE"""),5000.0)</f>
        <v>5000</v>
      </c>
      <c r="R10" s="984">
        <f>IFERROR(__xludf.DUMMYFUNCTION("""COMPUTED_VALUE"""),1000000.0)</f>
        <v>1000000</v>
      </c>
      <c r="S10" s="985">
        <f>IFERROR(__xludf.DUMMYFUNCTION("""COMPUTED_VALUE"""),5500.0)</f>
        <v>5500</v>
      </c>
      <c r="T10" s="983">
        <f>IFERROR(__xludf.DUMMYFUNCTION("""COMPUTED_VALUE"""),4550.0)</f>
        <v>4550</v>
      </c>
      <c r="U10" s="984">
        <f>IFERROR(__xludf.DUMMYFUNCTION("""COMPUTED_VALUE"""),909090.0)</f>
        <v>909090</v>
      </c>
      <c r="V10" s="919"/>
      <c r="W10" s="978" t="str">
        <f>IFERROR(__xludf.DUMMYFUNCTION("""COMPUTED_VALUE"""),"HKTHU1610")</f>
        <v>HKTHU1610</v>
      </c>
      <c r="X10" s="979" t="str">
        <f>IFERROR(__xludf.DUMMYFUNCTION("""COMPUTED_VALUE""")," 16, 10")</f>
        <v> 16, 10</v>
      </c>
      <c r="Y10" s="980" t="str">
        <f>IFERROR(__xludf.DUMMYFUNCTION("""COMPUTED_VALUE"""),"Túi")</f>
        <v>Túi</v>
      </c>
      <c r="Z10" s="981">
        <f>IFERROR(__xludf.DUMMYFUNCTION("""COMPUTED_VALUE"""),80.0)</f>
        <v>80</v>
      </c>
      <c r="AA10" s="982">
        <f>IFERROR(__xludf.DUMMYFUNCTION("""COMPUTED_VALUE"""),12100.0)</f>
        <v>12100</v>
      </c>
      <c r="AB10" s="983">
        <f>IFERROR(__xludf.DUMMYFUNCTION("""COMPUTED_VALUE"""),8000.0)</f>
        <v>8000</v>
      </c>
      <c r="AC10" s="984">
        <f>IFERROR(__xludf.DUMMYFUNCTION("""COMPUTED_VALUE"""),640000.0)</f>
        <v>640000</v>
      </c>
      <c r="AD10" s="985">
        <f>IFERROR(__xludf.DUMMYFUNCTION("""COMPUTED_VALUE"""),11000.0)</f>
        <v>11000</v>
      </c>
      <c r="AE10" s="983">
        <f>IFERROR(__xludf.DUMMYFUNCTION("""COMPUTED_VALUE"""),7270.0)</f>
        <v>7270</v>
      </c>
      <c r="AF10" s="984">
        <f>IFERROR(__xludf.DUMMYFUNCTION("""COMPUTED_VALUE"""),581820.0)</f>
        <v>581820</v>
      </c>
      <c r="AG10" s="1"/>
      <c r="AH10" s="978" t="str">
        <f>IFERROR(__xludf.DUMMYFUNCTION("""COMPUTED_VALUE"""),"HKZCN10")</f>
        <v>HKZCN10</v>
      </c>
      <c r="AI10" s="986" t="str">
        <f>IFERROR(__xludf.DUMMYFUNCTION("""COMPUTED_VALUE"""),"Zacco 10 (ren ngoài)")</f>
        <v>Zacco 10 (ren ngoài)</v>
      </c>
      <c r="AJ10" s="980" t="str">
        <f>IFERROR(__xludf.DUMMYFUNCTION("""COMPUTED_VALUE"""),"Cái")</f>
        <v>Cái</v>
      </c>
      <c r="AK10" s="981">
        <f>IFERROR(__xludf.DUMMYFUNCTION("""COMPUTED_VALUE"""),200.0)</f>
        <v>200</v>
      </c>
      <c r="AL10" s="982"/>
      <c r="AM10" s="983">
        <f>IFERROR(__xludf.DUMMYFUNCTION("""COMPUTED_VALUE"""),16200.0)</f>
        <v>16200</v>
      </c>
      <c r="AN10" s="984">
        <f>IFERROR(__xludf.DUMMYFUNCTION("""COMPUTED_VALUE"""),3240000.0)</f>
        <v>3240000</v>
      </c>
      <c r="AO10" s="985"/>
      <c r="AP10" s="983">
        <f>IFERROR(__xludf.DUMMYFUNCTION("""COMPUTED_VALUE"""),14730.0)</f>
        <v>14730</v>
      </c>
      <c r="AQ10" s="984">
        <f>IFERROR(__xludf.DUMMYFUNCTION("""COMPUTED_VALUE"""),2945450.0)</f>
        <v>2945450</v>
      </c>
    </row>
    <row r="11">
      <c r="A11" s="967" t="str">
        <f>IFERROR(__xludf.DUMMYFUNCTION("""COMPUTED_VALUE"""),"HKCOD16")</f>
        <v>HKCOD16</v>
      </c>
      <c r="B11" s="968">
        <f>IFERROR(__xludf.DUMMYFUNCTION("""COMPUTED_VALUE"""),16.0)</f>
        <v>16</v>
      </c>
      <c r="C11" s="969" t="str">
        <f>IFERROR(__xludf.DUMMYFUNCTION("""COMPUTED_VALUE"""),"Túi")</f>
        <v>Túi</v>
      </c>
      <c r="D11" s="970">
        <f>IFERROR(__xludf.DUMMYFUNCTION("""COMPUTED_VALUE"""),100.0)</f>
        <v>100</v>
      </c>
      <c r="E11" s="971">
        <f>IFERROR(__xludf.DUMMYFUNCTION("""COMPUTED_VALUE"""),8030.0)</f>
        <v>8030</v>
      </c>
      <c r="F11" s="972">
        <f>IFERROR(__xludf.DUMMYFUNCTION("""COMPUTED_VALUE"""),7000.0)</f>
        <v>7000</v>
      </c>
      <c r="G11" s="973">
        <f>IFERROR(__xludf.DUMMYFUNCTION("""COMPUTED_VALUE"""),700000.0)</f>
        <v>700000</v>
      </c>
      <c r="H11" s="974">
        <f>IFERROR(__xludf.DUMMYFUNCTION("""COMPUTED_VALUE"""),7300.0)</f>
        <v>7300</v>
      </c>
      <c r="I11" s="975">
        <f>IFERROR(__xludf.DUMMYFUNCTION("""COMPUTED_VALUE"""),6360.0)</f>
        <v>6360</v>
      </c>
      <c r="J11" s="976">
        <f>IFERROR(__xludf.DUMMYFUNCTION("""COMPUTED_VALUE"""),636360.0)</f>
        <v>636360</v>
      </c>
      <c r="K11" s="919"/>
      <c r="L11" s="967" t="str">
        <f>IFERROR(__xludf.DUMMYFUNCTION("""COMPUTED_VALUE"""),"HKNOI16")</f>
        <v>HKNOI16</v>
      </c>
      <c r="M11" s="968">
        <f>IFERROR(__xludf.DUMMYFUNCTION("""COMPUTED_VALUE"""),16.0)</f>
        <v>16</v>
      </c>
      <c r="N11" s="969" t="str">
        <f>IFERROR(__xludf.DUMMYFUNCTION("""COMPUTED_VALUE"""),"Túi")</f>
        <v>Túi</v>
      </c>
      <c r="O11" s="970">
        <f>IFERROR(__xludf.DUMMYFUNCTION("""COMPUTED_VALUE"""),100.0)</f>
        <v>100</v>
      </c>
      <c r="P11" s="971">
        <f>IFERROR(__xludf.DUMMYFUNCTION("""COMPUTED_VALUE"""),7040.0)</f>
        <v>7040</v>
      </c>
      <c r="Q11" s="972">
        <f>IFERROR(__xludf.DUMMYFUNCTION("""COMPUTED_VALUE"""),6000.0)</f>
        <v>6000</v>
      </c>
      <c r="R11" s="973">
        <f>IFERROR(__xludf.DUMMYFUNCTION("""COMPUTED_VALUE"""),600000.0)</f>
        <v>600000</v>
      </c>
      <c r="S11" s="974">
        <f>IFERROR(__xludf.DUMMYFUNCTION("""COMPUTED_VALUE"""),6400.0)</f>
        <v>6400</v>
      </c>
      <c r="T11" s="975">
        <f>IFERROR(__xludf.DUMMYFUNCTION("""COMPUTED_VALUE"""),5450.0)</f>
        <v>5450</v>
      </c>
      <c r="U11" s="976">
        <f>IFERROR(__xludf.DUMMYFUNCTION("""COMPUTED_VALUE"""),545450.0)</f>
        <v>545450</v>
      </c>
      <c r="V11" s="919"/>
      <c r="W11" s="967" t="str">
        <f>IFERROR(__xludf.DUMMYFUNCTION("""COMPUTED_VALUE"""),"HKTHU1612")</f>
        <v>HKTHU1612</v>
      </c>
      <c r="X11" s="968" t="str">
        <f>IFERROR(__xludf.DUMMYFUNCTION("""COMPUTED_VALUE""")," 16, 12")</f>
        <v> 16, 12</v>
      </c>
      <c r="Y11" s="969" t="str">
        <f>IFERROR(__xludf.DUMMYFUNCTION("""COMPUTED_VALUE"""),"Túi")</f>
        <v>Túi</v>
      </c>
      <c r="Z11" s="970">
        <f>IFERROR(__xludf.DUMMYFUNCTION("""COMPUTED_VALUE"""),80.0)</f>
        <v>80</v>
      </c>
      <c r="AA11" s="971">
        <f>IFERROR(__xludf.DUMMYFUNCTION("""COMPUTED_VALUE"""),12100.0)</f>
        <v>12100</v>
      </c>
      <c r="AB11" s="972">
        <f>IFERROR(__xludf.DUMMYFUNCTION("""COMPUTED_VALUE"""),8000.0)</f>
        <v>8000</v>
      </c>
      <c r="AC11" s="973">
        <f>IFERROR(__xludf.DUMMYFUNCTION("""COMPUTED_VALUE"""),640000.0)</f>
        <v>640000</v>
      </c>
      <c r="AD11" s="974">
        <f>IFERROR(__xludf.DUMMYFUNCTION("""COMPUTED_VALUE"""),11000.0)</f>
        <v>11000</v>
      </c>
      <c r="AE11" s="975">
        <f>IFERROR(__xludf.DUMMYFUNCTION("""COMPUTED_VALUE"""),7270.0)</f>
        <v>7270</v>
      </c>
      <c r="AF11" s="976">
        <f>IFERROR(__xludf.DUMMYFUNCTION("""COMPUTED_VALUE"""),581820.0)</f>
        <v>581820</v>
      </c>
      <c r="AG11" s="1"/>
      <c r="AH11" s="967" t="str">
        <f>IFERROR(__xludf.DUMMYFUNCTION("""COMPUTED_VALUE"""),"HKZCT10")</f>
        <v>HKZCT10</v>
      </c>
      <c r="AI11" s="977" t="str">
        <f>IFERROR(__xludf.DUMMYFUNCTION("""COMPUTED_VALUE"""),"Zacco 10 (ren trong)")</f>
        <v>Zacco 10 (ren trong)</v>
      </c>
      <c r="AJ11" s="969" t="str">
        <f>IFERROR(__xludf.DUMMYFUNCTION("""COMPUTED_VALUE"""),"Cái")</f>
        <v>Cái</v>
      </c>
      <c r="AK11" s="970">
        <f>IFERROR(__xludf.DUMMYFUNCTION("""COMPUTED_VALUE"""),200.0)</f>
        <v>200</v>
      </c>
      <c r="AL11" s="971">
        <f>IFERROR(__xludf.DUMMYFUNCTION("""COMPUTED_VALUE"""),8030.0)</f>
        <v>8030</v>
      </c>
      <c r="AM11" s="972">
        <f>IFERROR(__xludf.DUMMYFUNCTION("""COMPUTED_VALUE"""),8030.0)</f>
        <v>8030</v>
      </c>
      <c r="AN11" s="973">
        <f>IFERROR(__xludf.DUMMYFUNCTION("""COMPUTED_VALUE"""),1606000.0)</f>
        <v>1606000</v>
      </c>
      <c r="AO11" s="974">
        <f>IFERROR(__xludf.DUMMYFUNCTION("""COMPUTED_VALUE"""),7300.0)</f>
        <v>7300</v>
      </c>
      <c r="AP11" s="975">
        <f>IFERROR(__xludf.DUMMYFUNCTION("""COMPUTED_VALUE"""),7300.0)</f>
        <v>7300</v>
      </c>
      <c r="AQ11" s="976">
        <f>IFERROR(__xludf.DUMMYFUNCTION("""COMPUTED_VALUE"""),1460000.0)</f>
        <v>1460000</v>
      </c>
    </row>
    <row r="12">
      <c r="A12" s="978" t="str">
        <f>IFERROR(__xludf.DUMMYFUNCTION("""COMPUTED_VALUE"""),"HKCOD19")</f>
        <v>HKCOD19</v>
      </c>
      <c r="B12" s="979">
        <f>IFERROR(__xludf.DUMMYFUNCTION("""COMPUTED_VALUE"""),19.0)</f>
        <v>19</v>
      </c>
      <c r="C12" s="980" t="str">
        <f>IFERROR(__xludf.DUMMYFUNCTION("""COMPUTED_VALUE"""),"Túi")</f>
        <v>Túi</v>
      </c>
      <c r="D12" s="981">
        <f>IFERROR(__xludf.DUMMYFUNCTION("""COMPUTED_VALUE"""),100.0)</f>
        <v>100</v>
      </c>
      <c r="E12" s="982">
        <f>IFERROR(__xludf.DUMMYFUNCTION("""COMPUTED_VALUE"""),10010.0)</f>
        <v>10010</v>
      </c>
      <c r="F12" s="983">
        <f>IFERROR(__xludf.DUMMYFUNCTION("""COMPUTED_VALUE"""),9000.0)</f>
        <v>9000</v>
      </c>
      <c r="G12" s="984">
        <f>IFERROR(__xludf.DUMMYFUNCTION("""COMPUTED_VALUE"""),900000.0)</f>
        <v>900000</v>
      </c>
      <c r="H12" s="985">
        <f>IFERROR(__xludf.DUMMYFUNCTION("""COMPUTED_VALUE"""),9100.0)</f>
        <v>9100</v>
      </c>
      <c r="I12" s="983">
        <f>IFERROR(__xludf.DUMMYFUNCTION("""COMPUTED_VALUE"""),8180.0)</f>
        <v>8180</v>
      </c>
      <c r="J12" s="984">
        <f>IFERROR(__xludf.DUMMYFUNCTION("""COMPUTED_VALUE"""),818180.0)</f>
        <v>818180</v>
      </c>
      <c r="K12" s="919"/>
      <c r="L12" s="978" t="str">
        <f>IFERROR(__xludf.DUMMYFUNCTION("""COMPUTED_VALUE"""),"HKNOI19")</f>
        <v>HKNOI19</v>
      </c>
      <c r="M12" s="979">
        <f>IFERROR(__xludf.DUMMYFUNCTION("""COMPUTED_VALUE"""),19.0)</f>
        <v>19</v>
      </c>
      <c r="N12" s="980" t="str">
        <f>IFERROR(__xludf.DUMMYFUNCTION("""COMPUTED_VALUE"""),"Túi")</f>
        <v>Túi</v>
      </c>
      <c r="O12" s="981">
        <f>IFERROR(__xludf.DUMMYFUNCTION("""COMPUTED_VALUE"""),100.0)</f>
        <v>100</v>
      </c>
      <c r="P12" s="982">
        <f>IFERROR(__xludf.DUMMYFUNCTION("""COMPUTED_VALUE"""),8030.0)</f>
        <v>8030</v>
      </c>
      <c r="Q12" s="983">
        <f>IFERROR(__xludf.DUMMYFUNCTION("""COMPUTED_VALUE"""),7000.0)</f>
        <v>7000</v>
      </c>
      <c r="R12" s="984">
        <f>IFERROR(__xludf.DUMMYFUNCTION("""COMPUTED_VALUE"""),700000.0)</f>
        <v>700000</v>
      </c>
      <c r="S12" s="985">
        <f>IFERROR(__xludf.DUMMYFUNCTION("""COMPUTED_VALUE"""),7300.0)</f>
        <v>7300</v>
      </c>
      <c r="T12" s="983">
        <f>IFERROR(__xludf.DUMMYFUNCTION("""COMPUTED_VALUE"""),6360.0)</f>
        <v>6360</v>
      </c>
      <c r="U12" s="984">
        <f>IFERROR(__xludf.DUMMYFUNCTION("""COMPUTED_VALUE"""),636360.0)</f>
        <v>636360</v>
      </c>
      <c r="V12" s="919"/>
      <c r="W12" s="978" t="str">
        <f>IFERROR(__xludf.DUMMYFUNCTION("""COMPUTED_VALUE"""),"HKTHU1910")</f>
        <v>HKTHU1910</v>
      </c>
      <c r="X12" s="979" t="str">
        <f>IFERROR(__xludf.DUMMYFUNCTION("""COMPUTED_VALUE""")," 19, 10")</f>
        <v> 19, 10</v>
      </c>
      <c r="Y12" s="980" t="str">
        <f>IFERROR(__xludf.DUMMYFUNCTION("""COMPUTED_VALUE"""),"Túi")</f>
        <v>Túi</v>
      </c>
      <c r="Z12" s="981">
        <f>IFERROR(__xludf.DUMMYFUNCTION("""COMPUTED_VALUE"""),50.0)</f>
        <v>50</v>
      </c>
      <c r="AA12" s="982">
        <f>IFERROR(__xludf.DUMMYFUNCTION("""COMPUTED_VALUE"""),17050.0)</f>
        <v>17050</v>
      </c>
      <c r="AB12" s="983">
        <f>IFERROR(__xludf.DUMMYFUNCTION("""COMPUTED_VALUE"""),11000.0)</f>
        <v>11000</v>
      </c>
      <c r="AC12" s="984">
        <f>IFERROR(__xludf.DUMMYFUNCTION("""COMPUTED_VALUE"""),550000.0)</f>
        <v>550000</v>
      </c>
      <c r="AD12" s="985">
        <f>IFERROR(__xludf.DUMMYFUNCTION("""COMPUTED_VALUE"""),15500.0)</f>
        <v>15500</v>
      </c>
      <c r="AE12" s="983">
        <f>IFERROR(__xludf.DUMMYFUNCTION("""COMPUTED_VALUE"""),10000.0)</f>
        <v>10000</v>
      </c>
      <c r="AF12" s="984">
        <f>IFERROR(__xludf.DUMMYFUNCTION("""COMPUTED_VALUE"""),500000.0)</f>
        <v>500000</v>
      </c>
      <c r="AG12" s="1"/>
      <c r="AH12" s="978" t="str">
        <f>IFERROR(__xludf.DUMMYFUNCTION("""COMPUTED_VALUE"""),"HKZCN12")</f>
        <v>HKZCN12</v>
      </c>
      <c r="AI12" s="986" t="str">
        <f>IFERROR(__xludf.DUMMYFUNCTION("""COMPUTED_VALUE"""),"Zacco 12 (ren ngoài)")</f>
        <v>Zacco 12 (ren ngoài)</v>
      </c>
      <c r="AJ12" s="980" t="str">
        <f>IFERROR(__xludf.DUMMYFUNCTION("""COMPUTED_VALUE"""),"Cái")</f>
        <v>Cái</v>
      </c>
      <c r="AK12" s="981">
        <f>IFERROR(__xludf.DUMMYFUNCTION("""COMPUTED_VALUE"""),100.0)</f>
        <v>100</v>
      </c>
      <c r="AL12" s="982"/>
      <c r="AM12" s="983">
        <f>IFERROR(__xludf.DUMMYFUNCTION("""COMPUTED_VALUE"""),16200.0)</f>
        <v>16200</v>
      </c>
      <c r="AN12" s="984">
        <f>IFERROR(__xludf.DUMMYFUNCTION("""COMPUTED_VALUE"""),1620000.0)</f>
        <v>1620000</v>
      </c>
      <c r="AO12" s="985"/>
      <c r="AP12" s="983">
        <f>IFERROR(__xludf.DUMMYFUNCTION("""COMPUTED_VALUE"""),14730.0)</f>
        <v>14730</v>
      </c>
      <c r="AQ12" s="984">
        <f>IFERROR(__xludf.DUMMYFUNCTION("""COMPUTED_VALUE"""),1472730.0)</f>
        <v>1472730</v>
      </c>
    </row>
    <row r="13">
      <c r="A13" s="967" t="str">
        <f>IFERROR(__xludf.DUMMYFUNCTION("""COMPUTED_VALUE"""),"HKCOD22")</f>
        <v>HKCOD22</v>
      </c>
      <c r="B13" s="968">
        <f>IFERROR(__xludf.DUMMYFUNCTION("""COMPUTED_VALUE"""),22.0)</f>
        <v>22</v>
      </c>
      <c r="C13" s="969" t="str">
        <f>IFERROR(__xludf.DUMMYFUNCTION("""COMPUTED_VALUE"""),"Túi")</f>
        <v>Túi</v>
      </c>
      <c r="D13" s="970">
        <f>IFERROR(__xludf.DUMMYFUNCTION("""COMPUTED_VALUE"""),50.0)</f>
        <v>50</v>
      </c>
      <c r="E13" s="971">
        <f>IFERROR(__xludf.DUMMYFUNCTION("""COMPUTED_VALUE"""),18150.0)</f>
        <v>18150</v>
      </c>
      <c r="F13" s="972">
        <f>IFERROR(__xludf.DUMMYFUNCTION("""COMPUTED_VALUE"""),13000.0)</f>
        <v>13000</v>
      </c>
      <c r="G13" s="973">
        <f>IFERROR(__xludf.DUMMYFUNCTION("""COMPUTED_VALUE"""),650000.0)</f>
        <v>650000</v>
      </c>
      <c r="H13" s="974">
        <f>IFERROR(__xludf.DUMMYFUNCTION("""COMPUTED_VALUE"""),16500.0)</f>
        <v>16500</v>
      </c>
      <c r="I13" s="975">
        <f>IFERROR(__xludf.DUMMYFUNCTION("""COMPUTED_VALUE"""),11820.0)</f>
        <v>11820</v>
      </c>
      <c r="J13" s="976">
        <f>IFERROR(__xludf.DUMMYFUNCTION("""COMPUTED_VALUE"""),590910.0)</f>
        <v>590910</v>
      </c>
      <c r="K13" s="919"/>
      <c r="L13" s="967" t="str">
        <f>IFERROR(__xludf.DUMMYFUNCTION("""COMPUTED_VALUE"""),"HKNOI22")</f>
        <v>HKNOI22</v>
      </c>
      <c r="M13" s="968">
        <f>IFERROR(__xludf.DUMMYFUNCTION("""COMPUTED_VALUE"""),22.0)</f>
        <v>22</v>
      </c>
      <c r="N13" s="969" t="str">
        <f>IFERROR(__xludf.DUMMYFUNCTION("""COMPUTED_VALUE"""),"Túi")</f>
        <v>Túi</v>
      </c>
      <c r="O13" s="970">
        <f>IFERROR(__xludf.DUMMYFUNCTION("""COMPUTED_VALUE"""),80.0)</f>
        <v>80</v>
      </c>
      <c r="P13" s="971">
        <f>IFERROR(__xludf.DUMMYFUNCTION("""COMPUTED_VALUE"""),10010.0)</f>
        <v>10010</v>
      </c>
      <c r="Q13" s="972">
        <f>IFERROR(__xludf.DUMMYFUNCTION("""COMPUTED_VALUE"""),9000.0)</f>
        <v>9000</v>
      </c>
      <c r="R13" s="973">
        <f>IFERROR(__xludf.DUMMYFUNCTION("""COMPUTED_VALUE"""),720000.0)</f>
        <v>720000</v>
      </c>
      <c r="S13" s="974">
        <f>IFERROR(__xludf.DUMMYFUNCTION("""COMPUTED_VALUE"""),9100.0)</f>
        <v>9100</v>
      </c>
      <c r="T13" s="975">
        <f>IFERROR(__xludf.DUMMYFUNCTION("""COMPUTED_VALUE"""),8180.0)</f>
        <v>8180</v>
      </c>
      <c r="U13" s="976">
        <f>IFERROR(__xludf.DUMMYFUNCTION("""COMPUTED_VALUE"""),654550.0)</f>
        <v>654550</v>
      </c>
      <c r="V13" s="919"/>
      <c r="W13" s="967" t="str">
        <f>IFERROR(__xludf.DUMMYFUNCTION("""COMPUTED_VALUE"""),"HKTHU1912")</f>
        <v>HKTHU1912</v>
      </c>
      <c r="X13" s="968" t="str">
        <f>IFERROR(__xludf.DUMMYFUNCTION("""COMPUTED_VALUE""")," 19, 12")</f>
        <v> 19, 12</v>
      </c>
      <c r="Y13" s="969" t="str">
        <f>IFERROR(__xludf.DUMMYFUNCTION("""COMPUTED_VALUE"""),"Túi")</f>
        <v>Túi</v>
      </c>
      <c r="Z13" s="970">
        <f>IFERROR(__xludf.DUMMYFUNCTION("""COMPUTED_VALUE"""),50.0)</f>
        <v>50</v>
      </c>
      <c r="AA13" s="971">
        <f>IFERROR(__xludf.DUMMYFUNCTION("""COMPUTED_VALUE"""),17050.0)</f>
        <v>17050</v>
      </c>
      <c r="AB13" s="972">
        <f>IFERROR(__xludf.DUMMYFUNCTION("""COMPUTED_VALUE"""),11000.0)</f>
        <v>11000</v>
      </c>
      <c r="AC13" s="973">
        <f>IFERROR(__xludf.DUMMYFUNCTION("""COMPUTED_VALUE"""),550000.0)</f>
        <v>550000</v>
      </c>
      <c r="AD13" s="974">
        <f>IFERROR(__xludf.DUMMYFUNCTION("""COMPUTED_VALUE"""),15500.0)</f>
        <v>15500</v>
      </c>
      <c r="AE13" s="975">
        <f>IFERROR(__xludf.DUMMYFUNCTION("""COMPUTED_VALUE"""),10000.0)</f>
        <v>10000</v>
      </c>
      <c r="AF13" s="976">
        <f>IFERROR(__xludf.DUMMYFUNCTION("""COMPUTED_VALUE"""),500000.0)</f>
        <v>500000</v>
      </c>
      <c r="AG13" s="1"/>
      <c r="AH13" s="967" t="str">
        <f>IFERROR(__xludf.DUMMYFUNCTION("""COMPUTED_VALUE"""),"HKZCN121D")</f>
        <v>HKZCN121D</v>
      </c>
      <c r="AI13" s="977" t="str">
        <f>IFERROR(__xludf.DUMMYFUNCTION("""COMPUTED_VALUE"""),"Zacco 12 (ren ngoài) 1 đầu")</f>
        <v>Zacco 12 (ren ngoài) 1 đầu</v>
      </c>
      <c r="AJ13" s="969" t="str">
        <f>IFERROR(__xludf.DUMMYFUNCTION("""COMPUTED_VALUE"""),"Cái")</f>
        <v>Cái</v>
      </c>
      <c r="AK13" s="970">
        <f>IFERROR(__xludf.DUMMYFUNCTION("""COMPUTED_VALUE"""),100.0)</f>
        <v>100</v>
      </c>
      <c r="AL13" s="971">
        <f>IFERROR(__xludf.DUMMYFUNCTION("""COMPUTED_VALUE"""),7699.999999999999)</f>
        <v>7700</v>
      </c>
      <c r="AM13" s="972">
        <f>IFERROR(__xludf.DUMMYFUNCTION("""COMPUTED_VALUE"""),11000.0)</f>
        <v>11000</v>
      </c>
      <c r="AN13" s="973">
        <f>IFERROR(__xludf.DUMMYFUNCTION("""COMPUTED_VALUE"""),1100000.0)</f>
        <v>1100000</v>
      </c>
      <c r="AO13" s="974">
        <f>IFERROR(__xludf.DUMMYFUNCTION("""COMPUTED_VALUE"""),7000.0)</f>
        <v>7000</v>
      </c>
      <c r="AP13" s="975">
        <f>IFERROR(__xludf.DUMMYFUNCTION("""COMPUTED_VALUE"""),10000.0)</f>
        <v>10000</v>
      </c>
      <c r="AQ13" s="976">
        <f>IFERROR(__xludf.DUMMYFUNCTION("""COMPUTED_VALUE"""),1000000.0)</f>
        <v>1000000</v>
      </c>
    </row>
    <row r="14">
      <c r="A14" s="978" t="str">
        <f>IFERROR(__xludf.DUMMYFUNCTION("""COMPUTED_VALUE"""),"HKCOD25")</f>
        <v>HKCOD25</v>
      </c>
      <c r="B14" s="979">
        <f>IFERROR(__xludf.DUMMYFUNCTION("""COMPUTED_VALUE"""),25.0)</f>
        <v>25</v>
      </c>
      <c r="C14" s="980" t="str">
        <f>IFERROR(__xludf.DUMMYFUNCTION("""COMPUTED_VALUE"""),"Túi")</f>
        <v>Túi</v>
      </c>
      <c r="D14" s="981">
        <f>IFERROR(__xludf.DUMMYFUNCTION("""COMPUTED_VALUE"""),40.0)</f>
        <v>40</v>
      </c>
      <c r="E14" s="982">
        <f>IFERROR(__xludf.DUMMYFUNCTION("""COMPUTED_VALUE"""),22000.0)</f>
        <v>22000</v>
      </c>
      <c r="F14" s="983">
        <f>IFERROR(__xludf.DUMMYFUNCTION("""COMPUTED_VALUE"""),18000.0)</f>
        <v>18000</v>
      </c>
      <c r="G14" s="984">
        <f>IFERROR(__xludf.DUMMYFUNCTION("""COMPUTED_VALUE"""),720000.0)</f>
        <v>720000</v>
      </c>
      <c r="H14" s="985">
        <f>IFERROR(__xludf.DUMMYFUNCTION("""COMPUTED_VALUE"""),20000.0)</f>
        <v>20000</v>
      </c>
      <c r="I14" s="983">
        <f>IFERROR(__xludf.DUMMYFUNCTION("""COMPUTED_VALUE"""),16360.0)</f>
        <v>16360</v>
      </c>
      <c r="J14" s="984">
        <f>IFERROR(__xludf.DUMMYFUNCTION("""COMPUTED_VALUE"""),654550.0)</f>
        <v>654550</v>
      </c>
      <c r="K14" s="919"/>
      <c r="L14" s="978" t="str">
        <f>IFERROR(__xludf.DUMMYFUNCTION("""COMPUTED_VALUE"""),"HKNOI25")</f>
        <v>HKNOI25</v>
      </c>
      <c r="M14" s="979">
        <f>IFERROR(__xludf.DUMMYFUNCTION("""COMPUTED_VALUE"""),25.0)</f>
        <v>25</v>
      </c>
      <c r="N14" s="980" t="str">
        <f>IFERROR(__xludf.DUMMYFUNCTION("""COMPUTED_VALUE"""),"Túi")</f>
        <v>Túi</v>
      </c>
      <c r="O14" s="981">
        <f>IFERROR(__xludf.DUMMYFUNCTION("""COMPUTED_VALUE"""),50.0)</f>
        <v>50</v>
      </c>
      <c r="P14" s="982">
        <f>IFERROR(__xludf.DUMMYFUNCTION("""COMPUTED_VALUE"""),14960.0)</f>
        <v>14960</v>
      </c>
      <c r="Q14" s="983">
        <f>IFERROR(__xludf.DUMMYFUNCTION("""COMPUTED_VALUE"""),12000.0)</f>
        <v>12000</v>
      </c>
      <c r="R14" s="984">
        <f>IFERROR(__xludf.DUMMYFUNCTION("""COMPUTED_VALUE"""),600000.0)</f>
        <v>600000</v>
      </c>
      <c r="S14" s="985">
        <f>IFERROR(__xludf.DUMMYFUNCTION("""COMPUTED_VALUE"""),13600.0)</f>
        <v>13600</v>
      </c>
      <c r="T14" s="983">
        <f>IFERROR(__xludf.DUMMYFUNCTION("""COMPUTED_VALUE"""),10910.0)</f>
        <v>10910</v>
      </c>
      <c r="U14" s="984">
        <f>IFERROR(__xludf.DUMMYFUNCTION("""COMPUTED_VALUE"""),545450.0)</f>
        <v>545450</v>
      </c>
      <c r="V14" s="919"/>
      <c r="W14" s="978" t="str">
        <f>IFERROR(__xludf.DUMMYFUNCTION("""COMPUTED_VALUE"""),"HKTHU1916")</f>
        <v>HKTHU1916</v>
      </c>
      <c r="X14" s="979" t="str">
        <f>IFERROR(__xludf.DUMMYFUNCTION("""COMPUTED_VALUE""")," 19, 16")</f>
        <v> 19, 16</v>
      </c>
      <c r="Y14" s="980" t="str">
        <f>IFERROR(__xludf.DUMMYFUNCTION("""COMPUTED_VALUE"""),"Túi")</f>
        <v>Túi</v>
      </c>
      <c r="Z14" s="981">
        <f>IFERROR(__xludf.DUMMYFUNCTION("""COMPUTED_VALUE"""),50.0)</f>
        <v>50</v>
      </c>
      <c r="AA14" s="982">
        <f>IFERROR(__xludf.DUMMYFUNCTION("""COMPUTED_VALUE"""),17050.0)</f>
        <v>17050</v>
      </c>
      <c r="AB14" s="983">
        <f>IFERROR(__xludf.DUMMYFUNCTION("""COMPUTED_VALUE"""),11000.0)</f>
        <v>11000</v>
      </c>
      <c r="AC14" s="984">
        <f>IFERROR(__xludf.DUMMYFUNCTION("""COMPUTED_VALUE"""),550000.0)</f>
        <v>550000</v>
      </c>
      <c r="AD14" s="985">
        <f>IFERROR(__xludf.DUMMYFUNCTION("""COMPUTED_VALUE"""),15500.0)</f>
        <v>15500</v>
      </c>
      <c r="AE14" s="983">
        <f>IFERROR(__xludf.DUMMYFUNCTION("""COMPUTED_VALUE"""),10000.0)</f>
        <v>10000</v>
      </c>
      <c r="AF14" s="984">
        <f>IFERROR(__xludf.DUMMYFUNCTION("""COMPUTED_VALUE"""),500000.0)</f>
        <v>500000</v>
      </c>
      <c r="AG14" s="1"/>
      <c r="AH14" s="978" t="str">
        <f>IFERROR(__xludf.DUMMYFUNCTION("""COMPUTED_VALUE"""),"HKZCT12")</f>
        <v>HKZCT12</v>
      </c>
      <c r="AI14" s="986" t="str">
        <f>IFERROR(__xludf.DUMMYFUNCTION("""COMPUTED_VALUE"""),"Zacco 12 (ren trong)")</f>
        <v>Zacco 12 (ren trong)</v>
      </c>
      <c r="AJ14" s="980" t="str">
        <f>IFERROR(__xludf.DUMMYFUNCTION("""COMPUTED_VALUE"""),"Cái")</f>
        <v>Cái</v>
      </c>
      <c r="AK14" s="981">
        <f>IFERROR(__xludf.DUMMYFUNCTION("""COMPUTED_VALUE"""),100.0)</f>
        <v>100</v>
      </c>
      <c r="AL14" s="982">
        <f>IFERROR(__xludf.DUMMYFUNCTION("""COMPUTED_VALUE"""),9020.0)</f>
        <v>9020</v>
      </c>
      <c r="AM14" s="983">
        <f>IFERROR(__xludf.DUMMYFUNCTION("""COMPUTED_VALUE"""),9020.0)</f>
        <v>9020</v>
      </c>
      <c r="AN14" s="984">
        <f>IFERROR(__xludf.DUMMYFUNCTION("""COMPUTED_VALUE"""),902000.0)</f>
        <v>902000</v>
      </c>
      <c r="AO14" s="985">
        <f>IFERROR(__xludf.DUMMYFUNCTION("""COMPUTED_VALUE"""),8200.0)</f>
        <v>8200</v>
      </c>
      <c r="AP14" s="983">
        <f>IFERROR(__xludf.DUMMYFUNCTION("""COMPUTED_VALUE"""),8200.0)</f>
        <v>8200</v>
      </c>
      <c r="AQ14" s="984">
        <f>IFERROR(__xludf.DUMMYFUNCTION("""COMPUTED_VALUE"""),820000.0)</f>
        <v>820000</v>
      </c>
    </row>
    <row r="15">
      <c r="A15" s="967" t="str">
        <f>IFERROR(__xludf.DUMMYFUNCTION("""COMPUTED_VALUE"""),"HKCOD28")</f>
        <v>HKCOD28</v>
      </c>
      <c r="B15" s="968">
        <f>IFERROR(__xludf.DUMMYFUNCTION("""COMPUTED_VALUE"""),28.0)</f>
        <v>28</v>
      </c>
      <c r="C15" s="969" t="str">
        <f>IFERROR(__xludf.DUMMYFUNCTION("""COMPUTED_VALUE"""),"Túi")</f>
        <v>Túi</v>
      </c>
      <c r="D15" s="970">
        <f>IFERROR(__xludf.DUMMYFUNCTION("""COMPUTED_VALUE"""),25.0)</f>
        <v>25</v>
      </c>
      <c r="E15" s="971">
        <f>IFERROR(__xludf.DUMMYFUNCTION("""COMPUTED_VALUE"""),28050.0)</f>
        <v>28050</v>
      </c>
      <c r="F15" s="972">
        <f>IFERROR(__xludf.DUMMYFUNCTION("""COMPUTED_VALUE"""),23000.0)</f>
        <v>23000</v>
      </c>
      <c r="G15" s="973">
        <f>IFERROR(__xludf.DUMMYFUNCTION("""COMPUTED_VALUE"""),575000.0)</f>
        <v>575000</v>
      </c>
      <c r="H15" s="974">
        <f>IFERROR(__xludf.DUMMYFUNCTION("""COMPUTED_VALUE"""),25500.0)</f>
        <v>25500</v>
      </c>
      <c r="I15" s="975">
        <f>IFERROR(__xludf.DUMMYFUNCTION("""COMPUTED_VALUE"""),20910.0)</f>
        <v>20910</v>
      </c>
      <c r="J15" s="976">
        <f>IFERROR(__xludf.DUMMYFUNCTION("""COMPUTED_VALUE"""),522730.0)</f>
        <v>522730</v>
      </c>
      <c r="K15" s="919"/>
      <c r="L15" s="967" t="str">
        <f>IFERROR(__xludf.DUMMYFUNCTION("""COMPUTED_VALUE"""),"HKNOI28")</f>
        <v>HKNOI28</v>
      </c>
      <c r="M15" s="968">
        <f>IFERROR(__xludf.DUMMYFUNCTION("""COMPUTED_VALUE"""),28.0)</f>
        <v>28</v>
      </c>
      <c r="N15" s="969" t="str">
        <f>IFERROR(__xludf.DUMMYFUNCTION("""COMPUTED_VALUE"""),"Túi")</f>
        <v>Túi</v>
      </c>
      <c r="O15" s="970">
        <f>IFERROR(__xludf.DUMMYFUNCTION("""COMPUTED_VALUE"""),40.0)</f>
        <v>40</v>
      </c>
      <c r="P15" s="971">
        <f>IFERROR(__xludf.DUMMYFUNCTION("""COMPUTED_VALUE"""),18040.0)</f>
        <v>18040</v>
      </c>
      <c r="Q15" s="972">
        <f>IFERROR(__xludf.DUMMYFUNCTION("""COMPUTED_VALUE"""),14000.0)</f>
        <v>14000</v>
      </c>
      <c r="R15" s="973">
        <f>IFERROR(__xludf.DUMMYFUNCTION("""COMPUTED_VALUE"""),560000.0)</f>
        <v>560000</v>
      </c>
      <c r="S15" s="974">
        <f>IFERROR(__xludf.DUMMYFUNCTION("""COMPUTED_VALUE"""),16400.0)</f>
        <v>16400</v>
      </c>
      <c r="T15" s="975">
        <f>IFERROR(__xludf.DUMMYFUNCTION("""COMPUTED_VALUE"""),12730.0)</f>
        <v>12730</v>
      </c>
      <c r="U15" s="976">
        <f>IFERROR(__xludf.DUMMYFUNCTION("""COMPUTED_VALUE"""),509090.0)</f>
        <v>509090</v>
      </c>
      <c r="V15" s="919"/>
      <c r="W15" s="967" t="str">
        <f>IFERROR(__xludf.DUMMYFUNCTION("""COMPUTED_VALUE"""),"HKTHU2210")</f>
        <v>HKTHU2210</v>
      </c>
      <c r="X15" s="968" t="str">
        <f>IFERROR(__xludf.DUMMYFUNCTION("""COMPUTED_VALUE""")," 22, 10")</f>
        <v> 22, 10</v>
      </c>
      <c r="Y15" s="969" t="str">
        <f>IFERROR(__xludf.DUMMYFUNCTION("""COMPUTED_VALUE"""),"Túi")</f>
        <v>Túi</v>
      </c>
      <c r="Z15" s="970">
        <f>IFERROR(__xludf.DUMMYFUNCTION("""COMPUTED_VALUE"""),30.0)</f>
        <v>30</v>
      </c>
      <c r="AA15" s="971">
        <f>IFERROR(__xludf.DUMMYFUNCTION("""COMPUTED_VALUE"""),18040.0)</f>
        <v>18040</v>
      </c>
      <c r="AB15" s="972">
        <f>IFERROR(__xludf.DUMMYFUNCTION("""COMPUTED_VALUE"""),14000.0)</f>
        <v>14000</v>
      </c>
      <c r="AC15" s="973">
        <f>IFERROR(__xludf.DUMMYFUNCTION("""COMPUTED_VALUE"""),420000.0)</f>
        <v>420000</v>
      </c>
      <c r="AD15" s="974">
        <f>IFERROR(__xludf.DUMMYFUNCTION("""COMPUTED_VALUE"""),16400.0)</f>
        <v>16400</v>
      </c>
      <c r="AE15" s="975">
        <f>IFERROR(__xludf.DUMMYFUNCTION("""COMPUTED_VALUE"""),12730.0)</f>
        <v>12730</v>
      </c>
      <c r="AF15" s="976">
        <f>IFERROR(__xludf.DUMMYFUNCTION("""COMPUTED_VALUE"""),381820.0)</f>
        <v>381820</v>
      </c>
      <c r="AG15" s="1"/>
      <c r="AH15" s="967" t="str">
        <f>IFERROR(__xludf.DUMMYFUNCTION("""COMPUTED_VALUE"""),"HKZC122D")</f>
        <v>HKZC122D</v>
      </c>
      <c r="AI15" s="977" t="str">
        <f>IFERROR(__xludf.DUMMYFUNCTION("""COMPUTED_VALUE"""),"Zacco 12, 2 đầu (ren ngoài)")</f>
        <v>Zacco 12, 2 đầu (ren ngoài)</v>
      </c>
      <c r="AJ15" s="969" t="str">
        <f>IFERROR(__xludf.DUMMYFUNCTION("""COMPUTED_VALUE"""),"Cái")</f>
        <v>Cái</v>
      </c>
      <c r="AK15" s="970">
        <f>IFERROR(__xludf.DUMMYFUNCTION("""COMPUTED_VALUE"""),100.0)</f>
        <v>100</v>
      </c>
      <c r="AL15" s="971">
        <f>IFERROR(__xludf.DUMMYFUNCTION("""COMPUTED_VALUE"""),7699.999999999999)</f>
        <v>7700</v>
      </c>
      <c r="AM15" s="972">
        <f>IFERROR(__xludf.DUMMYFUNCTION("""COMPUTED_VALUE"""),11000.0)</f>
        <v>11000</v>
      </c>
      <c r="AN15" s="973">
        <f>IFERROR(__xludf.DUMMYFUNCTION("""COMPUTED_VALUE"""),1100000.0)</f>
        <v>1100000</v>
      </c>
      <c r="AO15" s="974">
        <f>IFERROR(__xludf.DUMMYFUNCTION("""COMPUTED_VALUE"""),7000.0)</f>
        <v>7000</v>
      </c>
      <c r="AP15" s="975">
        <f>IFERROR(__xludf.DUMMYFUNCTION("""COMPUTED_VALUE"""),10000.0)</f>
        <v>10000</v>
      </c>
      <c r="AQ15" s="976">
        <f>IFERROR(__xludf.DUMMYFUNCTION("""COMPUTED_VALUE"""),1000000.0)</f>
        <v>1000000</v>
      </c>
    </row>
    <row r="16">
      <c r="A16" s="978" t="str">
        <f>IFERROR(__xludf.DUMMYFUNCTION("""COMPUTED_VALUE"""),"HKCOD32")</f>
        <v>HKCOD32</v>
      </c>
      <c r="B16" s="979">
        <f>IFERROR(__xludf.DUMMYFUNCTION("""COMPUTED_VALUE"""),32.0)</f>
        <v>32</v>
      </c>
      <c r="C16" s="980" t="str">
        <f>IFERROR(__xludf.DUMMYFUNCTION("""COMPUTED_VALUE"""),"Túi")</f>
        <v>Túi</v>
      </c>
      <c r="D16" s="981">
        <f>IFERROR(__xludf.DUMMYFUNCTION("""COMPUTED_VALUE"""),20.0)</f>
        <v>20</v>
      </c>
      <c r="E16" s="982">
        <f>IFERROR(__xludf.DUMMYFUNCTION("""COMPUTED_VALUE"""),44990.0)</f>
        <v>44990</v>
      </c>
      <c r="F16" s="983">
        <f>IFERROR(__xludf.DUMMYFUNCTION("""COMPUTED_VALUE"""),37000.0)</f>
        <v>37000</v>
      </c>
      <c r="G16" s="984">
        <f>IFERROR(__xludf.DUMMYFUNCTION("""COMPUTED_VALUE"""),740000.0)</f>
        <v>740000</v>
      </c>
      <c r="H16" s="985">
        <f>IFERROR(__xludf.DUMMYFUNCTION("""COMPUTED_VALUE"""),40900.0)</f>
        <v>40900</v>
      </c>
      <c r="I16" s="983">
        <f>IFERROR(__xludf.DUMMYFUNCTION("""COMPUTED_VALUE"""),33640.0)</f>
        <v>33640</v>
      </c>
      <c r="J16" s="984">
        <f>IFERROR(__xludf.DUMMYFUNCTION("""COMPUTED_VALUE"""),672730.0)</f>
        <v>672730</v>
      </c>
      <c r="K16" s="919"/>
      <c r="L16" s="978" t="str">
        <f>IFERROR(__xludf.DUMMYFUNCTION("""COMPUTED_VALUE"""),"HKNOI32")</f>
        <v>HKNOI32</v>
      </c>
      <c r="M16" s="979">
        <f>IFERROR(__xludf.DUMMYFUNCTION("""COMPUTED_VALUE"""),32.0)</f>
        <v>32</v>
      </c>
      <c r="N16" s="980" t="str">
        <f>IFERROR(__xludf.DUMMYFUNCTION("""COMPUTED_VALUE"""),"Túi")</f>
        <v>Túi</v>
      </c>
      <c r="O16" s="981">
        <f>IFERROR(__xludf.DUMMYFUNCTION("""COMPUTED_VALUE"""),30.0)</f>
        <v>30</v>
      </c>
      <c r="P16" s="982">
        <f>IFERROR(__xludf.DUMMYFUNCTION("""COMPUTED_VALUE"""),20020.0)</f>
        <v>20020</v>
      </c>
      <c r="Q16" s="983">
        <f>IFERROR(__xludf.DUMMYFUNCTION("""COMPUTED_VALUE"""),18000.0)</f>
        <v>18000</v>
      </c>
      <c r="R16" s="984">
        <f>IFERROR(__xludf.DUMMYFUNCTION("""COMPUTED_VALUE"""),540000.0)</f>
        <v>540000</v>
      </c>
      <c r="S16" s="985">
        <f>IFERROR(__xludf.DUMMYFUNCTION("""COMPUTED_VALUE"""),18200.0)</f>
        <v>18200</v>
      </c>
      <c r="T16" s="983">
        <f>IFERROR(__xludf.DUMMYFUNCTION("""COMPUTED_VALUE"""),16360.0)</f>
        <v>16360</v>
      </c>
      <c r="U16" s="984">
        <f>IFERROR(__xludf.DUMMYFUNCTION("""COMPUTED_VALUE"""),490910.0)</f>
        <v>490910</v>
      </c>
      <c r="V16" s="919"/>
      <c r="W16" s="978" t="str">
        <f>IFERROR(__xludf.DUMMYFUNCTION("""COMPUTED_VALUE"""),"HKTHU2212")</f>
        <v>HKTHU2212</v>
      </c>
      <c r="X16" s="979" t="str">
        <f>IFERROR(__xludf.DUMMYFUNCTION("""COMPUTED_VALUE""")," 22, 12")</f>
        <v> 22, 12</v>
      </c>
      <c r="Y16" s="980" t="str">
        <f>IFERROR(__xludf.DUMMYFUNCTION("""COMPUTED_VALUE"""),"Túi")</f>
        <v>Túi</v>
      </c>
      <c r="Z16" s="981">
        <f>IFERROR(__xludf.DUMMYFUNCTION("""COMPUTED_VALUE"""),30.0)</f>
        <v>30</v>
      </c>
      <c r="AA16" s="982">
        <f>IFERROR(__xludf.DUMMYFUNCTION("""COMPUTED_VALUE"""),18040.0)</f>
        <v>18040</v>
      </c>
      <c r="AB16" s="983">
        <f>IFERROR(__xludf.DUMMYFUNCTION("""COMPUTED_VALUE"""),14000.0)</f>
        <v>14000</v>
      </c>
      <c r="AC16" s="984">
        <f>IFERROR(__xludf.DUMMYFUNCTION("""COMPUTED_VALUE"""),420000.0)</f>
        <v>420000</v>
      </c>
      <c r="AD16" s="985">
        <f>IFERROR(__xludf.DUMMYFUNCTION("""COMPUTED_VALUE"""),16400.0)</f>
        <v>16400</v>
      </c>
      <c r="AE16" s="983">
        <f>IFERROR(__xludf.DUMMYFUNCTION("""COMPUTED_VALUE"""),12730.0)</f>
        <v>12730</v>
      </c>
      <c r="AF16" s="984">
        <f>IFERROR(__xludf.DUMMYFUNCTION("""COMPUTED_VALUE"""),381820.0)</f>
        <v>381820</v>
      </c>
      <c r="AG16" s="1"/>
      <c r="AH16" s="978" t="str">
        <f>IFERROR(__xludf.DUMMYFUNCTION("""COMPUTED_VALUE"""),"HKZCN16")</f>
        <v>HKZCN16</v>
      </c>
      <c r="AI16" s="986" t="str">
        <f>IFERROR(__xludf.DUMMYFUNCTION("""COMPUTED_VALUE"""),"Zacco 16 (ren ngoài)")</f>
        <v>Zacco 16 (ren ngoài)</v>
      </c>
      <c r="AJ16" s="980" t="str">
        <f>IFERROR(__xludf.DUMMYFUNCTION("""COMPUTED_VALUE"""),"Cái")</f>
        <v>Cái</v>
      </c>
      <c r="AK16" s="981">
        <f>IFERROR(__xludf.DUMMYFUNCTION("""COMPUTED_VALUE"""),20.0)</f>
        <v>20</v>
      </c>
      <c r="AL16" s="982"/>
      <c r="AM16" s="983">
        <f>IFERROR(__xludf.DUMMYFUNCTION("""COMPUTED_VALUE"""),54000.0)</f>
        <v>54000</v>
      </c>
      <c r="AN16" s="984">
        <f>IFERROR(__xludf.DUMMYFUNCTION("""COMPUTED_VALUE"""),1080000.0)</f>
        <v>1080000</v>
      </c>
      <c r="AO16" s="985"/>
      <c r="AP16" s="983">
        <f>IFERROR(__xludf.DUMMYFUNCTION("""COMPUTED_VALUE"""),49090.0)</f>
        <v>49090</v>
      </c>
      <c r="AQ16" s="984">
        <f>IFERROR(__xludf.DUMMYFUNCTION("""COMPUTED_VALUE"""),981820.0)</f>
        <v>981820</v>
      </c>
    </row>
    <row r="17">
      <c r="A17" s="967" t="str">
        <f>IFERROR(__xludf.DUMMYFUNCTION("""COMPUTED_VALUE"""),"HKCOD35")</f>
        <v>HKCOD35</v>
      </c>
      <c r="B17" s="968">
        <f>IFERROR(__xludf.DUMMYFUNCTION("""COMPUTED_VALUE"""),35.0)</f>
        <v>35</v>
      </c>
      <c r="C17" s="969" t="str">
        <f>IFERROR(__xludf.DUMMYFUNCTION("""COMPUTED_VALUE"""),"Túi")</f>
        <v>Túi</v>
      </c>
      <c r="D17" s="970">
        <f>IFERROR(__xludf.DUMMYFUNCTION("""COMPUTED_VALUE"""),15.0)</f>
        <v>15</v>
      </c>
      <c r="E17" s="971">
        <f>IFERROR(__xludf.DUMMYFUNCTION("""COMPUTED_VALUE"""),47960.0)</f>
        <v>47960</v>
      </c>
      <c r="F17" s="972">
        <f>IFERROR(__xludf.DUMMYFUNCTION("""COMPUTED_VALUE"""),39000.0)</f>
        <v>39000</v>
      </c>
      <c r="G17" s="973">
        <f>IFERROR(__xludf.DUMMYFUNCTION("""COMPUTED_VALUE"""),585000.0)</f>
        <v>585000</v>
      </c>
      <c r="H17" s="974">
        <f>IFERROR(__xludf.DUMMYFUNCTION("""COMPUTED_VALUE"""),43600.0)</f>
        <v>43600</v>
      </c>
      <c r="I17" s="975">
        <f>IFERROR(__xludf.DUMMYFUNCTION("""COMPUTED_VALUE"""),35450.0)</f>
        <v>35450</v>
      </c>
      <c r="J17" s="976">
        <f>IFERROR(__xludf.DUMMYFUNCTION("""COMPUTED_VALUE"""),531820.0)</f>
        <v>531820</v>
      </c>
      <c r="K17" s="919"/>
      <c r="L17" s="967" t="str">
        <f>IFERROR(__xludf.DUMMYFUNCTION("""COMPUTED_VALUE"""),"HKNOI35")</f>
        <v>HKNOI35</v>
      </c>
      <c r="M17" s="968">
        <f>IFERROR(__xludf.DUMMYFUNCTION("""COMPUTED_VALUE"""),35.0)</f>
        <v>35</v>
      </c>
      <c r="N17" s="969" t="str">
        <f>IFERROR(__xludf.DUMMYFUNCTION("""COMPUTED_VALUE"""),"Túi")</f>
        <v>Túi</v>
      </c>
      <c r="O17" s="970">
        <f>IFERROR(__xludf.DUMMYFUNCTION("""COMPUTED_VALUE"""),25.0)</f>
        <v>25</v>
      </c>
      <c r="P17" s="971">
        <f>IFERROR(__xludf.DUMMYFUNCTION("""COMPUTED_VALUE"""),28050.0)</f>
        <v>28050</v>
      </c>
      <c r="Q17" s="972">
        <f>IFERROR(__xludf.DUMMYFUNCTION("""COMPUTED_VALUE"""),22000.0)</f>
        <v>22000</v>
      </c>
      <c r="R17" s="973">
        <f>IFERROR(__xludf.DUMMYFUNCTION("""COMPUTED_VALUE"""),550000.0)</f>
        <v>550000</v>
      </c>
      <c r="S17" s="974">
        <f>IFERROR(__xludf.DUMMYFUNCTION("""COMPUTED_VALUE"""),25500.0)</f>
        <v>25500</v>
      </c>
      <c r="T17" s="975">
        <f>IFERROR(__xludf.DUMMYFUNCTION("""COMPUTED_VALUE"""),20000.0)</f>
        <v>20000</v>
      </c>
      <c r="U17" s="976">
        <f>IFERROR(__xludf.DUMMYFUNCTION("""COMPUTED_VALUE"""),500000.0)</f>
        <v>500000</v>
      </c>
      <c r="V17" s="919"/>
      <c r="W17" s="967" t="str">
        <f>IFERROR(__xludf.DUMMYFUNCTION("""COMPUTED_VALUE"""),"HKTHU2216")</f>
        <v>HKTHU2216</v>
      </c>
      <c r="X17" s="968" t="str">
        <f>IFERROR(__xludf.DUMMYFUNCTION("""COMPUTED_VALUE""")," 22, 16")</f>
        <v> 22, 16</v>
      </c>
      <c r="Y17" s="969" t="str">
        <f>IFERROR(__xludf.DUMMYFUNCTION("""COMPUTED_VALUE"""),"Túi")</f>
        <v>Túi</v>
      </c>
      <c r="Z17" s="970">
        <f>IFERROR(__xludf.DUMMYFUNCTION("""COMPUTED_VALUE"""),30.0)</f>
        <v>30</v>
      </c>
      <c r="AA17" s="971">
        <f>IFERROR(__xludf.DUMMYFUNCTION("""COMPUTED_VALUE"""),18040.0)</f>
        <v>18040</v>
      </c>
      <c r="AB17" s="972">
        <f>IFERROR(__xludf.DUMMYFUNCTION("""COMPUTED_VALUE"""),14000.0)</f>
        <v>14000</v>
      </c>
      <c r="AC17" s="973">
        <f>IFERROR(__xludf.DUMMYFUNCTION("""COMPUTED_VALUE"""),420000.0)</f>
        <v>420000</v>
      </c>
      <c r="AD17" s="974">
        <f>IFERROR(__xludf.DUMMYFUNCTION("""COMPUTED_VALUE"""),16400.0)</f>
        <v>16400</v>
      </c>
      <c r="AE17" s="975">
        <f>IFERROR(__xludf.DUMMYFUNCTION("""COMPUTED_VALUE"""),12730.0)</f>
        <v>12730</v>
      </c>
      <c r="AF17" s="976">
        <f>IFERROR(__xludf.DUMMYFUNCTION("""COMPUTED_VALUE"""),381820.0)</f>
        <v>381820</v>
      </c>
      <c r="AG17" s="1"/>
      <c r="AH17" s="967" t="str">
        <f>IFERROR(__xludf.DUMMYFUNCTION("""COMPUTED_VALUE"""),"HKZCT16")</f>
        <v>HKZCT16</v>
      </c>
      <c r="AI17" s="977" t="str">
        <f>IFERROR(__xludf.DUMMYFUNCTION("""COMPUTED_VALUE"""),"Zacco 16 (ren trong)")</f>
        <v>Zacco 16 (ren trong)</v>
      </c>
      <c r="AJ17" s="969" t="str">
        <f>IFERROR(__xludf.DUMMYFUNCTION("""COMPUTED_VALUE"""),"Cái")</f>
        <v>Cái</v>
      </c>
      <c r="AK17" s="970">
        <f>IFERROR(__xludf.DUMMYFUNCTION("""COMPUTED_VALUE"""),20.0)</f>
        <v>20</v>
      </c>
      <c r="AL17" s="971">
        <f>IFERROR(__xludf.DUMMYFUNCTION("""COMPUTED_VALUE"""),12980.0)</f>
        <v>12980</v>
      </c>
      <c r="AM17" s="972">
        <f>IFERROR(__xludf.DUMMYFUNCTION("""COMPUTED_VALUE"""),12980.0)</f>
        <v>12980</v>
      </c>
      <c r="AN17" s="973">
        <f>IFERROR(__xludf.DUMMYFUNCTION("""COMPUTED_VALUE"""),259600.0)</f>
        <v>259600</v>
      </c>
      <c r="AO17" s="974">
        <f>IFERROR(__xludf.DUMMYFUNCTION("""COMPUTED_VALUE"""),11800.0)</f>
        <v>11800</v>
      </c>
      <c r="AP17" s="975">
        <f>IFERROR(__xludf.DUMMYFUNCTION("""COMPUTED_VALUE"""),11800.0)</f>
        <v>11800</v>
      </c>
      <c r="AQ17" s="976">
        <f>IFERROR(__xludf.DUMMYFUNCTION("""COMPUTED_VALUE"""),236000.0)</f>
        <v>236000</v>
      </c>
    </row>
    <row r="18">
      <c r="A18" s="978" t="str">
        <f>IFERROR(__xludf.DUMMYFUNCTION("""COMPUTED_VALUE"""),"HKCOD38")</f>
        <v>HKCOD38</v>
      </c>
      <c r="B18" s="979">
        <f>IFERROR(__xludf.DUMMYFUNCTION("""COMPUTED_VALUE"""),38.0)</f>
        <v>38</v>
      </c>
      <c r="C18" s="980" t="str">
        <f>IFERROR(__xludf.DUMMYFUNCTION("""COMPUTED_VALUE"""),"Túi")</f>
        <v>Túi</v>
      </c>
      <c r="D18" s="981">
        <f>IFERROR(__xludf.DUMMYFUNCTION("""COMPUTED_VALUE"""),10.0)</f>
        <v>10</v>
      </c>
      <c r="E18" s="982">
        <f>IFERROR(__xludf.DUMMYFUNCTION("""COMPUTED_VALUE"""),57970.0)</f>
        <v>57970</v>
      </c>
      <c r="F18" s="983">
        <f>IFERROR(__xludf.DUMMYFUNCTION("""COMPUTED_VALUE"""),47000.0)</f>
        <v>47000</v>
      </c>
      <c r="G18" s="984">
        <f>IFERROR(__xludf.DUMMYFUNCTION("""COMPUTED_VALUE"""),470000.0)</f>
        <v>470000</v>
      </c>
      <c r="H18" s="985">
        <f>IFERROR(__xludf.DUMMYFUNCTION("""COMPUTED_VALUE"""),52700.0)</f>
        <v>52700</v>
      </c>
      <c r="I18" s="983">
        <f>IFERROR(__xludf.DUMMYFUNCTION("""COMPUTED_VALUE"""),42730.0)</f>
        <v>42730</v>
      </c>
      <c r="J18" s="984">
        <f>IFERROR(__xludf.DUMMYFUNCTION("""COMPUTED_VALUE"""),427270.0)</f>
        <v>427270</v>
      </c>
      <c r="K18" s="919"/>
      <c r="L18" s="978" t="str">
        <f>IFERROR(__xludf.DUMMYFUNCTION("""COMPUTED_VALUE"""),"HKNOI38")</f>
        <v>HKNOI38</v>
      </c>
      <c r="M18" s="979">
        <f>IFERROR(__xludf.DUMMYFUNCTION("""COMPUTED_VALUE"""),38.0)</f>
        <v>38</v>
      </c>
      <c r="N18" s="980" t="str">
        <f>IFERROR(__xludf.DUMMYFUNCTION("""COMPUTED_VALUE"""),"Túi")</f>
        <v>Túi</v>
      </c>
      <c r="O18" s="981">
        <f>IFERROR(__xludf.DUMMYFUNCTION("""COMPUTED_VALUE"""),20.0)</f>
        <v>20</v>
      </c>
      <c r="P18" s="982">
        <f>IFERROR(__xludf.DUMMYFUNCTION("""COMPUTED_VALUE"""),30800.0)</f>
        <v>30800</v>
      </c>
      <c r="Q18" s="983">
        <f>IFERROR(__xludf.DUMMYFUNCTION("""COMPUTED_VALUE"""),28000.0)</f>
        <v>28000</v>
      </c>
      <c r="R18" s="984">
        <f>IFERROR(__xludf.DUMMYFUNCTION("""COMPUTED_VALUE"""),560000.0)</f>
        <v>560000</v>
      </c>
      <c r="S18" s="985">
        <f>IFERROR(__xludf.DUMMYFUNCTION("""COMPUTED_VALUE"""),28000.0)</f>
        <v>28000</v>
      </c>
      <c r="T18" s="983">
        <f>IFERROR(__xludf.DUMMYFUNCTION("""COMPUTED_VALUE"""),25450.0)</f>
        <v>25450</v>
      </c>
      <c r="U18" s="984">
        <f>IFERROR(__xludf.DUMMYFUNCTION("""COMPUTED_VALUE"""),509090.0)</f>
        <v>509090</v>
      </c>
      <c r="V18" s="919"/>
      <c r="W18" s="978" t="str">
        <f>IFERROR(__xludf.DUMMYFUNCTION("""COMPUTED_VALUE"""),"HKTHU2219")</f>
        <v>HKTHU2219</v>
      </c>
      <c r="X18" s="979" t="str">
        <f>IFERROR(__xludf.DUMMYFUNCTION("""COMPUTED_VALUE""")," 22, 19")</f>
        <v> 22, 19</v>
      </c>
      <c r="Y18" s="980" t="str">
        <f>IFERROR(__xludf.DUMMYFUNCTION("""COMPUTED_VALUE"""),"Túi")</f>
        <v>Túi</v>
      </c>
      <c r="Z18" s="981">
        <f>IFERROR(__xludf.DUMMYFUNCTION("""COMPUTED_VALUE"""),30.0)</f>
        <v>30</v>
      </c>
      <c r="AA18" s="982">
        <f>IFERROR(__xludf.DUMMYFUNCTION("""COMPUTED_VALUE"""),18040.0)</f>
        <v>18040</v>
      </c>
      <c r="AB18" s="983">
        <f>IFERROR(__xludf.DUMMYFUNCTION("""COMPUTED_VALUE"""),14000.0)</f>
        <v>14000</v>
      </c>
      <c r="AC18" s="984">
        <f>IFERROR(__xludf.DUMMYFUNCTION("""COMPUTED_VALUE"""),420000.0)</f>
        <v>420000</v>
      </c>
      <c r="AD18" s="985">
        <f>IFERROR(__xludf.DUMMYFUNCTION("""COMPUTED_VALUE"""),16400.0)</f>
        <v>16400</v>
      </c>
      <c r="AE18" s="983">
        <f>IFERROR(__xludf.DUMMYFUNCTION("""COMPUTED_VALUE"""),12730.0)</f>
        <v>12730</v>
      </c>
      <c r="AF18" s="984">
        <f>IFERROR(__xludf.DUMMYFUNCTION("""COMPUTED_VALUE"""),381820.0)</f>
        <v>381820</v>
      </c>
      <c r="AG18" s="1"/>
      <c r="AH18" s="978" t="str">
        <f>IFERROR(__xludf.DUMMYFUNCTION("""COMPUTED_VALUE"""),"HKZC162D")</f>
        <v>HKZC162D</v>
      </c>
      <c r="AI18" s="986" t="str">
        <f>IFERROR(__xludf.DUMMYFUNCTION("""COMPUTED_VALUE"""),"Zacco 16, 2 đầu (ren ngoài)")</f>
        <v>Zacco 16, 2 đầu (ren ngoài)</v>
      </c>
      <c r="AJ18" s="980" t="str">
        <f>IFERROR(__xludf.DUMMYFUNCTION("""COMPUTED_VALUE"""),"Cái")</f>
        <v>Cái</v>
      </c>
      <c r="AK18" s="981">
        <f>IFERROR(__xludf.DUMMYFUNCTION("""COMPUTED_VALUE"""),20.0)</f>
        <v>20</v>
      </c>
      <c r="AL18" s="982">
        <f>IFERROR(__xludf.DUMMYFUNCTION("""COMPUTED_VALUE"""),14699.999999999998)</f>
        <v>14700</v>
      </c>
      <c r="AM18" s="983">
        <f>IFERROR(__xludf.DUMMYFUNCTION("""COMPUTED_VALUE"""),21010.0)</f>
        <v>21010</v>
      </c>
      <c r="AN18" s="984">
        <f>IFERROR(__xludf.DUMMYFUNCTION("""COMPUTED_VALUE"""),420200.0)</f>
        <v>420200</v>
      </c>
      <c r="AO18" s="985">
        <f>IFERROR(__xludf.DUMMYFUNCTION("""COMPUTED_VALUE"""),13360.0)</f>
        <v>13360</v>
      </c>
      <c r="AP18" s="983">
        <f>IFERROR(__xludf.DUMMYFUNCTION("""COMPUTED_VALUE"""),19100.0)</f>
        <v>19100</v>
      </c>
      <c r="AQ18" s="984">
        <f>IFERROR(__xludf.DUMMYFUNCTION("""COMPUTED_VALUE"""),382000.0)</f>
        <v>382000</v>
      </c>
    </row>
    <row r="19">
      <c r="A19" s="967" t="str">
        <f>IFERROR(__xludf.DUMMYFUNCTION("""COMPUTED_VALUE"""),"HKCOD42")</f>
        <v>HKCOD42</v>
      </c>
      <c r="B19" s="968">
        <f>IFERROR(__xludf.DUMMYFUNCTION("""COMPUTED_VALUE"""),42.0)</f>
        <v>42</v>
      </c>
      <c r="C19" s="969" t="str">
        <f>IFERROR(__xludf.DUMMYFUNCTION("""COMPUTED_VALUE"""),"Túi")</f>
        <v>Túi</v>
      </c>
      <c r="D19" s="970">
        <f>IFERROR(__xludf.DUMMYFUNCTION("""COMPUTED_VALUE"""),10.0)</f>
        <v>10</v>
      </c>
      <c r="E19" s="971">
        <f>IFERROR(__xludf.DUMMYFUNCTION("""COMPUTED_VALUE"""),67980.0)</f>
        <v>67980</v>
      </c>
      <c r="F19" s="972">
        <f>IFERROR(__xludf.DUMMYFUNCTION("""COMPUTED_VALUE"""),57000.0)</f>
        <v>57000</v>
      </c>
      <c r="G19" s="973">
        <f>IFERROR(__xludf.DUMMYFUNCTION("""COMPUTED_VALUE"""),570000.0)</f>
        <v>570000</v>
      </c>
      <c r="H19" s="974">
        <f>IFERROR(__xludf.DUMMYFUNCTION("""COMPUTED_VALUE"""),61800.0)</f>
        <v>61800</v>
      </c>
      <c r="I19" s="975">
        <f>IFERROR(__xludf.DUMMYFUNCTION("""COMPUTED_VALUE"""),51820.0)</f>
        <v>51820</v>
      </c>
      <c r="J19" s="976">
        <f>IFERROR(__xludf.DUMMYFUNCTION("""COMPUTED_VALUE"""),518180.0)</f>
        <v>518180</v>
      </c>
      <c r="K19" s="919"/>
      <c r="L19" s="967" t="str">
        <f>IFERROR(__xludf.DUMMYFUNCTION("""COMPUTED_VALUE"""),"HKNOI42")</f>
        <v>HKNOI42</v>
      </c>
      <c r="M19" s="968">
        <f>IFERROR(__xludf.DUMMYFUNCTION("""COMPUTED_VALUE"""),42.0)</f>
        <v>42</v>
      </c>
      <c r="N19" s="969" t="str">
        <f>IFERROR(__xludf.DUMMYFUNCTION("""COMPUTED_VALUE"""),"Túi")</f>
        <v>Túi</v>
      </c>
      <c r="O19" s="970">
        <f>IFERROR(__xludf.DUMMYFUNCTION("""COMPUTED_VALUE"""),15.0)</f>
        <v>15</v>
      </c>
      <c r="P19" s="971">
        <f>IFERROR(__xludf.DUMMYFUNCTION("""COMPUTED_VALUE"""),37950.0)</f>
        <v>37950</v>
      </c>
      <c r="Q19" s="972">
        <f>IFERROR(__xludf.DUMMYFUNCTION("""COMPUTED_VALUE"""),30000.0)</f>
        <v>30000</v>
      </c>
      <c r="R19" s="973">
        <f>IFERROR(__xludf.DUMMYFUNCTION("""COMPUTED_VALUE"""),450000.0)</f>
        <v>450000</v>
      </c>
      <c r="S19" s="974">
        <f>IFERROR(__xludf.DUMMYFUNCTION("""COMPUTED_VALUE"""),34500.0)</f>
        <v>34500</v>
      </c>
      <c r="T19" s="975">
        <f>IFERROR(__xludf.DUMMYFUNCTION("""COMPUTED_VALUE"""),27270.0)</f>
        <v>27270</v>
      </c>
      <c r="U19" s="976">
        <f>IFERROR(__xludf.DUMMYFUNCTION("""COMPUTED_VALUE"""),409090.0)</f>
        <v>409090</v>
      </c>
      <c r="V19" s="919"/>
      <c r="W19" s="967" t="str">
        <f>IFERROR(__xludf.DUMMYFUNCTION("""COMPUTED_VALUE"""),"HKTHU2516")</f>
        <v>HKTHU2516</v>
      </c>
      <c r="X19" s="968" t="str">
        <f>IFERROR(__xludf.DUMMYFUNCTION("""COMPUTED_VALUE""")," 25, 16")</f>
        <v> 25, 16</v>
      </c>
      <c r="Y19" s="969" t="str">
        <f>IFERROR(__xludf.DUMMYFUNCTION("""COMPUTED_VALUE"""),"Túi")</f>
        <v>Túi</v>
      </c>
      <c r="Z19" s="970">
        <f>IFERROR(__xludf.DUMMYFUNCTION("""COMPUTED_VALUE"""),25.0)</f>
        <v>25</v>
      </c>
      <c r="AA19" s="971">
        <f>IFERROR(__xludf.DUMMYFUNCTION("""COMPUTED_VALUE"""),35640.0)</f>
        <v>35640</v>
      </c>
      <c r="AB19" s="972">
        <f>IFERROR(__xludf.DUMMYFUNCTION("""COMPUTED_VALUE"""),32400.0)</f>
        <v>32400</v>
      </c>
      <c r="AC19" s="973">
        <f>IFERROR(__xludf.DUMMYFUNCTION("""COMPUTED_VALUE"""),810000.0)</f>
        <v>810000</v>
      </c>
      <c r="AD19" s="974">
        <f>IFERROR(__xludf.DUMMYFUNCTION("""COMPUTED_VALUE"""),32400.0)</f>
        <v>32400</v>
      </c>
      <c r="AE19" s="975">
        <f>IFERROR(__xludf.DUMMYFUNCTION("""COMPUTED_VALUE"""),29450.0)</f>
        <v>29450</v>
      </c>
      <c r="AF19" s="976">
        <f>IFERROR(__xludf.DUMMYFUNCTION("""COMPUTED_VALUE"""),736360.0)</f>
        <v>736360</v>
      </c>
      <c r="AG19" s="1"/>
      <c r="AH19" s="967" t="str">
        <f>IFERROR(__xludf.DUMMYFUNCTION("""COMPUTED_VALUE"""),"HKZCT19")</f>
        <v>HKZCT19</v>
      </c>
      <c r="AI19" s="977" t="str">
        <f>IFERROR(__xludf.DUMMYFUNCTION("""COMPUTED_VALUE"""),"Zacco 19 ( ren trong)")</f>
        <v>Zacco 19 ( ren trong)</v>
      </c>
      <c r="AJ19" s="969" t="str">
        <f>IFERROR(__xludf.DUMMYFUNCTION("""COMPUTED_VALUE"""),"Cái")</f>
        <v>Cái</v>
      </c>
      <c r="AK19" s="970">
        <f>IFERROR(__xludf.DUMMYFUNCTION("""COMPUTED_VALUE"""),10.0)</f>
        <v>10</v>
      </c>
      <c r="AL19" s="971">
        <f>IFERROR(__xludf.DUMMYFUNCTION("""COMPUTED_VALUE"""),25960.0)</f>
        <v>25960</v>
      </c>
      <c r="AM19" s="972">
        <f>IFERROR(__xludf.DUMMYFUNCTION("""COMPUTED_VALUE"""),25960.0)</f>
        <v>25960</v>
      </c>
      <c r="AN19" s="973">
        <f>IFERROR(__xludf.DUMMYFUNCTION("""COMPUTED_VALUE"""),259600.0)</f>
        <v>259600</v>
      </c>
      <c r="AO19" s="974">
        <f>IFERROR(__xludf.DUMMYFUNCTION("""COMPUTED_VALUE"""),23600.0)</f>
        <v>23600</v>
      </c>
      <c r="AP19" s="975">
        <f>IFERROR(__xludf.DUMMYFUNCTION("""COMPUTED_VALUE"""),23600.0)</f>
        <v>23600</v>
      </c>
      <c r="AQ19" s="976">
        <f>IFERROR(__xludf.DUMMYFUNCTION("""COMPUTED_VALUE"""),236000.0)</f>
        <v>236000</v>
      </c>
    </row>
    <row r="20">
      <c r="A20" s="978" t="str">
        <f>IFERROR(__xludf.DUMMYFUNCTION("""COMPUTED_VALUE"""),"HKCOD45")</f>
        <v>HKCOD45</v>
      </c>
      <c r="B20" s="979">
        <f>IFERROR(__xludf.DUMMYFUNCTION("""COMPUTED_VALUE"""),45.0)</f>
        <v>45</v>
      </c>
      <c r="C20" s="980" t="str">
        <f>IFERROR(__xludf.DUMMYFUNCTION("""COMPUTED_VALUE"""),"Túi")</f>
        <v>Túi</v>
      </c>
      <c r="D20" s="981">
        <f>IFERROR(__xludf.DUMMYFUNCTION("""COMPUTED_VALUE"""),8.0)</f>
        <v>8</v>
      </c>
      <c r="E20" s="982">
        <f>IFERROR(__xludf.DUMMYFUNCTION("""COMPUTED_VALUE"""),99000.0)</f>
        <v>99000</v>
      </c>
      <c r="F20" s="983">
        <f>IFERROR(__xludf.DUMMYFUNCTION("""COMPUTED_VALUE"""),85100.0)</f>
        <v>85100</v>
      </c>
      <c r="G20" s="984">
        <f>IFERROR(__xludf.DUMMYFUNCTION("""COMPUTED_VALUE"""),680800.0)</f>
        <v>680800</v>
      </c>
      <c r="H20" s="985">
        <f>IFERROR(__xludf.DUMMYFUNCTION("""COMPUTED_VALUE"""),90000.0)</f>
        <v>90000</v>
      </c>
      <c r="I20" s="983">
        <f>IFERROR(__xludf.DUMMYFUNCTION("""COMPUTED_VALUE"""),77360.0)</f>
        <v>77360</v>
      </c>
      <c r="J20" s="984">
        <f>IFERROR(__xludf.DUMMYFUNCTION("""COMPUTED_VALUE"""),618910.0)</f>
        <v>618910</v>
      </c>
      <c r="K20" s="919"/>
      <c r="L20" s="978" t="str">
        <f>IFERROR(__xludf.DUMMYFUNCTION("""COMPUTED_VALUE"""),"HKNOI45")</f>
        <v>HKNOI45</v>
      </c>
      <c r="M20" s="979">
        <f>IFERROR(__xludf.DUMMYFUNCTION("""COMPUTED_VALUE"""),45.0)</f>
        <v>45</v>
      </c>
      <c r="N20" s="980" t="str">
        <f>IFERROR(__xludf.DUMMYFUNCTION("""COMPUTED_VALUE"""),"Túi")</f>
        <v>Túi</v>
      </c>
      <c r="O20" s="981">
        <f>IFERROR(__xludf.DUMMYFUNCTION("""COMPUTED_VALUE"""),15.0)</f>
        <v>15</v>
      </c>
      <c r="P20" s="982">
        <f>IFERROR(__xludf.DUMMYFUNCTION("""COMPUTED_VALUE"""),51700.0)</f>
        <v>51700</v>
      </c>
      <c r="Q20" s="983">
        <f>IFERROR(__xludf.DUMMYFUNCTION("""COMPUTED_VALUE"""),44600.0)</f>
        <v>44600</v>
      </c>
      <c r="R20" s="984">
        <f>IFERROR(__xludf.DUMMYFUNCTION("""COMPUTED_VALUE"""),669000.0)</f>
        <v>669000</v>
      </c>
      <c r="S20" s="985">
        <f>IFERROR(__xludf.DUMMYFUNCTION("""COMPUTED_VALUE"""),47000.0)</f>
        <v>47000</v>
      </c>
      <c r="T20" s="983">
        <f>IFERROR(__xludf.DUMMYFUNCTION("""COMPUTED_VALUE"""),40550.0)</f>
        <v>40550</v>
      </c>
      <c r="U20" s="984">
        <f>IFERROR(__xludf.DUMMYFUNCTION("""COMPUTED_VALUE"""),608180.0)</f>
        <v>608180</v>
      </c>
      <c r="V20" s="919"/>
      <c r="W20" s="978" t="str">
        <f>IFERROR(__xludf.DUMMYFUNCTION("""COMPUTED_VALUE"""),"HKTHU2519")</f>
        <v>HKTHU2519</v>
      </c>
      <c r="X20" s="979" t="str">
        <f>IFERROR(__xludf.DUMMYFUNCTION("""COMPUTED_VALUE""")," 25, 19")</f>
        <v> 25, 19</v>
      </c>
      <c r="Y20" s="980" t="str">
        <f>IFERROR(__xludf.DUMMYFUNCTION("""COMPUTED_VALUE"""),"Túi")</f>
        <v>Túi</v>
      </c>
      <c r="Z20" s="981">
        <f>IFERROR(__xludf.DUMMYFUNCTION("""COMPUTED_VALUE"""),25.0)</f>
        <v>25</v>
      </c>
      <c r="AA20" s="982">
        <f>IFERROR(__xludf.DUMMYFUNCTION("""COMPUTED_VALUE"""),35640.0)</f>
        <v>35640</v>
      </c>
      <c r="AB20" s="983">
        <f>IFERROR(__xludf.DUMMYFUNCTION("""COMPUTED_VALUE"""),32400.0)</f>
        <v>32400</v>
      </c>
      <c r="AC20" s="984">
        <f>IFERROR(__xludf.DUMMYFUNCTION("""COMPUTED_VALUE"""),810000.0)</f>
        <v>810000</v>
      </c>
      <c r="AD20" s="985">
        <f>IFERROR(__xludf.DUMMYFUNCTION("""COMPUTED_VALUE"""),32400.0)</f>
        <v>32400</v>
      </c>
      <c r="AE20" s="983">
        <f>IFERROR(__xludf.DUMMYFUNCTION("""COMPUTED_VALUE"""),29450.0)</f>
        <v>29450</v>
      </c>
      <c r="AF20" s="984">
        <f>IFERROR(__xludf.DUMMYFUNCTION("""COMPUTED_VALUE"""),736360.0)</f>
        <v>736360</v>
      </c>
      <c r="AG20" s="1"/>
      <c r="AH20" s="978" t="str">
        <f>IFERROR(__xludf.DUMMYFUNCTION("""COMPUTED_VALUE"""),"HKZCNO6")</f>
        <v>HKZCNO6</v>
      </c>
      <c r="AI20" s="986" t="str">
        <f>IFERROR(__xludf.DUMMYFUNCTION("""COMPUTED_VALUE"""),"Zacco 6 (ren ngoài)")</f>
        <v>Zacco 6 (ren ngoài)</v>
      </c>
      <c r="AJ20" s="980" t="str">
        <f>IFERROR(__xludf.DUMMYFUNCTION("""COMPUTED_VALUE"""),"Cái")</f>
        <v>Cái</v>
      </c>
      <c r="AK20" s="981">
        <f>IFERROR(__xludf.DUMMYFUNCTION("""COMPUTED_VALUE"""),200.0)</f>
        <v>200</v>
      </c>
      <c r="AL20" s="982"/>
      <c r="AM20" s="983">
        <f>IFERROR(__xludf.DUMMYFUNCTION("""COMPUTED_VALUE"""),13500.0)</f>
        <v>13500</v>
      </c>
      <c r="AN20" s="984">
        <f>IFERROR(__xludf.DUMMYFUNCTION("""COMPUTED_VALUE"""),2700000.0)</f>
        <v>2700000</v>
      </c>
      <c r="AO20" s="985"/>
      <c r="AP20" s="983">
        <f>IFERROR(__xludf.DUMMYFUNCTION("""COMPUTED_VALUE"""),12270.0)</f>
        <v>12270</v>
      </c>
      <c r="AQ20" s="984">
        <f>IFERROR(__xludf.DUMMYFUNCTION("""COMPUTED_VALUE"""),2454550.0)</f>
        <v>2454550</v>
      </c>
    </row>
    <row r="21">
      <c r="A21" s="967" t="str">
        <f>IFERROR(__xludf.DUMMYFUNCTION("""COMPUTED_VALUE"""),"HKCOD54")</f>
        <v>HKCOD54</v>
      </c>
      <c r="B21" s="968">
        <f>IFERROR(__xludf.DUMMYFUNCTION("""COMPUTED_VALUE"""),54.0)</f>
        <v>54</v>
      </c>
      <c r="C21" s="969" t="str">
        <f>IFERROR(__xludf.DUMMYFUNCTION("""COMPUTED_VALUE"""),"Túi")</f>
        <v>Túi</v>
      </c>
      <c r="D21" s="970">
        <f>IFERROR(__xludf.DUMMYFUNCTION("""COMPUTED_VALUE"""),4.0)</f>
        <v>4</v>
      </c>
      <c r="E21" s="971">
        <f>IFERROR(__xludf.DUMMYFUNCTION("""COMPUTED_VALUE"""),118030.0)</f>
        <v>118030</v>
      </c>
      <c r="F21" s="972">
        <f>IFERROR(__xludf.DUMMYFUNCTION("""COMPUTED_VALUE"""),107000.0)</f>
        <v>107000</v>
      </c>
      <c r="G21" s="973">
        <f>IFERROR(__xludf.DUMMYFUNCTION("""COMPUTED_VALUE"""),428000.0)</f>
        <v>428000</v>
      </c>
      <c r="H21" s="974">
        <f>IFERROR(__xludf.DUMMYFUNCTION("""COMPUTED_VALUE"""),107300.0)</f>
        <v>107300</v>
      </c>
      <c r="I21" s="975">
        <f>IFERROR(__xludf.DUMMYFUNCTION("""COMPUTED_VALUE"""),97270.0)</f>
        <v>97270</v>
      </c>
      <c r="J21" s="976">
        <f>IFERROR(__xludf.DUMMYFUNCTION("""COMPUTED_VALUE"""),389090.0)</f>
        <v>389090</v>
      </c>
      <c r="K21" s="919"/>
      <c r="L21" s="967" t="str">
        <f>IFERROR(__xludf.DUMMYFUNCTION("""COMPUTED_VALUE"""),"HKNOI54")</f>
        <v>HKNOI54</v>
      </c>
      <c r="M21" s="968">
        <f>IFERROR(__xludf.DUMMYFUNCTION("""COMPUTED_VALUE"""),54.0)</f>
        <v>54</v>
      </c>
      <c r="N21" s="969" t="str">
        <f>IFERROR(__xludf.DUMMYFUNCTION("""COMPUTED_VALUE"""),"Túi")</f>
        <v>Túi</v>
      </c>
      <c r="O21" s="970">
        <f>IFERROR(__xludf.DUMMYFUNCTION("""COMPUTED_VALUE"""),9.0)</f>
        <v>9</v>
      </c>
      <c r="P21" s="971">
        <f>IFERROR(__xludf.DUMMYFUNCTION("""COMPUTED_VALUE"""),68200.0)</f>
        <v>68200</v>
      </c>
      <c r="Q21" s="972">
        <f>IFERROR(__xludf.DUMMYFUNCTION("""COMPUTED_VALUE"""),55000.0)</f>
        <v>55000</v>
      </c>
      <c r="R21" s="973">
        <f>IFERROR(__xludf.DUMMYFUNCTION("""COMPUTED_VALUE"""),495000.0)</f>
        <v>495000</v>
      </c>
      <c r="S21" s="974">
        <f>IFERROR(__xludf.DUMMYFUNCTION("""COMPUTED_VALUE"""),62000.0)</f>
        <v>62000</v>
      </c>
      <c r="T21" s="975">
        <f>IFERROR(__xludf.DUMMYFUNCTION("""COMPUTED_VALUE"""),50000.0)</f>
        <v>50000</v>
      </c>
      <c r="U21" s="976">
        <f>IFERROR(__xludf.DUMMYFUNCTION("""COMPUTED_VALUE"""),450000.0)</f>
        <v>450000</v>
      </c>
      <c r="V21" s="919"/>
      <c r="W21" s="967" t="str">
        <f>IFERROR(__xludf.DUMMYFUNCTION("""COMPUTED_VALUE"""),"HKTHU2522")</f>
        <v>HKTHU2522</v>
      </c>
      <c r="X21" s="968" t="str">
        <f>IFERROR(__xludf.DUMMYFUNCTION("""COMPUTED_VALUE""")," 25, 22")</f>
        <v> 25, 22</v>
      </c>
      <c r="Y21" s="969" t="str">
        <f>IFERROR(__xludf.DUMMYFUNCTION("""COMPUTED_VALUE"""),"Túi")</f>
        <v>Túi</v>
      </c>
      <c r="Z21" s="970">
        <f>IFERROR(__xludf.DUMMYFUNCTION("""COMPUTED_VALUE"""),25.0)</f>
        <v>25</v>
      </c>
      <c r="AA21" s="971">
        <f>IFERROR(__xludf.DUMMYFUNCTION("""COMPUTED_VALUE"""),25300.0)</f>
        <v>25300</v>
      </c>
      <c r="AB21" s="972">
        <f>IFERROR(__xludf.DUMMYFUNCTION("""COMPUTED_VALUE"""),23000.0)</f>
        <v>23000</v>
      </c>
      <c r="AC21" s="973">
        <f>IFERROR(__xludf.DUMMYFUNCTION("""COMPUTED_VALUE"""),575000.0)</f>
        <v>575000</v>
      </c>
      <c r="AD21" s="974">
        <f>IFERROR(__xludf.DUMMYFUNCTION("""COMPUTED_VALUE"""),23000.0)</f>
        <v>23000</v>
      </c>
      <c r="AE21" s="975">
        <f>IFERROR(__xludf.DUMMYFUNCTION("""COMPUTED_VALUE"""),20910.0)</f>
        <v>20910</v>
      </c>
      <c r="AF21" s="976">
        <f>IFERROR(__xludf.DUMMYFUNCTION("""COMPUTED_VALUE"""),522730.0)</f>
        <v>522730</v>
      </c>
      <c r="AG21" s="920"/>
      <c r="AH21" s="967" t="str">
        <f>IFERROR(__xludf.DUMMYFUNCTION("""COMPUTED_VALUE"""),"HKZCTO6")</f>
        <v>HKZCTO6</v>
      </c>
      <c r="AI21" s="977" t="str">
        <f>IFERROR(__xludf.DUMMYFUNCTION("""COMPUTED_VALUE"""),"Zacco 6 (ren trong)")</f>
        <v>Zacco 6 (ren trong)</v>
      </c>
      <c r="AJ21" s="969" t="str">
        <f>IFERROR(__xludf.DUMMYFUNCTION("""COMPUTED_VALUE"""),"Cái")</f>
        <v>Cái</v>
      </c>
      <c r="AK21" s="970">
        <f>IFERROR(__xludf.DUMMYFUNCTION("""COMPUTED_VALUE"""),200.0)</f>
        <v>200</v>
      </c>
      <c r="AL21" s="971">
        <f>IFERROR(__xludf.DUMMYFUNCTION("""COMPUTED_VALUE"""),4950.0)</f>
        <v>4950</v>
      </c>
      <c r="AM21" s="972">
        <f>IFERROR(__xludf.DUMMYFUNCTION("""COMPUTED_VALUE"""),4950.0)</f>
        <v>4950</v>
      </c>
      <c r="AN21" s="973">
        <f>IFERROR(__xludf.DUMMYFUNCTION("""COMPUTED_VALUE"""),990000.0)</f>
        <v>990000</v>
      </c>
      <c r="AO21" s="974">
        <f>IFERROR(__xludf.DUMMYFUNCTION("""COMPUTED_VALUE"""),4500.0)</f>
        <v>4500</v>
      </c>
      <c r="AP21" s="975">
        <f>IFERROR(__xludf.DUMMYFUNCTION("""COMPUTED_VALUE"""),4500.0)</f>
        <v>4500</v>
      </c>
      <c r="AQ21" s="976">
        <f>IFERROR(__xludf.DUMMYFUNCTION("""COMPUTED_VALUE"""),900000.0)</f>
        <v>900000</v>
      </c>
    </row>
    <row r="22">
      <c r="A22" s="978" t="str">
        <f>IFERROR(__xludf.DUMMYFUNCTION("""COMPUTED_VALUE"""),"HKCOD67")</f>
        <v>HKCOD67</v>
      </c>
      <c r="B22" s="979">
        <f>IFERROR(__xludf.DUMMYFUNCTION("""COMPUTED_VALUE"""),67.0)</f>
        <v>67</v>
      </c>
      <c r="C22" s="980" t="str">
        <f>IFERROR(__xludf.DUMMYFUNCTION("""COMPUTED_VALUE"""),"Túi")</f>
        <v>Túi</v>
      </c>
      <c r="D22" s="981">
        <f>IFERROR(__xludf.DUMMYFUNCTION("""COMPUTED_VALUE"""),3.0)</f>
        <v>3</v>
      </c>
      <c r="E22" s="982">
        <f>IFERROR(__xludf.DUMMYFUNCTION("""COMPUTED_VALUE"""),188100.0)</f>
        <v>188100</v>
      </c>
      <c r="F22" s="983">
        <f>IFERROR(__xludf.DUMMYFUNCTION("""COMPUTED_VALUE"""),160000.0)</f>
        <v>160000</v>
      </c>
      <c r="G22" s="984">
        <f>IFERROR(__xludf.DUMMYFUNCTION("""COMPUTED_VALUE"""),480000.0)</f>
        <v>480000</v>
      </c>
      <c r="H22" s="985">
        <f>IFERROR(__xludf.DUMMYFUNCTION("""COMPUTED_VALUE"""),171000.0)</f>
        <v>171000</v>
      </c>
      <c r="I22" s="983">
        <f>IFERROR(__xludf.DUMMYFUNCTION("""COMPUTED_VALUE"""),145450.0)</f>
        <v>145450</v>
      </c>
      <c r="J22" s="984">
        <f>IFERROR(__xludf.DUMMYFUNCTION("""COMPUTED_VALUE"""),436360.0)</f>
        <v>436360</v>
      </c>
      <c r="K22" s="919"/>
      <c r="L22" s="978" t="str">
        <f>IFERROR(__xludf.DUMMYFUNCTION("""COMPUTED_VALUE"""),"HKNOI67")</f>
        <v>HKNOI67</v>
      </c>
      <c r="M22" s="979">
        <f>IFERROR(__xludf.DUMMYFUNCTION("""COMPUTED_VALUE"""),67.0)</f>
        <v>67</v>
      </c>
      <c r="N22" s="980" t="str">
        <f>IFERROR(__xludf.DUMMYFUNCTION("""COMPUTED_VALUE"""),"Túi")</f>
        <v>Túi</v>
      </c>
      <c r="O22" s="981">
        <f>IFERROR(__xludf.DUMMYFUNCTION("""COMPUTED_VALUE"""),4.0)</f>
        <v>4</v>
      </c>
      <c r="P22" s="982">
        <f>IFERROR(__xludf.DUMMYFUNCTION("""COMPUTED_VALUE"""),108020.0)</f>
        <v>108020</v>
      </c>
      <c r="Q22" s="983">
        <f>IFERROR(__xludf.DUMMYFUNCTION("""COMPUTED_VALUE"""),88000.0)</f>
        <v>88000</v>
      </c>
      <c r="R22" s="984">
        <f>IFERROR(__xludf.DUMMYFUNCTION("""COMPUTED_VALUE"""),352000.0)</f>
        <v>352000</v>
      </c>
      <c r="S22" s="985">
        <f>IFERROR(__xludf.DUMMYFUNCTION("""COMPUTED_VALUE"""),98200.0)</f>
        <v>98200</v>
      </c>
      <c r="T22" s="983">
        <f>IFERROR(__xludf.DUMMYFUNCTION("""COMPUTED_VALUE"""),80000.0)</f>
        <v>80000</v>
      </c>
      <c r="U22" s="984">
        <f>IFERROR(__xludf.DUMMYFUNCTION("""COMPUTED_VALUE"""),320000.0)</f>
        <v>320000</v>
      </c>
      <c r="V22" s="919"/>
      <c r="W22" s="978" t="str">
        <f>IFERROR(__xludf.DUMMYFUNCTION("""COMPUTED_VALUE"""),"HKTHU2812")</f>
        <v>HKTHU2812</v>
      </c>
      <c r="X22" s="979" t="str">
        <f>IFERROR(__xludf.DUMMYFUNCTION("""COMPUTED_VALUE""")," 28, 12")</f>
        <v> 28, 12</v>
      </c>
      <c r="Y22" s="980" t="str">
        <f>IFERROR(__xludf.DUMMYFUNCTION("""COMPUTED_VALUE"""),"Túi")</f>
        <v>Túi</v>
      </c>
      <c r="Z22" s="981">
        <f>IFERROR(__xludf.DUMMYFUNCTION("""COMPUTED_VALUE"""),20.0)</f>
        <v>20</v>
      </c>
      <c r="AA22" s="982">
        <f>IFERROR(__xludf.DUMMYFUNCTION("""COMPUTED_VALUE"""),29040.0)</f>
        <v>29040</v>
      </c>
      <c r="AB22" s="983">
        <f>IFERROR(__xludf.DUMMYFUNCTION("""COMPUTED_VALUE"""),23000.0)</f>
        <v>23000</v>
      </c>
      <c r="AC22" s="984">
        <f>IFERROR(__xludf.DUMMYFUNCTION("""COMPUTED_VALUE"""),460000.0)</f>
        <v>460000</v>
      </c>
      <c r="AD22" s="985">
        <f>IFERROR(__xludf.DUMMYFUNCTION("""COMPUTED_VALUE"""),26400.0)</f>
        <v>26400</v>
      </c>
      <c r="AE22" s="983">
        <f>IFERROR(__xludf.DUMMYFUNCTION("""COMPUTED_VALUE"""),20910.0)</f>
        <v>20910</v>
      </c>
      <c r="AF22" s="984">
        <f>IFERROR(__xludf.DUMMYFUNCTION("""COMPUTED_VALUE"""),418180.0)</f>
        <v>418180</v>
      </c>
      <c r="AG22" s="920"/>
      <c r="AH22" s="987" t="str">
        <f>IFERROR(__xludf.DUMMYFUNCTION("""COMPUTED_VALUE"""),"HKTYGAS")</f>
        <v>HKTYGAS</v>
      </c>
      <c r="AI22" s="988" t="str">
        <f>IFERROR(__xludf.DUMMYFUNCTION("""COMPUTED_VALUE"""),"Ty nạp gas")</f>
        <v>Ty nạp gas</v>
      </c>
      <c r="AJ22" s="989" t="str">
        <f>IFERROR(__xludf.DUMMYFUNCTION("""COMPUTED_VALUE"""),"Cái")</f>
        <v>Cái</v>
      </c>
      <c r="AK22" s="990">
        <f>IFERROR(__xludf.DUMMYFUNCTION("""COMPUTED_VALUE"""),10.0)</f>
        <v>10</v>
      </c>
      <c r="AL22" s="991">
        <f>IFERROR(__xludf.DUMMYFUNCTION("""COMPUTED_VALUE"""),11000.0)</f>
        <v>11000</v>
      </c>
      <c r="AM22" s="992">
        <f>IFERROR(__xludf.DUMMYFUNCTION("""COMPUTED_VALUE"""),10000.0)</f>
        <v>10000</v>
      </c>
      <c r="AN22" s="993">
        <f>IFERROR(__xludf.DUMMYFUNCTION("""COMPUTED_VALUE"""),100000.0)</f>
        <v>100000</v>
      </c>
      <c r="AO22" s="994">
        <f>IFERROR(__xludf.DUMMYFUNCTION("""COMPUTED_VALUE"""),10000.0)</f>
        <v>10000</v>
      </c>
      <c r="AP22" s="992">
        <f>IFERROR(__xludf.DUMMYFUNCTION("""COMPUTED_VALUE"""),9090.0)</f>
        <v>9090</v>
      </c>
      <c r="AQ22" s="993">
        <f>IFERROR(__xludf.DUMMYFUNCTION("""COMPUTED_VALUE"""),90910.0)</f>
        <v>90910</v>
      </c>
    </row>
    <row r="23">
      <c r="A23" s="967" t="str">
        <f>IFERROR(__xludf.DUMMYFUNCTION("""COMPUTED_VALUE"""),"HKCOD76")</f>
        <v>HKCOD76</v>
      </c>
      <c r="B23" s="968">
        <f>IFERROR(__xludf.DUMMYFUNCTION("""COMPUTED_VALUE"""),76.0)</f>
        <v>76</v>
      </c>
      <c r="C23" s="969" t="str">
        <f>IFERROR(__xludf.DUMMYFUNCTION("""COMPUTED_VALUE"""),"Túi")</f>
        <v>Túi</v>
      </c>
      <c r="D23" s="970">
        <f>IFERROR(__xludf.DUMMYFUNCTION("""COMPUTED_VALUE"""),1.0)</f>
        <v>1</v>
      </c>
      <c r="E23" s="971">
        <f>IFERROR(__xludf.DUMMYFUNCTION("""COMPUTED_VALUE"""),385440.0)</f>
        <v>385440</v>
      </c>
      <c r="F23" s="972">
        <f>IFERROR(__xludf.DUMMYFUNCTION("""COMPUTED_VALUE"""),238000.0)</f>
        <v>238000</v>
      </c>
      <c r="G23" s="973">
        <f>IFERROR(__xludf.DUMMYFUNCTION("""COMPUTED_VALUE"""),238000.0)</f>
        <v>238000</v>
      </c>
      <c r="H23" s="974">
        <f>IFERROR(__xludf.DUMMYFUNCTION("""COMPUTED_VALUE"""),350400.0)</f>
        <v>350400</v>
      </c>
      <c r="I23" s="975">
        <f>IFERROR(__xludf.DUMMYFUNCTION("""COMPUTED_VALUE"""),216360.0)</f>
        <v>216360</v>
      </c>
      <c r="J23" s="976">
        <f>IFERROR(__xludf.DUMMYFUNCTION("""COMPUTED_VALUE"""),216360.0)</f>
        <v>216360</v>
      </c>
      <c r="K23" s="919"/>
      <c r="L23" s="967" t="str">
        <f>IFERROR(__xludf.DUMMYFUNCTION("""COMPUTED_VALUE"""),"HKNOI76")</f>
        <v>HKNOI76</v>
      </c>
      <c r="M23" s="968">
        <f>IFERROR(__xludf.DUMMYFUNCTION("""COMPUTED_VALUE"""),76.0)</f>
        <v>76</v>
      </c>
      <c r="N23" s="969" t="str">
        <f>IFERROR(__xludf.DUMMYFUNCTION("""COMPUTED_VALUE"""),"Túi")</f>
        <v>Túi</v>
      </c>
      <c r="O23" s="970">
        <f>IFERROR(__xludf.DUMMYFUNCTION("""COMPUTED_VALUE"""),2.0)</f>
        <v>2</v>
      </c>
      <c r="P23" s="971">
        <f>IFERROR(__xludf.DUMMYFUNCTION("""COMPUTED_VALUE"""),138050.0)</f>
        <v>138050</v>
      </c>
      <c r="Q23" s="972">
        <f>IFERROR(__xludf.DUMMYFUNCTION("""COMPUTED_VALUE"""),122000.0)</f>
        <v>122000</v>
      </c>
      <c r="R23" s="973">
        <f>IFERROR(__xludf.DUMMYFUNCTION("""COMPUTED_VALUE"""),244000.0)</f>
        <v>244000</v>
      </c>
      <c r="S23" s="974">
        <f>IFERROR(__xludf.DUMMYFUNCTION("""COMPUTED_VALUE"""),125500.0)</f>
        <v>125500</v>
      </c>
      <c r="T23" s="975">
        <f>IFERROR(__xludf.DUMMYFUNCTION("""COMPUTED_VALUE"""),110910.0)</f>
        <v>110910</v>
      </c>
      <c r="U23" s="976">
        <f>IFERROR(__xludf.DUMMYFUNCTION("""COMPUTED_VALUE"""),221820.0)</f>
        <v>221820</v>
      </c>
      <c r="V23" s="919"/>
      <c r="W23" s="967" t="str">
        <f>IFERROR(__xludf.DUMMYFUNCTION("""COMPUTED_VALUE"""),"HKTHU2816")</f>
        <v>HKTHU2816</v>
      </c>
      <c r="X23" s="968" t="str">
        <f>IFERROR(__xludf.DUMMYFUNCTION("""COMPUTED_VALUE""")," 28, 16")</f>
        <v> 28, 16</v>
      </c>
      <c r="Y23" s="969" t="str">
        <f>IFERROR(__xludf.DUMMYFUNCTION("""COMPUTED_VALUE"""),"Túi")</f>
        <v>Túi</v>
      </c>
      <c r="Z23" s="970">
        <f>IFERROR(__xludf.DUMMYFUNCTION("""COMPUTED_VALUE"""),20.0)</f>
        <v>20</v>
      </c>
      <c r="AA23" s="971">
        <f>IFERROR(__xludf.DUMMYFUNCTION("""COMPUTED_VALUE"""),29040.0)</f>
        <v>29040</v>
      </c>
      <c r="AB23" s="972">
        <f>IFERROR(__xludf.DUMMYFUNCTION("""COMPUTED_VALUE"""),23000.0)</f>
        <v>23000</v>
      </c>
      <c r="AC23" s="973">
        <f>IFERROR(__xludf.DUMMYFUNCTION("""COMPUTED_VALUE"""),460000.0)</f>
        <v>460000</v>
      </c>
      <c r="AD23" s="974">
        <f>IFERROR(__xludf.DUMMYFUNCTION("""COMPUTED_VALUE"""),26400.0)</f>
        <v>26400</v>
      </c>
      <c r="AE23" s="975">
        <f>IFERROR(__xludf.DUMMYFUNCTION("""COMPUTED_VALUE"""),20910.0)</f>
        <v>20910</v>
      </c>
      <c r="AF23" s="976">
        <f>IFERROR(__xludf.DUMMYFUNCTION("""COMPUTED_VALUE"""),418180.0)</f>
        <v>418180</v>
      </c>
      <c r="AG23" s="920"/>
      <c r="AH23" s="995"/>
      <c r="AI23" s="995"/>
      <c r="AJ23" s="995"/>
      <c r="AK23" s="996"/>
      <c r="AL23" s="997"/>
      <c r="AM23" s="995"/>
      <c r="AN23" s="995"/>
      <c r="AO23" s="995"/>
      <c r="AP23" s="995"/>
      <c r="AQ23" s="995"/>
    </row>
    <row r="24">
      <c r="A24" s="978" t="str">
        <f>IFERROR(__xludf.DUMMYFUNCTION("""COMPUTED_VALUE"""),"HKCOD79")</f>
        <v>HKCOD79</v>
      </c>
      <c r="B24" s="979">
        <f>IFERROR(__xludf.DUMMYFUNCTION("""COMPUTED_VALUE"""),79.0)</f>
        <v>79</v>
      </c>
      <c r="C24" s="980" t="str">
        <f>IFERROR(__xludf.DUMMYFUNCTION("""COMPUTED_VALUE"""),"Túi")</f>
        <v>Túi</v>
      </c>
      <c r="D24" s="981">
        <f>IFERROR(__xludf.DUMMYFUNCTION("""COMPUTED_VALUE"""),1.0)</f>
        <v>1</v>
      </c>
      <c r="E24" s="982">
        <f>IFERROR(__xludf.DUMMYFUNCTION("""COMPUTED_VALUE"""),415800.0)</f>
        <v>415800</v>
      </c>
      <c r="F24" s="983">
        <f>IFERROR(__xludf.DUMMYFUNCTION("""COMPUTED_VALUE"""),378000.0)</f>
        <v>378000</v>
      </c>
      <c r="G24" s="984">
        <f>IFERROR(__xludf.DUMMYFUNCTION("""COMPUTED_VALUE"""),378000.0)</f>
        <v>378000</v>
      </c>
      <c r="H24" s="985">
        <f>IFERROR(__xludf.DUMMYFUNCTION("""COMPUTED_VALUE"""),378000.0)</f>
        <v>378000</v>
      </c>
      <c r="I24" s="983">
        <f>IFERROR(__xludf.DUMMYFUNCTION("""COMPUTED_VALUE"""),343640.0)</f>
        <v>343640</v>
      </c>
      <c r="J24" s="984">
        <f>IFERROR(__xludf.DUMMYFUNCTION("""COMPUTED_VALUE"""),343640.0)</f>
        <v>343640</v>
      </c>
      <c r="K24" s="919"/>
      <c r="L24" s="987" t="str">
        <f>IFERROR(__xludf.DUMMYFUNCTION("""COMPUTED_VALUE"""),"HKNOI108")</f>
        <v>HKNOI108</v>
      </c>
      <c r="M24" s="998">
        <f>IFERROR(__xludf.DUMMYFUNCTION("""COMPUTED_VALUE"""),108.0)</f>
        <v>108</v>
      </c>
      <c r="N24" s="989" t="str">
        <f>IFERROR(__xludf.DUMMYFUNCTION("""COMPUTED_VALUE"""),"Túi")</f>
        <v>Túi</v>
      </c>
      <c r="O24" s="990"/>
      <c r="P24" s="991"/>
      <c r="Q24" s="992"/>
      <c r="R24" s="993">
        <f>IFERROR(__xludf.DUMMYFUNCTION("""COMPUTED_VALUE"""),0.0)</f>
        <v>0</v>
      </c>
      <c r="S24" s="994"/>
      <c r="T24" s="992"/>
      <c r="U24" s="993">
        <f>IFERROR(__xludf.DUMMYFUNCTION("""COMPUTED_VALUE"""),0.0)</f>
        <v>0</v>
      </c>
      <c r="V24" s="919"/>
      <c r="W24" s="978" t="str">
        <f>IFERROR(__xludf.DUMMYFUNCTION("""COMPUTED_VALUE"""),"HKTHU2819")</f>
        <v>HKTHU2819</v>
      </c>
      <c r="X24" s="979" t="str">
        <f>IFERROR(__xludf.DUMMYFUNCTION("""COMPUTED_VALUE""")," 28, 19")</f>
        <v> 28, 19</v>
      </c>
      <c r="Y24" s="980" t="str">
        <f>IFERROR(__xludf.DUMMYFUNCTION("""COMPUTED_VALUE"""),"Túi")</f>
        <v>Túi</v>
      </c>
      <c r="Z24" s="981">
        <f>IFERROR(__xludf.DUMMYFUNCTION("""COMPUTED_VALUE"""),20.0)</f>
        <v>20</v>
      </c>
      <c r="AA24" s="982">
        <f>IFERROR(__xludf.DUMMYFUNCTION("""COMPUTED_VALUE"""),29040.0)</f>
        <v>29040</v>
      </c>
      <c r="AB24" s="983">
        <f>IFERROR(__xludf.DUMMYFUNCTION("""COMPUTED_VALUE"""),23000.0)</f>
        <v>23000</v>
      </c>
      <c r="AC24" s="984">
        <f>IFERROR(__xludf.DUMMYFUNCTION("""COMPUTED_VALUE"""),460000.0)</f>
        <v>460000</v>
      </c>
      <c r="AD24" s="985">
        <f>IFERROR(__xludf.DUMMYFUNCTION("""COMPUTED_VALUE"""),26400.0)</f>
        <v>26400</v>
      </c>
      <c r="AE24" s="983">
        <f>IFERROR(__xludf.DUMMYFUNCTION("""COMPUTED_VALUE"""),20910.0)</f>
        <v>20910</v>
      </c>
      <c r="AF24" s="984">
        <f>IFERROR(__xludf.DUMMYFUNCTION("""COMPUTED_VALUE"""),418180.0)</f>
        <v>418180</v>
      </c>
      <c r="AG24" s="920"/>
      <c r="AH24" s="995"/>
      <c r="AI24" s="995"/>
      <c r="AJ24" s="995"/>
      <c r="AK24" s="996"/>
      <c r="AL24" s="997"/>
      <c r="AM24" s="995"/>
      <c r="AN24" s="995"/>
      <c r="AO24" s="995"/>
      <c r="AP24" s="995"/>
      <c r="AQ24" s="995"/>
    </row>
    <row r="25">
      <c r="A25" s="999" t="str">
        <f>IFERROR(__xludf.DUMMYFUNCTION("""COMPUTED_VALUE"""),"HKCO108")</f>
        <v>HKCO108</v>
      </c>
      <c r="B25" s="1000">
        <f>IFERROR(__xludf.DUMMYFUNCTION("""COMPUTED_VALUE"""),108.0)</f>
        <v>108</v>
      </c>
      <c r="C25" s="1001" t="str">
        <f>IFERROR(__xludf.DUMMYFUNCTION("""COMPUTED_VALUE"""),"Túi")</f>
        <v>Túi</v>
      </c>
      <c r="D25" s="1002">
        <f>IFERROR(__xludf.DUMMYFUNCTION("""COMPUTED_VALUE"""),1.0)</f>
        <v>1</v>
      </c>
      <c r="E25" s="1003">
        <f>IFERROR(__xludf.DUMMYFUNCTION("""COMPUTED_VALUE"""),1782000.0)</f>
        <v>1782000</v>
      </c>
      <c r="F25" s="1004">
        <f>IFERROR(__xludf.DUMMYFUNCTION("""COMPUTED_VALUE"""),1620000.0)</f>
        <v>1620000</v>
      </c>
      <c r="G25" s="1005">
        <f>IFERROR(__xludf.DUMMYFUNCTION("""COMPUTED_VALUE"""),1620000.0)</f>
        <v>1620000</v>
      </c>
      <c r="H25" s="1006">
        <f>IFERROR(__xludf.DUMMYFUNCTION("""COMPUTED_VALUE"""),1620000.0)</f>
        <v>1620000</v>
      </c>
      <c r="I25" s="1007">
        <f>IFERROR(__xludf.DUMMYFUNCTION("""COMPUTED_VALUE"""),1472730.0)</f>
        <v>1472730</v>
      </c>
      <c r="J25" s="1008">
        <f>IFERROR(__xludf.DUMMYFUNCTION("""COMPUTED_VALUE"""),1472730.0)</f>
        <v>1472730</v>
      </c>
      <c r="K25" s="919"/>
      <c r="L25" s="1"/>
      <c r="M25" s="1"/>
      <c r="N25" s="1"/>
      <c r="O25" s="1"/>
      <c r="P25" s="1"/>
      <c r="Q25" s="1"/>
      <c r="R25" s="1"/>
      <c r="S25" s="1"/>
      <c r="T25" s="1"/>
      <c r="U25" s="1"/>
      <c r="V25" s="919"/>
      <c r="W25" s="967" t="str">
        <f>IFERROR(__xludf.DUMMYFUNCTION("""COMPUTED_VALUE"""),"HKTHU2822")</f>
        <v>HKTHU2822</v>
      </c>
      <c r="X25" s="968" t="str">
        <f>IFERROR(__xludf.DUMMYFUNCTION("""COMPUTED_VALUE""")," 28, 22")</f>
        <v> 28, 22</v>
      </c>
      <c r="Y25" s="969" t="str">
        <f>IFERROR(__xludf.DUMMYFUNCTION("""COMPUTED_VALUE"""),"Túi")</f>
        <v>Túi</v>
      </c>
      <c r="Z25" s="970">
        <f>IFERROR(__xludf.DUMMYFUNCTION("""COMPUTED_VALUE"""),20.0)</f>
        <v>20</v>
      </c>
      <c r="AA25" s="971">
        <f>IFERROR(__xludf.DUMMYFUNCTION("""COMPUTED_VALUE"""),29040.0)</f>
        <v>29040</v>
      </c>
      <c r="AB25" s="972">
        <f>IFERROR(__xludf.DUMMYFUNCTION("""COMPUTED_VALUE"""),23000.0)</f>
        <v>23000</v>
      </c>
      <c r="AC25" s="973">
        <f>IFERROR(__xludf.DUMMYFUNCTION("""COMPUTED_VALUE"""),460000.0)</f>
        <v>460000</v>
      </c>
      <c r="AD25" s="974">
        <f>IFERROR(__xludf.DUMMYFUNCTION("""COMPUTED_VALUE"""),26400.0)</f>
        <v>26400</v>
      </c>
      <c r="AE25" s="975">
        <f>IFERROR(__xludf.DUMMYFUNCTION("""COMPUTED_VALUE"""),20910.0)</f>
        <v>20910</v>
      </c>
      <c r="AF25" s="976">
        <f>IFERROR(__xludf.DUMMYFUNCTION("""COMPUTED_VALUE"""),418180.0)</f>
        <v>418180</v>
      </c>
      <c r="AG25" s="920"/>
      <c r="AH25" s="995"/>
      <c r="AI25" s="995"/>
      <c r="AJ25" s="995"/>
      <c r="AK25" s="996"/>
      <c r="AL25" s="997"/>
      <c r="AM25" s="995"/>
      <c r="AN25" s="995"/>
      <c r="AO25" s="995"/>
      <c r="AP25" s="995"/>
      <c r="AQ25" s="995"/>
    </row>
    <row r="26">
      <c r="A26" s="1"/>
      <c r="B26" s="1"/>
      <c r="C26" s="1"/>
      <c r="D26" s="1"/>
      <c r="E26" s="1"/>
      <c r="F26" s="1"/>
      <c r="G26" s="1"/>
      <c r="H26" s="1"/>
      <c r="I26" s="1"/>
      <c r="J26" s="1"/>
      <c r="K26" s="919"/>
      <c r="L26" s="1"/>
      <c r="M26" s="1"/>
      <c r="N26" s="1"/>
      <c r="O26" s="1"/>
      <c r="P26" s="1"/>
      <c r="Q26" s="1"/>
      <c r="R26" s="1"/>
      <c r="S26" s="1"/>
      <c r="T26" s="1"/>
      <c r="U26" s="1"/>
      <c r="V26" s="919"/>
      <c r="W26" s="978" t="str">
        <f>IFERROR(__xludf.DUMMYFUNCTION("""COMPUTED_VALUE"""),"HKTHU2825")</f>
        <v>HKTHU2825</v>
      </c>
      <c r="X26" s="979" t="str">
        <f>IFERROR(__xludf.DUMMYFUNCTION("""COMPUTED_VALUE""")," 28, 25")</f>
        <v> 28, 25</v>
      </c>
      <c r="Y26" s="980" t="str">
        <f>IFERROR(__xludf.DUMMYFUNCTION("""COMPUTED_VALUE"""),"Túi")</f>
        <v>Túi</v>
      </c>
      <c r="Z26" s="981">
        <f>IFERROR(__xludf.DUMMYFUNCTION("""COMPUTED_VALUE"""),20.0)</f>
        <v>20</v>
      </c>
      <c r="AA26" s="982">
        <f>IFERROR(__xludf.DUMMYFUNCTION("""COMPUTED_VALUE"""),29040.0)</f>
        <v>29040</v>
      </c>
      <c r="AB26" s="983">
        <f>IFERROR(__xludf.DUMMYFUNCTION("""COMPUTED_VALUE"""),23000.0)</f>
        <v>23000</v>
      </c>
      <c r="AC26" s="984">
        <f>IFERROR(__xludf.DUMMYFUNCTION("""COMPUTED_VALUE"""),460000.0)</f>
        <v>460000</v>
      </c>
      <c r="AD26" s="985">
        <f>IFERROR(__xludf.DUMMYFUNCTION("""COMPUTED_VALUE"""),26400.0)</f>
        <v>26400</v>
      </c>
      <c r="AE26" s="983">
        <f>IFERROR(__xludf.DUMMYFUNCTION("""COMPUTED_VALUE"""),20910.0)</f>
        <v>20910</v>
      </c>
      <c r="AF26" s="984">
        <f>IFERROR(__xludf.DUMMYFUNCTION("""COMPUTED_VALUE"""),418180.0)</f>
        <v>418180</v>
      </c>
      <c r="AG26" s="920"/>
      <c r="AH26" s="922"/>
      <c r="AI26" s="922"/>
      <c r="AJ26" s="922"/>
      <c r="AK26" s="922"/>
      <c r="AL26" s="922"/>
      <c r="AM26" s="995"/>
      <c r="AN26" s="995"/>
      <c r="AO26" s="995"/>
      <c r="AP26" s="995"/>
      <c r="AQ26" s="995"/>
    </row>
    <row r="27">
      <c r="A27" s="1"/>
      <c r="B27" s="1"/>
      <c r="C27" s="1"/>
      <c r="D27" s="1"/>
      <c r="E27" s="1"/>
      <c r="F27" s="1"/>
      <c r="G27" s="1"/>
      <c r="H27" s="1"/>
      <c r="I27" s="1"/>
      <c r="J27" s="1"/>
      <c r="K27" s="919"/>
      <c r="L27" s="1"/>
      <c r="M27" s="1"/>
      <c r="N27" s="1"/>
      <c r="O27" s="1"/>
      <c r="P27" s="1"/>
      <c r="Q27" s="1"/>
      <c r="R27" s="1"/>
      <c r="S27" s="1"/>
      <c r="T27" s="1"/>
      <c r="U27" s="1"/>
      <c r="V27" s="919"/>
      <c r="W27" s="967" t="str">
        <f>IFERROR(__xludf.DUMMYFUNCTION("""COMPUTED_VALUE"""),"HKTTHU3222")</f>
        <v>HKTTHU3222</v>
      </c>
      <c r="X27" s="968" t="str">
        <f>IFERROR(__xludf.DUMMYFUNCTION("""COMPUTED_VALUE""")," 32, 22")</f>
        <v> 32, 22</v>
      </c>
      <c r="Y27" s="969" t="str">
        <f>IFERROR(__xludf.DUMMYFUNCTION("""COMPUTED_VALUE"""),"Túi")</f>
        <v>Túi</v>
      </c>
      <c r="Z27" s="970">
        <f>IFERROR(__xludf.DUMMYFUNCTION("""COMPUTED_VALUE"""),15.0)</f>
        <v>15</v>
      </c>
      <c r="AA27" s="971">
        <f>IFERROR(__xludf.DUMMYFUNCTION("""COMPUTED_VALUE"""),55000.0)</f>
        <v>55000</v>
      </c>
      <c r="AB27" s="972">
        <f>IFERROR(__xludf.DUMMYFUNCTION("""COMPUTED_VALUE"""),27900.0)</f>
        <v>27900</v>
      </c>
      <c r="AC27" s="973">
        <f>IFERROR(__xludf.DUMMYFUNCTION("""COMPUTED_VALUE"""),418500.0)</f>
        <v>418500</v>
      </c>
      <c r="AD27" s="974">
        <f>IFERROR(__xludf.DUMMYFUNCTION("""COMPUTED_VALUE"""),50000.0)</f>
        <v>50000</v>
      </c>
      <c r="AE27" s="975">
        <f>IFERROR(__xludf.DUMMYFUNCTION("""COMPUTED_VALUE"""),25360.0)</f>
        <v>25360</v>
      </c>
      <c r="AF27" s="976">
        <f>IFERROR(__xludf.DUMMYFUNCTION("""COMPUTED_VALUE"""),380450.0)</f>
        <v>380450</v>
      </c>
      <c r="AG27" s="920"/>
      <c r="AH27" s="922"/>
      <c r="AI27" s="922"/>
      <c r="AJ27" s="922"/>
      <c r="AK27" s="922"/>
      <c r="AL27" s="922"/>
      <c r="AM27" s="995"/>
      <c r="AN27" s="995"/>
      <c r="AO27" s="995"/>
      <c r="AP27" s="995"/>
      <c r="AQ27" s="995"/>
    </row>
    <row r="28">
      <c r="A28" s="925" t="str">
        <f>IFERROR(__xludf.DUMMYFUNCTION("""COMPUTED_VALUE""")," Mã ")</f>
        <v>Mã</v>
      </c>
      <c r="B28" s="926" t="str">
        <f>IFERROR(__xludf.DUMMYFUNCTION("""COMPUTED_VALUE"""),"CHẾCH")</f>
        <v>CHẾCH</v>
      </c>
      <c r="C28" s="927" t="str">
        <f>IFERROR(__xludf.DUMMYFUNCTION("""COMPUTED_VALUE"""),"ĐVT")</f>
        <v>ĐVT</v>
      </c>
      <c r="D28" s="928" t="str">
        <f>IFERROR(__xludf.DUMMYFUNCTION("""COMPUTED_VALUE""")," Đóng gói ")</f>
        <v>Đóng gói</v>
      </c>
      <c r="E28" s="929" t="str">
        <f>IFERROR(__xludf.DUMMYFUNCTION("""COMPUTED_VALUE""")," GIÁ NIÊM YẾT (= GIÁ K) ")</f>
        <v>GIÁ NIÊM YẾT (= GIÁ K)</v>
      </c>
      <c r="F28" s="930"/>
      <c r="G28" s="931"/>
      <c r="H28" s="933" t="str">
        <f>IFERROR(__xludf.DUMMYFUNCTION("""COMPUTED_VALUE""")," GIÁ CHƯA VAT ")</f>
        <v>GIÁ CHƯA VAT</v>
      </c>
      <c r="I28" s="930"/>
      <c r="J28" s="931"/>
      <c r="K28" s="919"/>
      <c r="L28" s="925" t="str">
        <f>IFERROR(__xludf.DUMMYFUNCTION("""COMPUTED_VALUE""")," Mã ")</f>
        <v>Mã</v>
      </c>
      <c r="M28" s="926" t="str">
        <f>IFERROR(__xludf.DUMMYFUNCTION("""COMPUTED_VALUE"""),"TÊ")</f>
        <v>TÊ</v>
      </c>
      <c r="N28" s="927" t="str">
        <f>IFERROR(__xludf.DUMMYFUNCTION("""COMPUTED_VALUE"""),"ĐVT")</f>
        <v>ĐVT</v>
      </c>
      <c r="O28" s="928" t="str">
        <f>IFERROR(__xludf.DUMMYFUNCTION("""COMPUTED_VALUE""")," Đóng gói ")</f>
        <v>Đóng gói</v>
      </c>
      <c r="P28" s="929" t="str">
        <f>IFERROR(__xludf.DUMMYFUNCTION("""COMPUTED_VALUE""")," GIÁ NIÊM YẾT (= GIÁ K) ")</f>
        <v>GIÁ NIÊM YẾT (= GIÁ K)</v>
      </c>
      <c r="Q28" s="930"/>
      <c r="R28" s="931"/>
      <c r="S28" s="933" t="str">
        <f>IFERROR(__xludf.DUMMYFUNCTION("""COMPUTED_VALUE""")," GIÁ CHƯA VAT ")</f>
        <v>GIÁ CHƯA VAT</v>
      </c>
      <c r="T28" s="930"/>
      <c r="U28" s="931"/>
      <c r="V28" s="919"/>
      <c r="W28" s="978" t="str">
        <f>IFERROR(__xludf.DUMMYFUNCTION("""COMPUTED_VALUE"""),"HKTHU3225")</f>
        <v>HKTHU3225</v>
      </c>
      <c r="X28" s="979" t="str">
        <f>IFERROR(__xludf.DUMMYFUNCTION("""COMPUTED_VALUE""")," 32, 25")</f>
        <v> 32, 25</v>
      </c>
      <c r="Y28" s="980" t="str">
        <f>IFERROR(__xludf.DUMMYFUNCTION("""COMPUTED_VALUE"""),"Túi")</f>
        <v>Túi</v>
      </c>
      <c r="Z28" s="981">
        <f>IFERROR(__xludf.DUMMYFUNCTION("""COMPUTED_VALUE"""),15.0)</f>
        <v>15</v>
      </c>
      <c r="AA28" s="982">
        <f>IFERROR(__xludf.DUMMYFUNCTION("""COMPUTED_VALUE"""),49500.0)</f>
        <v>49500</v>
      </c>
      <c r="AB28" s="983">
        <f>IFERROR(__xludf.DUMMYFUNCTION("""COMPUTED_VALUE"""),36000.0)</f>
        <v>36000</v>
      </c>
      <c r="AC28" s="984">
        <f>IFERROR(__xludf.DUMMYFUNCTION("""COMPUTED_VALUE"""),540000.0)</f>
        <v>540000</v>
      </c>
      <c r="AD28" s="985">
        <f>IFERROR(__xludf.DUMMYFUNCTION("""COMPUTED_VALUE"""),45000.0)</f>
        <v>45000</v>
      </c>
      <c r="AE28" s="983">
        <f>IFERROR(__xludf.DUMMYFUNCTION("""COMPUTED_VALUE"""),32730.0)</f>
        <v>32730</v>
      </c>
      <c r="AF28" s="984">
        <f>IFERROR(__xludf.DUMMYFUNCTION("""COMPUTED_VALUE"""),490910.0)</f>
        <v>490910</v>
      </c>
      <c r="AG28" s="920"/>
      <c r="AH28" s="922"/>
      <c r="AI28" s="922"/>
      <c r="AJ28" s="922"/>
      <c r="AK28" s="922"/>
      <c r="AL28" s="922"/>
      <c r="AM28" s="995"/>
      <c r="AN28" s="995"/>
      <c r="AO28" s="995"/>
      <c r="AP28" s="995"/>
      <c r="AQ28" s="995"/>
    </row>
    <row r="29">
      <c r="A29" s="935"/>
      <c r="B29" s="936"/>
      <c r="C29" s="936"/>
      <c r="D29" s="937"/>
      <c r="E29" s="938" t="str">
        <f>IFERROR(__xludf.DUMMYFUNCTION("""COMPUTED_VALUE""")," Bán lẻ ")</f>
        <v>Bán lẻ</v>
      </c>
      <c r="F29" s="939" t="str">
        <f>IFERROR(__xludf.DUMMYFUNCTION("""COMPUTED_VALUE""")," Túi ")</f>
        <v>Túi</v>
      </c>
      <c r="G29" s="940"/>
      <c r="H29" s="943" t="str">
        <f>IFERROR(__xludf.DUMMYFUNCTION("""COMPUTED_VALUE""")," Bán lẻ ")</f>
        <v>Bán lẻ</v>
      </c>
      <c r="I29" s="944" t="str">
        <f>IFERROR(__xludf.DUMMYFUNCTION("""COMPUTED_VALUE""")," Túi ")</f>
        <v>Túi</v>
      </c>
      <c r="J29" s="940"/>
      <c r="K29" s="919"/>
      <c r="L29" s="935"/>
      <c r="M29" s="936"/>
      <c r="N29" s="936"/>
      <c r="O29" s="937"/>
      <c r="P29" s="938" t="str">
        <f>IFERROR(__xludf.DUMMYFUNCTION("""COMPUTED_VALUE""")," Bán lẻ ")</f>
        <v>Bán lẻ</v>
      </c>
      <c r="Q29" s="939" t="str">
        <f>IFERROR(__xludf.DUMMYFUNCTION("""COMPUTED_VALUE""")," Túi ")</f>
        <v>Túi</v>
      </c>
      <c r="R29" s="940"/>
      <c r="S29" s="943" t="str">
        <f>IFERROR(__xludf.DUMMYFUNCTION("""COMPUTED_VALUE""")," Bán lẻ ")</f>
        <v>Bán lẻ</v>
      </c>
      <c r="T29" s="944" t="str">
        <f>IFERROR(__xludf.DUMMYFUNCTION("""COMPUTED_VALUE""")," Túi ")</f>
        <v>Túi</v>
      </c>
      <c r="U29" s="940"/>
      <c r="V29" s="919"/>
      <c r="W29" s="967" t="str">
        <f>IFERROR(__xludf.DUMMYFUNCTION("""COMPUTED_VALUE"""),"HKTHU3228")</f>
        <v>HKTHU3228</v>
      </c>
      <c r="X29" s="968" t="str">
        <f>IFERROR(__xludf.DUMMYFUNCTION("""COMPUTED_VALUE""")," 32, 28")</f>
        <v> 32, 28</v>
      </c>
      <c r="Y29" s="969" t="str">
        <f>IFERROR(__xludf.DUMMYFUNCTION("""COMPUTED_VALUE"""),"Túi")</f>
        <v>Túi</v>
      </c>
      <c r="Z29" s="970">
        <f>IFERROR(__xludf.DUMMYFUNCTION("""COMPUTED_VALUE"""),15.0)</f>
        <v>15</v>
      </c>
      <c r="AA29" s="971">
        <f>IFERROR(__xludf.DUMMYFUNCTION("""COMPUTED_VALUE"""),49500.0)</f>
        <v>49500</v>
      </c>
      <c r="AB29" s="972">
        <f>IFERROR(__xludf.DUMMYFUNCTION("""COMPUTED_VALUE"""),21600.0)</f>
        <v>21600</v>
      </c>
      <c r="AC29" s="973">
        <f>IFERROR(__xludf.DUMMYFUNCTION("""COMPUTED_VALUE"""),324000.0)</f>
        <v>324000</v>
      </c>
      <c r="AD29" s="974">
        <f>IFERROR(__xludf.DUMMYFUNCTION("""COMPUTED_VALUE"""),45000.0)</f>
        <v>45000</v>
      </c>
      <c r="AE29" s="975">
        <f>IFERROR(__xludf.DUMMYFUNCTION("""COMPUTED_VALUE"""),19640.0)</f>
        <v>19640</v>
      </c>
      <c r="AF29" s="976">
        <f>IFERROR(__xludf.DUMMYFUNCTION("""COMPUTED_VALUE"""),294550.0)</f>
        <v>294550</v>
      </c>
      <c r="AG29" s="920"/>
      <c r="AH29" s="922"/>
      <c r="AI29" s="922"/>
      <c r="AJ29" s="922"/>
      <c r="AK29" s="922"/>
      <c r="AL29" s="922"/>
      <c r="AM29" s="995"/>
      <c r="AN29" s="995"/>
      <c r="AO29" s="995"/>
      <c r="AP29" s="995"/>
      <c r="AQ29" s="995"/>
    </row>
    <row r="30">
      <c r="A30" s="946"/>
      <c r="B30" s="947"/>
      <c r="C30" s="947"/>
      <c r="D30" s="948"/>
      <c r="E30" s="949"/>
      <c r="F30" s="950" t="str">
        <f>IFERROR(__xludf.DUMMYFUNCTION("""COMPUTED_VALUE""")," Đơn giá ")</f>
        <v>Đơn giá</v>
      </c>
      <c r="G30" s="951" t="str">
        <f>IFERROR(__xludf.DUMMYFUNCTION("""COMPUTED_VALUE""")," Tổng ")</f>
        <v>Tổng</v>
      </c>
      <c r="H30" s="952"/>
      <c r="I30" s="955" t="str">
        <f>IFERROR(__xludf.DUMMYFUNCTION("""COMPUTED_VALUE""")," Đơn giá ")</f>
        <v>Đơn giá</v>
      </c>
      <c r="J30" s="956" t="str">
        <f>IFERROR(__xludf.DUMMYFUNCTION("""COMPUTED_VALUE""")," Tổng ")</f>
        <v>Tổng</v>
      </c>
      <c r="K30" s="919"/>
      <c r="L30" s="946"/>
      <c r="M30" s="947"/>
      <c r="N30" s="947"/>
      <c r="O30" s="948"/>
      <c r="P30" s="949"/>
      <c r="Q30" s="950" t="str">
        <f>IFERROR(__xludf.DUMMYFUNCTION("""COMPUTED_VALUE""")," Đơn giá ")</f>
        <v>Đơn giá</v>
      </c>
      <c r="R30" s="951" t="str">
        <f>IFERROR(__xludf.DUMMYFUNCTION("""COMPUTED_VALUE""")," Tổng ")</f>
        <v>Tổng</v>
      </c>
      <c r="S30" s="952"/>
      <c r="T30" s="955" t="str">
        <f>IFERROR(__xludf.DUMMYFUNCTION("""COMPUTED_VALUE""")," Đơn giá ")</f>
        <v>Đơn giá</v>
      </c>
      <c r="U30" s="956" t="str">
        <f>IFERROR(__xludf.DUMMYFUNCTION("""COMPUTED_VALUE""")," Tổng ")</f>
        <v>Tổng</v>
      </c>
      <c r="V30" s="919"/>
      <c r="W30" s="978" t="str">
        <f>IFERROR(__xludf.DUMMYFUNCTION("""COMPUTED_VALUE"""),"HKTHU3512")</f>
        <v>HKTHU3512</v>
      </c>
      <c r="X30" s="979" t="str">
        <f>IFERROR(__xludf.DUMMYFUNCTION("""COMPUTED_VALUE""")," 35 , 12")</f>
        <v> 35 , 12</v>
      </c>
      <c r="Y30" s="980" t="str">
        <f>IFERROR(__xludf.DUMMYFUNCTION("""COMPUTED_VALUE"""),"Túi")</f>
        <v>Túi</v>
      </c>
      <c r="Z30" s="981">
        <f>IFERROR(__xludf.DUMMYFUNCTION("""COMPUTED_VALUE"""),10.0)</f>
        <v>10</v>
      </c>
      <c r="AA30" s="982">
        <f>IFERROR(__xludf.DUMMYFUNCTION("""COMPUTED_VALUE"""),55000.0)</f>
        <v>55000</v>
      </c>
      <c r="AB30" s="983">
        <f>IFERROR(__xludf.DUMMYFUNCTION("""COMPUTED_VALUE"""),41000.0)</f>
        <v>41000</v>
      </c>
      <c r="AC30" s="984">
        <f>IFERROR(__xludf.DUMMYFUNCTION("""COMPUTED_VALUE"""),410000.0)</f>
        <v>410000</v>
      </c>
      <c r="AD30" s="985">
        <f>IFERROR(__xludf.DUMMYFUNCTION("""COMPUTED_VALUE"""),50000.0)</f>
        <v>50000</v>
      </c>
      <c r="AE30" s="983">
        <f>IFERROR(__xludf.DUMMYFUNCTION("""COMPUTED_VALUE"""),37270.0)</f>
        <v>37270</v>
      </c>
      <c r="AF30" s="984">
        <f>IFERROR(__xludf.DUMMYFUNCTION("""COMPUTED_VALUE"""),372730.0)</f>
        <v>372730</v>
      </c>
      <c r="AG30" s="920"/>
      <c r="AH30" s="922"/>
      <c r="AI30" s="922"/>
      <c r="AJ30" s="922"/>
      <c r="AK30" s="922"/>
      <c r="AL30" s="922"/>
      <c r="AM30" s="995"/>
      <c r="AN30" s="995"/>
      <c r="AO30" s="995"/>
      <c r="AP30" s="995"/>
      <c r="AQ30" s="995"/>
    </row>
    <row r="31">
      <c r="A31" s="958" t="str">
        <f>IFERROR(__xludf.DUMMYFUNCTION("""COMPUTED_VALUE"""),"HKCHECH10")</f>
        <v>HKCHECH10</v>
      </c>
      <c r="B31" s="959">
        <f>IFERROR(__xludf.DUMMYFUNCTION("""COMPUTED_VALUE"""),10.0)</f>
        <v>10</v>
      </c>
      <c r="C31" s="960" t="str">
        <f>IFERROR(__xludf.DUMMYFUNCTION("""COMPUTED_VALUE"""),"Cái")</f>
        <v>Cái</v>
      </c>
      <c r="D31" s="961">
        <f>IFERROR(__xludf.DUMMYFUNCTION("""COMPUTED_VALUE"""),200.0)</f>
        <v>200</v>
      </c>
      <c r="E31" s="962">
        <f>IFERROR(__xludf.DUMMYFUNCTION("""COMPUTED_VALUE"""),8030.0)</f>
        <v>8030</v>
      </c>
      <c r="F31" s="963">
        <f>IFERROR(__xludf.DUMMYFUNCTION("""COMPUTED_VALUE"""),5400.0)</f>
        <v>5400</v>
      </c>
      <c r="G31" s="964">
        <f>IFERROR(__xludf.DUMMYFUNCTION("""COMPUTED_VALUE"""),1080000.0)</f>
        <v>1080000</v>
      </c>
      <c r="H31" s="965">
        <f>IFERROR(__xludf.DUMMYFUNCTION("""COMPUTED_VALUE"""),7300.0)</f>
        <v>7300</v>
      </c>
      <c r="I31" s="963">
        <f>IFERROR(__xludf.DUMMYFUNCTION("""COMPUTED_VALUE"""),4910.0)</f>
        <v>4910</v>
      </c>
      <c r="J31" s="964">
        <f>IFERROR(__xludf.DUMMYFUNCTION("""COMPUTED_VALUE"""),981820.0)</f>
        <v>981820</v>
      </c>
      <c r="K31" s="919"/>
      <c r="L31" s="958" t="str">
        <f>IFERROR(__xludf.DUMMYFUNCTION("""COMPUTED_VALUE"""),"HKTE6")</f>
        <v>HKTE6</v>
      </c>
      <c r="M31" s="959">
        <f>IFERROR(__xludf.DUMMYFUNCTION("""COMPUTED_VALUE"""),6.0)</f>
        <v>6</v>
      </c>
      <c r="N31" s="960" t="str">
        <f>IFERROR(__xludf.DUMMYFUNCTION("""COMPUTED_VALUE"""),"Túi")</f>
        <v>Túi</v>
      </c>
      <c r="O31" s="961">
        <f>IFERROR(__xludf.DUMMYFUNCTION("""COMPUTED_VALUE"""),400.0)</f>
        <v>400</v>
      </c>
      <c r="P31" s="962">
        <f>IFERROR(__xludf.DUMMYFUNCTION("""COMPUTED_VALUE"""),8800.0)</f>
        <v>8800</v>
      </c>
      <c r="Q31" s="963">
        <f>IFERROR(__xludf.DUMMYFUNCTION("""COMPUTED_VALUE"""),8000.0)</f>
        <v>8000</v>
      </c>
      <c r="R31" s="964">
        <f>IFERROR(__xludf.DUMMYFUNCTION("""COMPUTED_VALUE"""),3200000.0)</f>
        <v>3200000</v>
      </c>
      <c r="S31" s="965">
        <f>IFERROR(__xludf.DUMMYFUNCTION("""COMPUTED_VALUE"""),8000.0)</f>
        <v>8000</v>
      </c>
      <c r="T31" s="963">
        <f>IFERROR(__xludf.DUMMYFUNCTION("""COMPUTED_VALUE"""),7270.0)</f>
        <v>7270</v>
      </c>
      <c r="U31" s="964">
        <f>IFERROR(__xludf.DUMMYFUNCTION("""COMPUTED_VALUE"""),2909090.0)</f>
        <v>2909090</v>
      </c>
      <c r="V31" s="919"/>
      <c r="W31" s="967" t="str">
        <f>IFERROR(__xludf.DUMMYFUNCTION("""COMPUTED_VALUE"""),"HKTHU3516")</f>
        <v>HKTHU3516</v>
      </c>
      <c r="X31" s="968" t="str">
        <f>IFERROR(__xludf.DUMMYFUNCTION("""COMPUTED_VALUE""")," 35, 16")</f>
        <v> 35, 16</v>
      </c>
      <c r="Y31" s="969" t="str">
        <f>IFERROR(__xludf.DUMMYFUNCTION("""COMPUTED_VALUE"""),"Túi")</f>
        <v>Túi</v>
      </c>
      <c r="Z31" s="970">
        <f>IFERROR(__xludf.DUMMYFUNCTION("""COMPUTED_VALUE"""),10.0)</f>
        <v>10</v>
      </c>
      <c r="AA31" s="971">
        <f>IFERROR(__xludf.DUMMYFUNCTION("""COMPUTED_VALUE"""),77000.0)</f>
        <v>77000</v>
      </c>
      <c r="AB31" s="972">
        <f>IFERROR(__xludf.DUMMYFUNCTION("""COMPUTED_VALUE"""),41000.0)</f>
        <v>41000</v>
      </c>
      <c r="AC31" s="973">
        <f>IFERROR(__xludf.DUMMYFUNCTION("""COMPUTED_VALUE"""),410000.0)</f>
        <v>410000</v>
      </c>
      <c r="AD31" s="974">
        <f>IFERROR(__xludf.DUMMYFUNCTION("""COMPUTED_VALUE"""),70000.0)</f>
        <v>70000</v>
      </c>
      <c r="AE31" s="975">
        <f>IFERROR(__xludf.DUMMYFUNCTION("""COMPUTED_VALUE"""),37270.0)</f>
        <v>37270</v>
      </c>
      <c r="AF31" s="976">
        <f>IFERROR(__xludf.DUMMYFUNCTION("""COMPUTED_VALUE"""),372730.0)</f>
        <v>372730</v>
      </c>
      <c r="AG31" s="920"/>
      <c r="AH31" s="922"/>
      <c r="AI31" s="922"/>
      <c r="AJ31" s="922"/>
      <c r="AK31" s="922"/>
      <c r="AL31" s="922"/>
      <c r="AM31" s="995"/>
      <c r="AN31" s="995"/>
      <c r="AO31" s="995"/>
      <c r="AP31" s="995"/>
      <c r="AQ31" s="995"/>
    </row>
    <row r="32">
      <c r="A32" s="967" t="str">
        <f>IFERROR(__xludf.DUMMYFUNCTION("""COMPUTED_VALUE"""),"HKCHECH12")</f>
        <v>HKCHECH12</v>
      </c>
      <c r="B32" s="968">
        <f>IFERROR(__xludf.DUMMYFUNCTION("""COMPUTED_VALUE"""),12.0)</f>
        <v>12</v>
      </c>
      <c r="C32" s="969" t="str">
        <f>IFERROR(__xludf.DUMMYFUNCTION("""COMPUTED_VALUE"""),"Cái")</f>
        <v>Cái</v>
      </c>
      <c r="D32" s="970">
        <f>IFERROR(__xludf.DUMMYFUNCTION("""COMPUTED_VALUE"""),200.0)</f>
        <v>200</v>
      </c>
      <c r="E32" s="971">
        <f>IFERROR(__xludf.DUMMYFUNCTION("""COMPUTED_VALUE"""),9240.0)</f>
        <v>9240</v>
      </c>
      <c r="F32" s="972">
        <f>IFERROR(__xludf.DUMMYFUNCTION("""COMPUTED_VALUE"""),5600.0)</f>
        <v>5600</v>
      </c>
      <c r="G32" s="973">
        <f>IFERROR(__xludf.DUMMYFUNCTION("""COMPUTED_VALUE"""),1120000.0)</f>
        <v>1120000</v>
      </c>
      <c r="H32" s="974">
        <f>IFERROR(__xludf.DUMMYFUNCTION("""COMPUTED_VALUE"""),8400.0)</f>
        <v>8400</v>
      </c>
      <c r="I32" s="975">
        <f>IFERROR(__xludf.DUMMYFUNCTION("""COMPUTED_VALUE"""),5090.0)</f>
        <v>5090</v>
      </c>
      <c r="J32" s="976">
        <f>IFERROR(__xludf.DUMMYFUNCTION("""COMPUTED_VALUE"""),1018180.0)</f>
        <v>1018180</v>
      </c>
      <c r="K32" s="919"/>
      <c r="L32" s="967" t="str">
        <f>IFERROR(__xludf.DUMMYFUNCTION("""COMPUTED_VALUE"""),"HKTE10")</f>
        <v>HKTE10</v>
      </c>
      <c r="M32" s="968">
        <f>IFERROR(__xludf.DUMMYFUNCTION("""COMPUTED_VALUE"""),10.0)</f>
        <v>10</v>
      </c>
      <c r="N32" s="969" t="str">
        <f>IFERROR(__xludf.DUMMYFUNCTION("""COMPUTED_VALUE"""),"Túi")</f>
        <v>Túi</v>
      </c>
      <c r="O32" s="970">
        <f>IFERROR(__xludf.DUMMYFUNCTION("""COMPUTED_VALUE"""),200.0)</f>
        <v>200</v>
      </c>
      <c r="P32" s="971">
        <f>IFERROR(__xludf.DUMMYFUNCTION("""COMPUTED_VALUE"""),11000.0)</f>
        <v>11000</v>
      </c>
      <c r="Q32" s="972">
        <f>IFERROR(__xludf.DUMMYFUNCTION("""COMPUTED_VALUE"""),9000.0)</f>
        <v>9000</v>
      </c>
      <c r="R32" s="973">
        <f>IFERROR(__xludf.DUMMYFUNCTION("""COMPUTED_VALUE"""),1800000.0)</f>
        <v>1800000</v>
      </c>
      <c r="S32" s="974">
        <f>IFERROR(__xludf.DUMMYFUNCTION("""COMPUTED_VALUE"""),10000.0)</f>
        <v>10000</v>
      </c>
      <c r="T32" s="975">
        <f>IFERROR(__xludf.DUMMYFUNCTION("""COMPUTED_VALUE"""),8180.0)</f>
        <v>8180</v>
      </c>
      <c r="U32" s="976">
        <f>IFERROR(__xludf.DUMMYFUNCTION("""COMPUTED_VALUE"""),1636360.0)</f>
        <v>1636360</v>
      </c>
      <c r="V32" s="919"/>
      <c r="W32" s="978" t="str">
        <f>IFERROR(__xludf.DUMMYFUNCTION("""COMPUTED_VALUE"""),"HKTHU3519")</f>
        <v>HKTHU3519</v>
      </c>
      <c r="X32" s="979" t="str">
        <f>IFERROR(__xludf.DUMMYFUNCTION("""COMPUTED_VALUE""")," 35, 19")</f>
        <v> 35, 19</v>
      </c>
      <c r="Y32" s="980" t="str">
        <f>IFERROR(__xludf.DUMMYFUNCTION("""COMPUTED_VALUE"""),"Túi")</f>
        <v>Túi</v>
      </c>
      <c r="Z32" s="981">
        <f>IFERROR(__xludf.DUMMYFUNCTION("""COMPUTED_VALUE"""),10.0)</f>
        <v>10</v>
      </c>
      <c r="AA32" s="982">
        <f>IFERROR(__xludf.DUMMYFUNCTION("""COMPUTED_VALUE"""),55000.0)</f>
        <v>55000</v>
      </c>
      <c r="AB32" s="983">
        <f>IFERROR(__xludf.DUMMYFUNCTION("""COMPUTED_VALUE"""),41000.0)</f>
        <v>41000</v>
      </c>
      <c r="AC32" s="984">
        <f>IFERROR(__xludf.DUMMYFUNCTION("""COMPUTED_VALUE"""),410000.0)</f>
        <v>410000</v>
      </c>
      <c r="AD32" s="985">
        <f>IFERROR(__xludf.DUMMYFUNCTION("""COMPUTED_VALUE"""),50000.0)</f>
        <v>50000</v>
      </c>
      <c r="AE32" s="983">
        <f>IFERROR(__xludf.DUMMYFUNCTION("""COMPUTED_VALUE"""),37270.0)</f>
        <v>37270</v>
      </c>
      <c r="AF32" s="984">
        <f>IFERROR(__xludf.DUMMYFUNCTION("""COMPUTED_VALUE"""),372730.0)</f>
        <v>372730</v>
      </c>
      <c r="AG32" s="920"/>
      <c r="AH32" s="922"/>
      <c r="AI32" s="922"/>
      <c r="AJ32" s="922"/>
      <c r="AK32" s="922"/>
      <c r="AL32" s="922"/>
      <c r="AM32" s="995"/>
      <c r="AN32" s="995"/>
      <c r="AO32" s="995"/>
      <c r="AP32" s="995"/>
      <c r="AQ32" s="995"/>
    </row>
    <row r="33">
      <c r="A33" s="978" t="str">
        <f>IFERROR(__xludf.DUMMYFUNCTION("""COMPUTED_VALUE"""),"HKCHENH16")</f>
        <v>HKCHENH16</v>
      </c>
      <c r="B33" s="979">
        <f>IFERROR(__xludf.DUMMYFUNCTION("""COMPUTED_VALUE"""),16.0)</f>
        <v>16</v>
      </c>
      <c r="C33" s="980" t="str">
        <f>IFERROR(__xludf.DUMMYFUNCTION("""COMPUTED_VALUE"""),"Cái")</f>
        <v>Cái</v>
      </c>
      <c r="D33" s="981">
        <f>IFERROR(__xludf.DUMMYFUNCTION("""COMPUTED_VALUE"""),100.0)</f>
        <v>100</v>
      </c>
      <c r="E33" s="982">
        <f>IFERROR(__xludf.DUMMYFUNCTION("""COMPUTED_VALUE"""),11000.0)</f>
        <v>11000</v>
      </c>
      <c r="F33" s="983">
        <f>IFERROR(__xludf.DUMMYFUNCTION("""COMPUTED_VALUE"""),6800.0)</f>
        <v>6800</v>
      </c>
      <c r="G33" s="984">
        <f>IFERROR(__xludf.DUMMYFUNCTION("""COMPUTED_VALUE"""),680000.0)</f>
        <v>680000</v>
      </c>
      <c r="H33" s="985">
        <f>IFERROR(__xludf.DUMMYFUNCTION("""COMPUTED_VALUE"""),10000.0)</f>
        <v>10000</v>
      </c>
      <c r="I33" s="983">
        <f>IFERROR(__xludf.DUMMYFUNCTION("""COMPUTED_VALUE"""),6180.0)</f>
        <v>6180</v>
      </c>
      <c r="J33" s="984">
        <f>IFERROR(__xludf.DUMMYFUNCTION("""COMPUTED_VALUE"""),618180.0)</f>
        <v>618180</v>
      </c>
      <c r="K33" s="919"/>
      <c r="L33" s="978" t="str">
        <f>IFERROR(__xludf.DUMMYFUNCTION("""COMPUTED_VALUE"""),"HKTE12")</f>
        <v>HKTE12</v>
      </c>
      <c r="M33" s="979">
        <f>IFERROR(__xludf.DUMMYFUNCTION("""COMPUTED_VALUE"""),12.0)</f>
        <v>12</v>
      </c>
      <c r="N33" s="980" t="str">
        <f>IFERROR(__xludf.DUMMYFUNCTION("""COMPUTED_VALUE"""),"Túi")</f>
        <v>Túi</v>
      </c>
      <c r="O33" s="981">
        <f>IFERROR(__xludf.DUMMYFUNCTION("""COMPUTED_VALUE"""),100.0)</f>
        <v>100</v>
      </c>
      <c r="P33" s="982">
        <f>IFERROR(__xludf.DUMMYFUNCTION("""COMPUTED_VALUE"""),12100.0)</f>
        <v>12100</v>
      </c>
      <c r="Q33" s="983">
        <f>IFERROR(__xludf.DUMMYFUNCTION("""COMPUTED_VALUE"""),10000.0)</f>
        <v>10000</v>
      </c>
      <c r="R33" s="984">
        <f>IFERROR(__xludf.DUMMYFUNCTION("""COMPUTED_VALUE"""),1000000.0)</f>
        <v>1000000</v>
      </c>
      <c r="S33" s="985">
        <f>IFERROR(__xludf.DUMMYFUNCTION("""COMPUTED_VALUE"""),11000.0)</f>
        <v>11000</v>
      </c>
      <c r="T33" s="983">
        <f>IFERROR(__xludf.DUMMYFUNCTION("""COMPUTED_VALUE"""),9090.0)</f>
        <v>9090</v>
      </c>
      <c r="U33" s="984">
        <f>IFERROR(__xludf.DUMMYFUNCTION("""COMPUTED_VALUE"""),909090.0)</f>
        <v>909090</v>
      </c>
      <c r="V33" s="919"/>
      <c r="W33" s="967" t="str">
        <f>IFERROR(__xludf.DUMMYFUNCTION("""COMPUTED_VALUE"""),"HKTHU3522")</f>
        <v>HKTHU3522</v>
      </c>
      <c r="X33" s="968" t="str">
        <f>IFERROR(__xludf.DUMMYFUNCTION("""COMPUTED_VALUE""")," 35, 22")</f>
        <v> 35, 22</v>
      </c>
      <c r="Y33" s="969" t="str">
        <f>IFERROR(__xludf.DUMMYFUNCTION("""COMPUTED_VALUE"""),"Túi")</f>
        <v>Túi</v>
      </c>
      <c r="Z33" s="970">
        <f>IFERROR(__xludf.DUMMYFUNCTION("""COMPUTED_VALUE"""),10.0)</f>
        <v>10</v>
      </c>
      <c r="AA33" s="971">
        <f>IFERROR(__xludf.DUMMYFUNCTION("""COMPUTED_VALUE"""),53020.0)</f>
        <v>53020</v>
      </c>
      <c r="AB33" s="972">
        <f>IFERROR(__xludf.DUMMYFUNCTION("""COMPUTED_VALUE"""),41000.0)</f>
        <v>41000</v>
      </c>
      <c r="AC33" s="973">
        <f>IFERROR(__xludf.DUMMYFUNCTION("""COMPUTED_VALUE"""),410000.0)</f>
        <v>410000</v>
      </c>
      <c r="AD33" s="974">
        <f>IFERROR(__xludf.DUMMYFUNCTION("""COMPUTED_VALUE"""),48200.0)</f>
        <v>48200</v>
      </c>
      <c r="AE33" s="975">
        <f>IFERROR(__xludf.DUMMYFUNCTION("""COMPUTED_VALUE"""),37270.0)</f>
        <v>37270</v>
      </c>
      <c r="AF33" s="976">
        <f>IFERROR(__xludf.DUMMYFUNCTION("""COMPUTED_VALUE"""),372730.0)</f>
        <v>372730</v>
      </c>
      <c r="AG33" s="922"/>
      <c r="AH33" s="922"/>
      <c r="AI33" s="922"/>
      <c r="AJ33" s="922"/>
      <c r="AK33" s="922"/>
      <c r="AL33" s="922"/>
      <c r="AM33" s="995"/>
      <c r="AN33" s="995"/>
      <c r="AO33" s="995"/>
      <c r="AP33" s="995"/>
      <c r="AQ33" s="995"/>
    </row>
    <row r="34">
      <c r="A34" s="967" t="str">
        <f>IFERROR(__xludf.DUMMYFUNCTION("""COMPUTED_VALUE"""),"HKCHENH19")</f>
        <v>HKCHENH19</v>
      </c>
      <c r="B34" s="968">
        <f>IFERROR(__xludf.DUMMYFUNCTION("""COMPUTED_VALUE"""),19.0)</f>
        <v>19</v>
      </c>
      <c r="C34" s="969" t="str">
        <f>IFERROR(__xludf.DUMMYFUNCTION("""COMPUTED_VALUE"""),"Cái")</f>
        <v>Cái</v>
      </c>
      <c r="D34" s="970">
        <f>IFERROR(__xludf.DUMMYFUNCTION("""COMPUTED_VALUE"""),100.0)</f>
        <v>100</v>
      </c>
      <c r="E34" s="971">
        <f>IFERROR(__xludf.DUMMYFUNCTION("""COMPUTED_VALUE"""),12100.0)</f>
        <v>12100</v>
      </c>
      <c r="F34" s="972">
        <f>IFERROR(__xludf.DUMMYFUNCTION("""COMPUTED_VALUE"""),7900.0)</f>
        <v>7900</v>
      </c>
      <c r="G34" s="973">
        <f>IFERROR(__xludf.DUMMYFUNCTION("""COMPUTED_VALUE"""),790000.0)</f>
        <v>790000</v>
      </c>
      <c r="H34" s="974">
        <f>IFERROR(__xludf.DUMMYFUNCTION("""COMPUTED_VALUE"""),11000.0)</f>
        <v>11000</v>
      </c>
      <c r="I34" s="975">
        <f>IFERROR(__xludf.DUMMYFUNCTION("""COMPUTED_VALUE"""),7180.0)</f>
        <v>7180</v>
      </c>
      <c r="J34" s="976">
        <f>IFERROR(__xludf.DUMMYFUNCTION("""COMPUTED_VALUE"""),718180.0)</f>
        <v>718180</v>
      </c>
      <c r="K34" s="919"/>
      <c r="L34" s="967" t="str">
        <f>IFERROR(__xludf.DUMMYFUNCTION("""COMPUTED_VALUE"""),"HKTE16")</f>
        <v>HKTE16</v>
      </c>
      <c r="M34" s="968">
        <f>IFERROR(__xludf.DUMMYFUNCTION("""COMPUTED_VALUE"""),16.0)</f>
        <v>16</v>
      </c>
      <c r="N34" s="969" t="str">
        <f>IFERROR(__xludf.DUMMYFUNCTION("""COMPUTED_VALUE"""),"Túi")</f>
        <v>Túi</v>
      </c>
      <c r="O34" s="970">
        <f>IFERROR(__xludf.DUMMYFUNCTION("""COMPUTED_VALUE"""),80.0)</f>
        <v>80</v>
      </c>
      <c r="P34" s="971">
        <f>IFERROR(__xludf.DUMMYFUNCTION("""COMPUTED_VALUE"""),14300.0)</f>
        <v>14300</v>
      </c>
      <c r="Q34" s="972">
        <f>IFERROR(__xludf.DUMMYFUNCTION("""COMPUTED_VALUE"""),12000.0)</f>
        <v>12000</v>
      </c>
      <c r="R34" s="973">
        <f>IFERROR(__xludf.DUMMYFUNCTION("""COMPUTED_VALUE"""),960000.0)</f>
        <v>960000</v>
      </c>
      <c r="S34" s="974">
        <f>IFERROR(__xludf.DUMMYFUNCTION("""COMPUTED_VALUE"""),13000.0)</f>
        <v>13000</v>
      </c>
      <c r="T34" s="975">
        <f>IFERROR(__xludf.DUMMYFUNCTION("""COMPUTED_VALUE"""),10910.0)</f>
        <v>10910</v>
      </c>
      <c r="U34" s="976">
        <f>IFERROR(__xludf.DUMMYFUNCTION("""COMPUTED_VALUE"""),872730.0)</f>
        <v>872730</v>
      </c>
      <c r="V34" s="919"/>
      <c r="W34" s="978" t="str">
        <f>IFERROR(__xludf.DUMMYFUNCTION("""COMPUTED_VALUE"""),"HKTHU3528")</f>
        <v>HKTHU3528</v>
      </c>
      <c r="X34" s="979" t="str">
        <f>IFERROR(__xludf.DUMMYFUNCTION("""COMPUTED_VALUE""")," 35, 28")</f>
        <v> 35, 28</v>
      </c>
      <c r="Y34" s="980" t="str">
        <f>IFERROR(__xludf.DUMMYFUNCTION("""COMPUTED_VALUE"""),"Túi")</f>
        <v>Túi</v>
      </c>
      <c r="Z34" s="981">
        <f>IFERROR(__xludf.DUMMYFUNCTION("""COMPUTED_VALUE"""),10.0)</f>
        <v>10</v>
      </c>
      <c r="AA34" s="982">
        <f>IFERROR(__xludf.DUMMYFUNCTION("""COMPUTED_VALUE"""),53020.0)</f>
        <v>53020</v>
      </c>
      <c r="AB34" s="983">
        <f>IFERROR(__xludf.DUMMYFUNCTION("""COMPUTED_VALUE"""),41000.0)</f>
        <v>41000</v>
      </c>
      <c r="AC34" s="984">
        <f>IFERROR(__xludf.DUMMYFUNCTION("""COMPUTED_VALUE"""),410000.0)</f>
        <v>410000</v>
      </c>
      <c r="AD34" s="985">
        <f>IFERROR(__xludf.DUMMYFUNCTION("""COMPUTED_VALUE"""),48200.0)</f>
        <v>48200</v>
      </c>
      <c r="AE34" s="983">
        <f>IFERROR(__xludf.DUMMYFUNCTION("""COMPUTED_VALUE"""),37270.0)</f>
        <v>37270</v>
      </c>
      <c r="AF34" s="984">
        <f>IFERROR(__xludf.DUMMYFUNCTION("""COMPUTED_VALUE"""),372730.0)</f>
        <v>372730</v>
      </c>
      <c r="AG34" s="922"/>
      <c r="AH34" s="922"/>
      <c r="AI34" s="922"/>
      <c r="AJ34" s="922"/>
      <c r="AK34" s="922"/>
      <c r="AL34" s="922"/>
      <c r="AM34" s="995"/>
      <c r="AN34" s="995"/>
      <c r="AO34" s="995"/>
      <c r="AP34" s="995"/>
      <c r="AQ34" s="995"/>
    </row>
    <row r="35">
      <c r="A35" s="978" t="str">
        <f>IFERROR(__xludf.DUMMYFUNCTION("""COMPUTED_VALUE"""),"HKCHENH22")</f>
        <v>HKCHENH22</v>
      </c>
      <c r="B35" s="979">
        <f>IFERROR(__xludf.DUMMYFUNCTION("""COMPUTED_VALUE"""),22.0)</f>
        <v>22</v>
      </c>
      <c r="C35" s="980" t="str">
        <f>IFERROR(__xludf.DUMMYFUNCTION("""COMPUTED_VALUE"""),"Cái")</f>
        <v>Cái</v>
      </c>
      <c r="D35" s="981">
        <f>IFERROR(__xludf.DUMMYFUNCTION("""COMPUTED_VALUE"""),50.0)</f>
        <v>50</v>
      </c>
      <c r="E35" s="982">
        <f>IFERROR(__xludf.DUMMYFUNCTION("""COMPUTED_VALUE"""),22000.0)</f>
        <v>22000</v>
      </c>
      <c r="F35" s="983">
        <f>IFERROR(__xludf.DUMMYFUNCTION("""COMPUTED_VALUE"""),12600.0)</f>
        <v>12600</v>
      </c>
      <c r="G35" s="984">
        <f>IFERROR(__xludf.DUMMYFUNCTION("""COMPUTED_VALUE"""),630000.0)</f>
        <v>630000</v>
      </c>
      <c r="H35" s="985">
        <f>IFERROR(__xludf.DUMMYFUNCTION("""COMPUTED_VALUE"""),20000.0)</f>
        <v>20000</v>
      </c>
      <c r="I35" s="983">
        <f>IFERROR(__xludf.DUMMYFUNCTION("""COMPUTED_VALUE"""),11450.0)</f>
        <v>11450</v>
      </c>
      <c r="J35" s="984">
        <f>IFERROR(__xludf.DUMMYFUNCTION("""COMPUTED_VALUE"""),572730.0)</f>
        <v>572730</v>
      </c>
      <c r="K35" s="919"/>
      <c r="L35" s="978" t="str">
        <f>IFERROR(__xludf.DUMMYFUNCTION("""COMPUTED_VALUE"""),"HKTE19")</f>
        <v>HKTE19</v>
      </c>
      <c r="M35" s="979">
        <f>IFERROR(__xludf.DUMMYFUNCTION("""COMPUTED_VALUE"""),19.0)</f>
        <v>19</v>
      </c>
      <c r="N35" s="980" t="str">
        <f>IFERROR(__xludf.DUMMYFUNCTION("""COMPUTED_VALUE"""),"Túi")</f>
        <v>Túi</v>
      </c>
      <c r="O35" s="981">
        <f>IFERROR(__xludf.DUMMYFUNCTION("""COMPUTED_VALUE"""),50.0)</f>
        <v>50</v>
      </c>
      <c r="P35" s="982">
        <f>IFERROR(__xludf.DUMMYFUNCTION("""COMPUTED_VALUE"""),20900.0)</f>
        <v>20900</v>
      </c>
      <c r="Q35" s="983">
        <f>IFERROR(__xludf.DUMMYFUNCTION("""COMPUTED_VALUE"""),17000.0)</f>
        <v>17000</v>
      </c>
      <c r="R35" s="984">
        <f>IFERROR(__xludf.DUMMYFUNCTION("""COMPUTED_VALUE"""),850000.0)</f>
        <v>850000</v>
      </c>
      <c r="S35" s="985">
        <f>IFERROR(__xludf.DUMMYFUNCTION("""COMPUTED_VALUE"""),19000.0)</f>
        <v>19000</v>
      </c>
      <c r="T35" s="983">
        <f>IFERROR(__xludf.DUMMYFUNCTION("""COMPUTED_VALUE"""),15450.0)</f>
        <v>15450</v>
      </c>
      <c r="U35" s="984">
        <f>IFERROR(__xludf.DUMMYFUNCTION("""COMPUTED_VALUE"""),772730.0)</f>
        <v>772730</v>
      </c>
      <c r="V35" s="919"/>
      <c r="W35" s="967" t="str">
        <f>IFERROR(__xludf.DUMMYFUNCTION("""COMPUTED_VALUE"""),"HKTHU3825")</f>
        <v>HKTHU3825</v>
      </c>
      <c r="X35" s="968" t="str">
        <f>IFERROR(__xludf.DUMMYFUNCTION("""COMPUTED_VALUE""")," 38, 25")</f>
        <v> 38, 25</v>
      </c>
      <c r="Y35" s="969" t="str">
        <f>IFERROR(__xludf.DUMMYFUNCTION("""COMPUTED_VALUE"""),"Túi")</f>
        <v>Túi</v>
      </c>
      <c r="Z35" s="970">
        <f>IFERROR(__xludf.DUMMYFUNCTION("""COMPUTED_VALUE"""),8.0)</f>
        <v>8</v>
      </c>
      <c r="AA35" s="971">
        <f>IFERROR(__xludf.DUMMYFUNCTION("""COMPUTED_VALUE"""),59400.0)</f>
        <v>59400</v>
      </c>
      <c r="AB35" s="972">
        <f>IFERROR(__xludf.DUMMYFUNCTION("""COMPUTED_VALUE"""),54000.0)</f>
        <v>54000</v>
      </c>
      <c r="AC35" s="973">
        <f>IFERROR(__xludf.DUMMYFUNCTION("""COMPUTED_VALUE"""),432000.0)</f>
        <v>432000</v>
      </c>
      <c r="AD35" s="974">
        <f>IFERROR(__xludf.DUMMYFUNCTION("""COMPUTED_VALUE"""),54000.0)</f>
        <v>54000</v>
      </c>
      <c r="AE35" s="975">
        <f>IFERROR(__xludf.DUMMYFUNCTION("""COMPUTED_VALUE"""),49090.0)</f>
        <v>49090</v>
      </c>
      <c r="AF35" s="976">
        <f>IFERROR(__xludf.DUMMYFUNCTION("""COMPUTED_VALUE"""),392730.0)</f>
        <v>392730</v>
      </c>
      <c r="AG35" s="922"/>
      <c r="AH35" s="922"/>
      <c r="AI35" s="922"/>
      <c r="AJ35" s="922"/>
      <c r="AK35" s="922"/>
      <c r="AL35" s="922"/>
      <c r="AM35" s="995"/>
      <c r="AN35" s="995"/>
      <c r="AO35" s="995"/>
      <c r="AP35" s="995"/>
      <c r="AQ35" s="995"/>
    </row>
    <row r="36">
      <c r="A36" s="967" t="str">
        <f>IFERROR(__xludf.DUMMYFUNCTION("""COMPUTED_VALUE"""),"HKCHECH25")</f>
        <v>HKCHECH25</v>
      </c>
      <c r="B36" s="968">
        <f>IFERROR(__xludf.DUMMYFUNCTION("""COMPUTED_VALUE"""),25.0)</f>
        <v>25</v>
      </c>
      <c r="C36" s="969" t="str">
        <f>IFERROR(__xludf.DUMMYFUNCTION("""COMPUTED_VALUE"""),"Cái")</f>
        <v>Cái</v>
      </c>
      <c r="D36" s="970">
        <f>IFERROR(__xludf.DUMMYFUNCTION("""COMPUTED_VALUE"""),40.0)</f>
        <v>40</v>
      </c>
      <c r="E36" s="971">
        <f>IFERROR(__xludf.DUMMYFUNCTION("""COMPUTED_VALUE"""),25960.0)</f>
        <v>25960</v>
      </c>
      <c r="F36" s="972">
        <f>IFERROR(__xludf.DUMMYFUNCTION("""COMPUTED_VALUE"""),15400.0)</f>
        <v>15400</v>
      </c>
      <c r="G36" s="973">
        <f>IFERROR(__xludf.DUMMYFUNCTION("""COMPUTED_VALUE"""),616000.0)</f>
        <v>616000</v>
      </c>
      <c r="H36" s="974">
        <f>IFERROR(__xludf.DUMMYFUNCTION("""COMPUTED_VALUE"""),23600.0)</f>
        <v>23600</v>
      </c>
      <c r="I36" s="975">
        <f>IFERROR(__xludf.DUMMYFUNCTION("""COMPUTED_VALUE"""),14000.0)</f>
        <v>14000</v>
      </c>
      <c r="J36" s="976">
        <f>IFERROR(__xludf.DUMMYFUNCTION("""COMPUTED_VALUE"""),560000.0)</f>
        <v>560000</v>
      </c>
      <c r="K36" s="919"/>
      <c r="L36" s="967" t="str">
        <f>IFERROR(__xludf.DUMMYFUNCTION("""COMPUTED_VALUE"""),"HKTE22")</f>
        <v>HKTE22</v>
      </c>
      <c r="M36" s="968">
        <f>IFERROR(__xludf.DUMMYFUNCTION("""COMPUTED_VALUE"""),22.0)</f>
        <v>22</v>
      </c>
      <c r="N36" s="969" t="str">
        <f>IFERROR(__xludf.DUMMYFUNCTION("""COMPUTED_VALUE"""),"Túi")</f>
        <v>Túi</v>
      </c>
      <c r="O36" s="970">
        <f>IFERROR(__xludf.DUMMYFUNCTION("""COMPUTED_VALUE"""),56.0)</f>
        <v>56</v>
      </c>
      <c r="P36" s="971">
        <f>IFERROR(__xludf.DUMMYFUNCTION("""COMPUTED_VALUE"""),30800.0)</f>
        <v>30800</v>
      </c>
      <c r="Q36" s="972">
        <f>IFERROR(__xludf.DUMMYFUNCTION("""COMPUTED_VALUE"""),23000.0)</f>
        <v>23000</v>
      </c>
      <c r="R36" s="973">
        <f>IFERROR(__xludf.DUMMYFUNCTION("""COMPUTED_VALUE"""),1288000.0)</f>
        <v>1288000</v>
      </c>
      <c r="S36" s="974">
        <f>IFERROR(__xludf.DUMMYFUNCTION("""COMPUTED_VALUE"""),28000.0)</f>
        <v>28000</v>
      </c>
      <c r="T36" s="975">
        <f>IFERROR(__xludf.DUMMYFUNCTION("""COMPUTED_VALUE"""),20910.0)</f>
        <v>20910</v>
      </c>
      <c r="U36" s="976">
        <f>IFERROR(__xludf.DUMMYFUNCTION("""COMPUTED_VALUE"""),1170910.0)</f>
        <v>1170910</v>
      </c>
      <c r="V36" s="919"/>
      <c r="W36" s="978" t="str">
        <f>IFERROR(__xludf.DUMMYFUNCTION("""COMPUTED_VALUE"""),"HKTHU3832")</f>
        <v>HKTHU3832</v>
      </c>
      <c r="X36" s="979" t="str">
        <f>IFERROR(__xludf.DUMMYFUNCTION("""COMPUTED_VALUE""")," 38, 32")</f>
        <v> 38, 32</v>
      </c>
      <c r="Y36" s="980" t="str">
        <f>IFERROR(__xludf.DUMMYFUNCTION("""COMPUTED_VALUE"""),"Túi")</f>
        <v>Túi</v>
      </c>
      <c r="Z36" s="981">
        <f>IFERROR(__xludf.DUMMYFUNCTION("""COMPUTED_VALUE"""),8.0)</f>
        <v>8</v>
      </c>
      <c r="AA36" s="982">
        <f>IFERROR(__xludf.DUMMYFUNCTION("""COMPUTED_VALUE"""),60500.0)</f>
        <v>60500</v>
      </c>
      <c r="AB36" s="983">
        <f>IFERROR(__xludf.DUMMYFUNCTION("""COMPUTED_VALUE"""),55000.0)</f>
        <v>55000</v>
      </c>
      <c r="AC36" s="984">
        <f>IFERROR(__xludf.DUMMYFUNCTION("""COMPUTED_VALUE"""),440000.0)</f>
        <v>440000</v>
      </c>
      <c r="AD36" s="985">
        <f>IFERROR(__xludf.DUMMYFUNCTION("""COMPUTED_VALUE"""),55000.0)</f>
        <v>55000</v>
      </c>
      <c r="AE36" s="983">
        <f>IFERROR(__xludf.DUMMYFUNCTION("""COMPUTED_VALUE"""),50000.0)</f>
        <v>50000</v>
      </c>
      <c r="AF36" s="984">
        <f>IFERROR(__xludf.DUMMYFUNCTION("""COMPUTED_VALUE"""),400000.0)</f>
        <v>400000</v>
      </c>
      <c r="AG36" s="922"/>
      <c r="AH36" s="922"/>
      <c r="AI36" s="922"/>
      <c r="AJ36" s="922"/>
      <c r="AK36" s="922"/>
      <c r="AL36" s="922"/>
      <c r="AM36" s="995"/>
      <c r="AN36" s="995"/>
      <c r="AO36" s="995"/>
      <c r="AP36" s="995"/>
      <c r="AQ36" s="995"/>
    </row>
    <row r="37">
      <c r="A37" s="978" t="str">
        <f>IFERROR(__xludf.DUMMYFUNCTION("""COMPUTED_VALUE"""),"HKCHENH28")</f>
        <v>HKCHENH28</v>
      </c>
      <c r="B37" s="979">
        <f>IFERROR(__xludf.DUMMYFUNCTION("""COMPUTED_VALUE"""),28.0)</f>
        <v>28</v>
      </c>
      <c r="C37" s="980" t="str">
        <f>IFERROR(__xludf.DUMMYFUNCTION("""COMPUTED_VALUE"""),"Cái")</f>
        <v>Cái</v>
      </c>
      <c r="D37" s="981">
        <f>IFERROR(__xludf.DUMMYFUNCTION("""COMPUTED_VALUE"""),30.0)</f>
        <v>30</v>
      </c>
      <c r="E37" s="982">
        <f>IFERROR(__xludf.DUMMYFUNCTION("""COMPUTED_VALUE"""),32010.0)</f>
        <v>32010</v>
      </c>
      <c r="F37" s="983">
        <f>IFERROR(__xludf.DUMMYFUNCTION("""COMPUTED_VALUE"""),22100.0)</f>
        <v>22100</v>
      </c>
      <c r="G37" s="984">
        <f>IFERROR(__xludf.DUMMYFUNCTION("""COMPUTED_VALUE"""),663000.0)</f>
        <v>663000</v>
      </c>
      <c r="H37" s="985">
        <f>IFERROR(__xludf.DUMMYFUNCTION("""COMPUTED_VALUE"""),29100.0)</f>
        <v>29100</v>
      </c>
      <c r="I37" s="983">
        <f>IFERROR(__xludf.DUMMYFUNCTION("""COMPUTED_VALUE"""),20090.0)</f>
        <v>20090</v>
      </c>
      <c r="J37" s="984">
        <f>IFERROR(__xludf.DUMMYFUNCTION("""COMPUTED_VALUE"""),602730.0)</f>
        <v>602730</v>
      </c>
      <c r="K37" s="919"/>
      <c r="L37" s="978" t="str">
        <f>IFERROR(__xludf.DUMMYFUNCTION("""COMPUTED_VALUE"""),"HKTE25")</f>
        <v>HKTE25</v>
      </c>
      <c r="M37" s="979">
        <f>IFERROR(__xludf.DUMMYFUNCTION("""COMPUTED_VALUE"""),25.0)</f>
        <v>25</v>
      </c>
      <c r="N37" s="980" t="str">
        <f>IFERROR(__xludf.DUMMYFUNCTION("""COMPUTED_VALUE"""),"Túi")</f>
        <v>Túi</v>
      </c>
      <c r="O37" s="981">
        <f>IFERROR(__xludf.DUMMYFUNCTION("""COMPUTED_VALUE"""),25.0)</f>
        <v>25</v>
      </c>
      <c r="P37" s="982">
        <f>IFERROR(__xludf.DUMMYFUNCTION("""COMPUTED_VALUE"""),39600.0)</f>
        <v>39600</v>
      </c>
      <c r="Q37" s="983">
        <f>IFERROR(__xludf.DUMMYFUNCTION("""COMPUTED_VALUE"""),33000.0)</f>
        <v>33000</v>
      </c>
      <c r="R37" s="984">
        <f>IFERROR(__xludf.DUMMYFUNCTION("""COMPUTED_VALUE"""),825000.0)</f>
        <v>825000</v>
      </c>
      <c r="S37" s="985">
        <f>IFERROR(__xludf.DUMMYFUNCTION("""COMPUTED_VALUE"""),36000.0)</f>
        <v>36000</v>
      </c>
      <c r="T37" s="983">
        <f>IFERROR(__xludf.DUMMYFUNCTION("""COMPUTED_VALUE"""),30000.0)</f>
        <v>30000</v>
      </c>
      <c r="U37" s="984">
        <f>IFERROR(__xludf.DUMMYFUNCTION("""COMPUTED_VALUE"""),750000.0)</f>
        <v>750000</v>
      </c>
      <c r="V37" s="919"/>
      <c r="W37" s="967" t="str">
        <f>IFERROR(__xludf.DUMMYFUNCTION("""COMPUTED_VALUE"""),"HKTHU38-35")</f>
        <v>HKTHU38-35</v>
      </c>
      <c r="X37" s="968" t="str">
        <f>IFERROR(__xludf.DUMMYFUNCTION("""COMPUTED_VALUE""")," 38, 35")</f>
        <v> 38, 35</v>
      </c>
      <c r="Y37" s="969" t="str">
        <f>IFERROR(__xludf.DUMMYFUNCTION("""COMPUTED_VALUE"""),"Túi")</f>
        <v>Túi</v>
      </c>
      <c r="Z37" s="970">
        <f>IFERROR(__xludf.DUMMYFUNCTION("""COMPUTED_VALUE"""),8.0)</f>
        <v>8</v>
      </c>
      <c r="AA37" s="971">
        <f>IFERROR(__xludf.DUMMYFUNCTION("""COMPUTED_VALUE"""),77220.0)</f>
        <v>77220</v>
      </c>
      <c r="AB37" s="972">
        <f>IFERROR(__xludf.DUMMYFUNCTION("""COMPUTED_VALUE"""),70200.0)</f>
        <v>70200</v>
      </c>
      <c r="AC37" s="973">
        <f>IFERROR(__xludf.DUMMYFUNCTION("""COMPUTED_VALUE"""),561600.0)</f>
        <v>561600</v>
      </c>
      <c r="AD37" s="974">
        <f>IFERROR(__xludf.DUMMYFUNCTION("""COMPUTED_VALUE"""),70200.0)</f>
        <v>70200</v>
      </c>
      <c r="AE37" s="975">
        <f>IFERROR(__xludf.DUMMYFUNCTION("""COMPUTED_VALUE"""),63820.0)</f>
        <v>63820</v>
      </c>
      <c r="AF37" s="976">
        <f>IFERROR(__xludf.DUMMYFUNCTION("""COMPUTED_VALUE"""),510550.0)</f>
        <v>510550</v>
      </c>
      <c r="AG37" s="922"/>
      <c r="AH37" s="922"/>
      <c r="AI37" s="922"/>
      <c r="AJ37" s="922"/>
      <c r="AK37" s="922"/>
      <c r="AL37" s="922"/>
      <c r="AM37" s="995"/>
      <c r="AN37" s="995"/>
      <c r="AO37" s="995"/>
      <c r="AP37" s="995"/>
      <c r="AQ37" s="995"/>
    </row>
    <row r="38">
      <c r="A38" s="967" t="str">
        <f>IFERROR(__xludf.DUMMYFUNCTION("""COMPUTED_VALUE"""),"HKCHENH32")</f>
        <v>HKCHENH32</v>
      </c>
      <c r="B38" s="968">
        <f>IFERROR(__xludf.DUMMYFUNCTION("""COMPUTED_VALUE"""),32.0)</f>
        <v>32</v>
      </c>
      <c r="C38" s="969" t="str">
        <f>IFERROR(__xludf.DUMMYFUNCTION("""COMPUTED_VALUE"""),"Cái")</f>
        <v>Cái</v>
      </c>
      <c r="D38" s="970">
        <f>IFERROR(__xludf.DUMMYFUNCTION("""COMPUTED_VALUE"""),20.0)</f>
        <v>20</v>
      </c>
      <c r="E38" s="971">
        <f>IFERROR(__xludf.DUMMYFUNCTION("""COMPUTED_VALUE"""),50050.0)</f>
        <v>50050</v>
      </c>
      <c r="F38" s="972">
        <f>IFERROR(__xludf.DUMMYFUNCTION("""COMPUTED_VALUE"""),27300.0)</f>
        <v>27300</v>
      </c>
      <c r="G38" s="973">
        <f>IFERROR(__xludf.DUMMYFUNCTION("""COMPUTED_VALUE"""),546000.0)</f>
        <v>546000</v>
      </c>
      <c r="H38" s="974">
        <f>IFERROR(__xludf.DUMMYFUNCTION("""COMPUTED_VALUE"""),45500.0)</f>
        <v>45500</v>
      </c>
      <c r="I38" s="975">
        <f>IFERROR(__xludf.DUMMYFUNCTION("""COMPUTED_VALUE"""),24820.0)</f>
        <v>24820</v>
      </c>
      <c r="J38" s="976">
        <f>IFERROR(__xludf.DUMMYFUNCTION("""COMPUTED_VALUE"""),496360.0)</f>
        <v>496360</v>
      </c>
      <c r="K38" s="919"/>
      <c r="L38" s="967" t="str">
        <f>IFERROR(__xludf.DUMMYFUNCTION("""COMPUTED_VALUE"""),"HKTE28")</f>
        <v>HKTE28</v>
      </c>
      <c r="M38" s="968">
        <f>IFERROR(__xludf.DUMMYFUNCTION("""COMPUTED_VALUE"""),28.0)</f>
        <v>28</v>
      </c>
      <c r="N38" s="969" t="str">
        <f>IFERROR(__xludf.DUMMYFUNCTION("""COMPUTED_VALUE"""),"Túi")</f>
        <v>Túi</v>
      </c>
      <c r="O38" s="970">
        <f>IFERROR(__xludf.DUMMYFUNCTION("""COMPUTED_VALUE"""),20.0)</f>
        <v>20</v>
      </c>
      <c r="P38" s="971">
        <f>IFERROR(__xludf.DUMMYFUNCTION("""COMPUTED_VALUE"""),41800.0)</f>
        <v>41800</v>
      </c>
      <c r="Q38" s="972">
        <f>IFERROR(__xludf.DUMMYFUNCTION("""COMPUTED_VALUE"""),34000.0)</f>
        <v>34000</v>
      </c>
      <c r="R38" s="973">
        <f>IFERROR(__xludf.DUMMYFUNCTION("""COMPUTED_VALUE"""),680000.0)</f>
        <v>680000</v>
      </c>
      <c r="S38" s="974">
        <f>IFERROR(__xludf.DUMMYFUNCTION("""COMPUTED_VALUE"""),38000.0)</f>
        <v>38000</v>
      </c>
      <c r="T38" s="975">
        <f>IFERROR(__xludf.DUMMYFUNCTION("""COMPUTED_VALUE"""),30910.0)</f>
        <v>30910</v>
      </c>
      <c r="U38" s="976">
        <f>IFERROR(__xludf.DUMMYFUNCTION("""COMPUTED_VALUE"""),618180.0)</f>
        <v>618180</v>
      </c>
      <c r="V38" s="919"/>
      <c r="W38" s="978" t="str">
        <f>IFERROR(__xludf.DUMMYFUNCTION("""COMPUTED_VALUE"""),"HKTHU4216")</f>
        <v>HKTHU4216</v>
      </c>
      <c r="X38" s="979" t="str">
        <f>IFERROR(__xludf.DUMMYFUNCTION("""COMPUTED_VALUE""")," 42, 16")</f>
        <v> 42, 16</v>
      </c>
      <c r="Y38" s="980" t="str">
        <f>IFERROR(__xludf.DUMMYFUNCTION("""COMPUTED_VALUE"""),"Túi")</f>
        <v>Túi</v>
      </c>
      <c r="Z38" s="981">
        <f>IFERROR(__xludf.DUMMYFUNCTION("""COMPUTED_VALUE"""),7.0)</f>
        <v>7</v>
      </c>
      <c r="AA38" s="982">
        <f>IFERROR(__xludf.DUMMYFUNCTION("""COMPUTED_VALUE"""),69080.0)</f>
        <v>69080</v>
      </c>
      <c r="AB38" s="983">
        <f>IFERROR(__xludf.DUMMYFUNCTION("""COMPUTED_VALUE"""),58000.0)</f>
        <v>58000</v>
      </c>
      <c r="AC38" s="984">
        <f>IFERROR(__xludf.DUMMYFUNCTION("""COMPUTED_VALUE"""),406000.0)</f>
        <v>406000</v>
      </c>
      <c r="AD38" s="985">
        <f>IFERROR(__xludf.DUMMYFUNCTION("""COMPUTED_VALUE"""),62800.0)</f>
        <v>62800</v>
      </c>
      <c r="AE38" s="983">
        <f>IFERROR(__xludf.DUMMYFUNCTION("""COMPUTED_VALUE"""),52730.0)</f>
        <v>52730</v>
      </c>
      <c r="AF38" s="984">
        <f>IFERROR(__xludf.DUMMYFUNCTION("""COMPUTED_VALUE"""),369090.0)</f>
        <v>369090</v>
      </c>
      <c r="AG38" s="922"/>
      <c r="AH38" s="922"/>
      <c r="AI38" s="922"/>
      <c r="AJ38" s="922"/>
      <c r="AK38" s="922"/>
      <c r="AL38" s="922"/>
      <c r="AM38" s="995"/>
      <c r="AN38" s="995"/>
      <c r="AO38" s="995"/>
      <c r="AP38" s="995"/>
      <c r="AQ38" s="995"/>
    </row>
    <row r="39">
      <c r="A39" s="978" t="str">
        <f>IFERROR(__xludf.DUMMYFUNCTION("""COMPUTED_VALUE"""),"HKCHENH35")</f>
        <v>HKCHENH35</v>
      </c>
      <c r="B39" s="979">
        <f>IFERROR(__xludf.DUMMYFUNCTION("""COMPUTED_VALUE"""),35.0)</f>
        <v>35</v>
      </c>
      <c r="C39" s="980" t="str">
        <f>IFERROR(__xludf.DUMMYFUNCTION("""COMPUTED_VALUE"""),"Cái")</f>
        <v>Cái</v>
      </c>
      <c r="D39" s="981">
        <f>IFERROR(__xludf.DUMMYFUNCTION("""COMPUTED_VALUE"""),20.0)</f>
        <v>20</v>
      </c>
      <c r="E39" s="982">
        <f>IFERROR(__xludf.DUMMYFUNCTION("""COMPUTED_VALUE"""),55000.0)</f>
        <v>55000</v>
      </c>
      <c r="F39" s="983">
        <f>IFERROR(__xludf.DUMMYFUNCTION("""COMPUTED_VALUE"""),32400.0)</f>
        <v>32400</v>
      </c>
      <c r="G39" s="984">
        <f>IFERROR(__xludf.DUMMYFUNCTION("""COMPUTED_VALUE"""),648000.0)</f>
        <v>648000</v>
      </c>
      <c r="H39" s="985">
        <f>IFERROR(__xludf.DUMMYFUNCTION("""COMPUTED_VALUE"""),50000.0)</f>
        <v>50000</v>
      </c>
      <c r="I39" s="983">
        <f>IFERROR(__xludf.DUMMYFUNCTION("""COMPUTED_VALUE"""),29450.0)</f>
        <v>29450</v>
      </c>
      <c r="J39" s="984">
        <f>IFERROR(__xludf.DUMMYFUNCTION("""COMPUTED_VALUE"""),589090.0)</f>
        <v>589090</v>
      </c>
      <c r="K39" s="919"/>
      <c r="L39" s="978" t="str">
        <f>IFERROR(__xludf.DUMMYFUNCTION("""COMPUTED_VALUE"""),"HKTE32")</f>
        <v>HKTE32</v>
      </c>
      <c r="M39" s="979">
        <f>IFERROR(__xludf.DUMMYFUNCTION("""COMPUTED_VALUE"""),32.0)</f>
        <v>32</v>
      </c>
      <c r="N39" s="980" t="str">
        <f>IFERROR(__xludf.DUMMYFUNCTION("""COMPUTED_VALUE"""),"Túi")</f>
        <v>Túi</v>
      </c>
      <c r="O39" s="981">
        <f>IFERROR(__xludf.DUMMYFUNCTION("""COMPUTED_VALUE"""),15.0)</f>
        <v>15</v>
      </c>
      <c r="P39" s="982">
        <f>IFERROR(__xludf.DUMMYFUNCTION("""COMPUTED_VALUE"""),63800.0)</f>
        <v>63800</v>
      </c>
      <c r="Q39" s="983">
        <f>IFERROR(__xludf.DUMMYFUNCTION("""COMPUTED_VALUE"""),50000.0)</f>
        <v>50000</v>
      </c>
      <c r="R39" s="984">
        <f>IFERROR(__xludf.DUMMYFUNCTION("""COMPUTED_VALUE"""),750000.0)</f>
        <v>750000</v>
      </c>
      <c r="S39" s="985">
        <f>IFERROR(__xludf.DUMMYFUNCTION("""COMPUTED_VALUE"""),58000.0)</f>
        <v>58000</v>
      </c>
      <c r="T39" s="983">
        <f>IFERROR(__xludf.DUMMYFUNCTION("""COMPUTED_VALUE"""),45450.0)</f>
        <v>45450</v>
      </c>
      <c r="U39" s="984">
        <f>IFERROR(__xludf.DUMMYFUNCTION("""COMPUTED_VALUE"""),681820.0)</f>
        <v>681820</v>
      </c>
      <c r="V39" s="919"/>
      <c r="W39" s="967" t="str">
        <f>IFERROR(__xludf.DUMMYFUNCTION("""COMPUTED_VALUE"""),"HKTHU4219")</f>
        <v>HKTHU4219</v>
      </c>
      <c r="X39" s="968" t="str">
        <f>IFERROR(__xludf.DUMMYFUNCTION("""COMPUTED_VALUE""")," 42, 19")</f>
        <v> 42, 19</v>
      </c>
      <c r="Y39" s="969" t="str">
        <f>IFERROR(__xludf.DUMMYFUNCTION("""COMPUTED_VALUE"""),"Túi")</f>
        <v>Túi</v>
      </c>
      <c r="Z39" s="970">
        <f>IFERROR(__xludf.DUMMYFUNCTION("""COMPUTED_VALUE"""),7.0)</f>
        <v>7</v>
      </c>
      <c r="AA39" s="971">
        <f>IFERROR(__xludf.DUMMYFUNCTION("""COMPUTED_VALUE"""),69080.0)</f>
        <v>69080</v>
      </c>
      <c r="AB39" s="972">
        <f>IFERROR(__xludf.DUMMYFUNCTION("""COMPUTED_VALUE"""),58000.0)</f>
        <v>58000</v>
      </c>
      <c r="AC39" s="973">
        <f>IFERROR(__xludf.DUMMYFUNCTION("""COMPUTED_VALUE"""),406000.0)</f>
        <v>406000</v>
      </c>
      <c r="AD39" s="974">
        <f>IFERROR(__xludf.DUMMYFUNCTION("""COMPUTED_VALUE"""),62800.0)</f>
        <v>62800</v>
      </c>
      <c r="AE39" s="975">
        <f>IFERROR(__xludf.DUMMYFUNCTION("""COMPUTED_VALUE"""),52730.0)</f>
        <v>52730</v>
      </c>
      <c r="AF39" s="976">
        <f>IFERROR(__xludf.DUMMYFUNCTION("""COMPUTED_VALUE"""),369090.0)</f>
        <v>369090</v>
      </c>
      <c r="AG39" s="922"/>
      <c r="AH39" s="922"/>
      <c r="AI39" s="922"/>
      <c r="AJ39" s="922"/>
      <c r="AK39" s="922"/>
      <c r="AL39" s="922"/>
      <c r="AM39" s="995"/>
      <c r="AN39" s="995"/>
      <c r="AO39" s="995"/>
      <c r="AP39" s="995"/>
      <c r="AQ39" s="995"/>
    </row>
    <row r="40">
      <c r="A40" s="967" t="str">
        <f>IFERROR(__xludf.DUMMYFUNCTION("""COMPUTED_VALUE"""),"HKCHENH38")</f>
        <v>HKCHENH38</v>
      </c>
      <c r="B40" s="968">
        <f>IFERROR(__xludf.DUMMYFUNCTION("""COMPUTED_VALUE"""),38.0)</f>
        <v>38</v>
      </c>
      <c r="C40" s="969" t="str">
        <f>IFERROR(__xludf.DUMMYFUNCTION("""COMPUTED_VALUE"""),"Cái")</f>
        <v>Cái</v>
      </c>
      <c r="D40" s="970">
        <f>IFERROR(__xludf.DUMMYFUNCTION("""COMPUTED_VALUE"""),15.0)</f>
        <v>15</v>
      </c>
      <c r="E40" s="971">
        <f>IFERROR(__xludf.DUMMYFUNCTION("""COMPUTED_VALUE"""),65010.0)</f>
        <v>65010</v>
      </c>
      <c r="F40" s="972">
        <f>IFERROR(__xludf.DUMMYFUNCTION("""COMPUTED_VALUE"""),34200.0)</f>
        <v>34200</v>
      </c>
      <c r="G40" s="973">
        <f>IFERROR(__xludf.DUMMYFUNCTION("""COMPUTED_VALUE"""),513000.0)</f>
        <v>513000</v>
      </c>
      <c r="H40" s="974">
        <f>IFERROR(__xludf.DUMMYFUNCTION("""COMPUTED_VALUE"""),59100.0)</f>
        <v>59100</v>
      </c>
      <c r="I40" s="975">
        <f>IFERROR(__xludf.DUMMYFUNCTION("""COMPUTED_VALUE"""),31090.0)</f>
        <v>31090</v>
      </c>
      <c r="J40" s="976">
        <f>IFERROR(__xludf.DUMMYFUNCTION("""COMPUTED_VALUE"""),466360.0)</f>
        <v>466360</v>
      </c>
      <c r="K40" s="919"/>
      <c r="L40" s="967" t="str">
        <f>IFERROR(__xludf.DUMMYFUNCTION("""COMPUTED_VALUE"""),"HKTE35")</f>
        <v>HKTE35</v>
      </c>
      <c r="M40" s="968">
        <f>IFERROR(__xludf.DUMMYFUNCTION("""COMPUTED_VALUE"""),35.0)</f>
        <v>35</v>
      </c>
      <c r="N40" s="969" t="str">
        <f>IFERROR(__xludf.DUMMYFUNCTION("""COMPUTED_VALUE"""),"Túi")</f>
        <v>Túi</v>
      </c>
      <c r="O40" s="970">
        <f>IFERROR(__xludf.DUMMYFUNCTION("""COMPUTED_VALUE"""),10.0)</f>
        <v>10</v>
      </c>
      <c r="P40" s="971">
        <f>IFERROR(__xludf.DUMMYFUNCTION("""COMPUTED_VALUE"""),85800.0)</f>
        <v>85800</v>
      </c>
      <c r="Q40" s="972">
        <f>IFERROR(__xludf.DUMMYFUNCTION("""COMPUTED_VALUE"""),65000.0)</f>
        <v>65000</v>
      </c>
      <c r="R40" s="973">
        <f>IFERROR(__xludf.DUMMYFUNCTION("""COMPUTED_VALUE"""),650000.0)</f>
        <v>650000</v>
      </c>
      <c r="S40" s="974">
        <f>IFERROR(__xludf.DUMMYFUNCTION("""COMPUTED_VALUE"""),78000.0)</f>
        <v>78000</v>
      </c>
      <c r="T40" s="975">
        <f>IFERROR(__xludf.DUMMYFUNCTION("""COMPUTED_VALUE"""),59090.0)</f>
        <v>59090</v>
      </c>
      <c r="U40" s="976">
        <f>IFERROR(__xludf.DUMMYFUNCTION("""COMPUTED_VALUE"""),590910.0)</f>
        <v>590910</v>
      </c>
      <c r="V40" s="919"/>
      <c r="W40" s="978" t="str">
        <f>IFERROR(__xludf.DUMMYFUNCTION("""COMPUTED_VALUE"""),"HKTHU4222")</f>
        <v>HKTHU4222</v>
      </c>
      <c r="X40" s="979" t="str">
        <f>IFERROR(__xludf.DUMMYFUNCTION("""COMPUTED_VALUE""")," 42, 22")</f>
        <v> 42, 22</v>
      </c>
      <c r="Y40" s="980" t="str">
        <f>IFERROR(__xludf.DUMMYFUNCTION("""COMPUTED_VALUE"""),"Túi")</f>
        <v>Túi</v>
      </c>
      <c r="Z40" s="981">
        <f>IFERROR(__xludf.DUMMYFUNCTION("""COMPUTED_VALUE"""),7.0)</f>
        <v>7</v>
      </c>
      <c r="AA40" s="982">
        <f>IFERROR(__xludf.DUMMYFUNCTION("""COMPUTED_VALUE"""),71500.0)</f>
        <v>71500</v>
      </c>
      <c r="AB40" s="983">
        <f>IFERROR(__xludf.DUMMYFUNCTION("""COMPUTED_VALUE"""),58000.0)</f>
        <v>58000</v>
      </c>
      <c r="AC40" s="984">
        <f>IFERROR(__xludf.DUMMYFUNCTION("""COMPUTED_VALUE"""),406000.0)</f>
        <v>406000</v>
      </c>
      <c r="AD40" s="985">
        <f>IFERROR(__xludf.DUMMYFUNCTION("""COMPUTED_VALUE"""),65000.0)</f>
        <v>65000</v>
      </c>
      <c r="AE40" s="983">
        <f>IFERROR(__xludf.DUMMYFUNCTION("""COMPUTED_VALUE"""),52730.0)</f>
        <v>52730</v>
      </c>
      <c r="AF40" s="984">
        <f>IFERROR(__xludf.DUMMYFUNCTION("""COMPUTED_VALUE"""),369090.0)</f>
        <v>369090</v>
      </c>
      <c r="AG40" s="922"/>
      <c r="AH40" s="922"/>
      <c r="AI40" s="922"/>
      <c r="AJ40" s="922"/>
      <c r="AK40" s="922"/>
      <c r="AL40" s="922"/>
      <c r="AM40" s="995"/>
      <c r="AN40" s="995"/>
      <c r="AO40" s="995"/>
      <c r="AP40" s="995"/>
      <c r="AQ40" s="995"/>
    </row>
    <row r="41">
      <c r="A41" s="978" t="str">
        <f>IFERROR(__xludf.DUMMYFUNCTION("""COMPUTED_VALUE"""),"HKCHENH42")</f>
        <v>HKCHENH42</v>
      </c>
      <c r="B41" s="979">
        <f>IFERROR(__xludf.DUMMYFUNCTION("""COMPUTED_VALUE"""),42.0)</f>
        <v>42</v>
      </c>
      <c r="C41" s="980" t="str">
        <f>IFERROR(__xludf.DUMMYFUNCTION("""COMPUTED_VALUE"""),"Cái")</f>
        <v>Cái</v>
      </c>
      <c r="D41" s="981">
        <f>IFERROR(__xludf.DUMMYFUNCTION("""COMPUTED_VALUE"""),10.0)</f>
        <v>10</v>
      </c>
      <c r="E41" s="982">
        <f>IFERROR(__xludf.DUMMYFUNCTION("""COMPUTED_VALUE"""),75020.0)</f>
        <v>75020</v>
      </c>
      <c r="F41" s="983">
        <f>IFERROR(__xludf.DUMMYFUNCTION("""COMPUTED_VALUE"""),56300.0)</f>
        <v>56300</v>
      </c>
      <c r="G41" s="984">
        <f>IFERROR(__xludf.DUMMYFUNCTION("""COMPUTED_VALUE"""),563000.0)</f>
        <v>563000</v>
      </c>
      <c r="H41" s="985">
        <f>IFERROR(__xludf.DUMMYFUNCTION("""COMPUTED_VALUE"""),68200.0)</f>
        <v>68200</v>
      </c>
      <c r="I41" s="983">
        <f>IFERROR(__xludf.DUMMYFUNCTION("""COMPUTED_VALUE"""),51180.0)</f>
        <v>51180</v>
      </c>
      <c r="J41" s="984">
        <f>IFERROR(__xludf.DUMMYFUNCTION("""COMPUTED_VALUE"""),511820.0)</f>
        <v>511820</v>
      </c>
      <c r="K41" s="919"/>
      <c r="L41" s="978" t="str">
        <f>IFERROR(__xludf.DUMMYFUNCTION("""COMPUTED_VALUE"""),"HKTE38")</f>
        <v>HKTE38</v>
      </c>
      <c r="M41" s="979">
        <f>IFERROR(__xludf.DUMMYFUNCTION("""COMPUTED_VALUE"""),38.0)</f>
        <v>38</v>
      </c>
      <c r="N41" s="980" t="str">
        <f>IFERROR(__xludf.DUMMYFUNCTION("""COMPUTED_VALUE"""),"Túi")</f>
        <v>Túi</v>
      </c>
      <c r="O41" s="981">
        <f>IFERROR(__xludf.DUMMYFUNCTION("""COMPUTED_VALUE"""),8.0)</f>
        <v>8</v>
      </c>
      <c r="P41" s="982">
        <f>IFERROR(__xludf.DUMMYFUNCTION("""COMPUTED_VALUE"""),96800.0)</f>
        <v>96800</v>
      </c>
      <c r="Q41" s="983">
        <f>IFERROR(__xludf.DUMMYFUNCTION("""COMPUTED_VALUE"""),78000.0)</f>
        <v>78000</v>
      </c>
      <c r="R41" s="984">
        <f>IFERROR(__xludf.DUMMYFUNCTION("""COMPUTED_VALUE"""),624000.0)</f>
        <v>624000</v>
      </c>
      <c r="S41" s="985">
        <f>IFERROR(__xludf.DUMMYFUNCTION("""COMPUTED_VALUE"""),88000.0)</f>
        <v>88000</v>
      </c>
      <c r="T41" s="983">
        <f>IFERROR(__xludf.DUMMYFUNCTION("""COMPUTED_VALUE"""),70910.0)</f>
        <v>70910</v>
      </c>
      <c r="U41" s="984">
        <f>IFERROR(__xludf.DUMMYFUNCTION("""COMPUTED_VALUE"""),567270.0)</f>
        <v>567270</v>
      </c>
      <c r="V41" s="919"/>
      <c r="W41" s="967" t="str">
        <f>IFERROR(__xludf.DUMMYFUNCTION("""COMPUTED_VALUE"""),"HKTHU4228")</f>
        <v>HKTHU4228</v>
      </c>
      <c r="X41" s="968" t="str">
        <f>IFERROR(__xludf.DUMMYFUNCTION("""COMPUTED_VALUE""")," 42, 28")</f>
        <v> 42, 28</v>
      </c>
      <c r="Y41" s="969" t="str">
        <f>IFERROR(__xludf.DUMMYFUNCTION("""COMPUTED_VALUE"""),"Túi")</f>
        <v>Túi</v>
      </c>
      <c r="Z41" s="970">
        <f>IFERROR(__xludf.DUMMYFUNCTION("""COMPUTED_VALUE"""),7.0)</f>
        <v>7</v>
      </c>
      <c r="AA41" s="971">
        <f>IFERROR(__xludf.DUMMYFUNCTION("""COMPUTED_VALUE"""),69080.0)</f>
        <v>69080</v>
      </c>
      <c r="AB41" s="972">
        <f>IFERROR(__xludf.DUMMYFUNCTION("""COMPUTED_VALUE"""),58000.0)</f>
        <v>58000</v>
      </c>
      <c r="AC41" s="973">
        <f>IFERROR(__xludf.DUMMYFUNCTION("""COMPUTED_VALUE"""),406000.0)</f>
        <v>406000</v>
      </c>
      <c r="AD41" s="974">
        <f>IFERROR(__xludf.DUMMYFUNCTION("""COMPUTED_VALUE"""),62800.0)</f>
        <v>62800</v>
      </c>
      <c r="AE41" s="975">
        <f>IFERROR(__xludf.DUMMYFUNCTION("""COMPUTED_VALUE"""),52730.0)</f>
        <v>52730</v>
      </c>
      <c r="AF41" s="976">
        <f>IFERROR(__xludf.DUMMYFUNCTION("""COMPUTED_VALUE"""),369090.0)</f>
        <v>369090</v>
      </c>
      <c r="AG41" s="922"/>
      <c r="AH41" s="922"/>
      <c r="AI41" s="922"/>
      <c r="AJ41" s="922"/>
      <c r="AK41" s="922"/>
      <c r="AL41" s="922"/>
      <c r="AM41" s="995"/>
      <c r="AN41" s="995"/>
      <c r="AO41" s="995"/>
      <c r="AP41" s="995"/>
      <c r="AQ41" s="995"/>
    </row>
    <row r="42">
      <c r="A42" s="967" t="str">
        <f>IFERROR(__xludf.DUMMYFUNCTION("""COMPUTED_VALUE"""),"HKCHECH45")</f>
        <v>HKCHECH45</v>
      </c>
      <c r="B42" s="968">
        <f>IFERROR(__xludf.DUMMYFUNCTION("""COMPUTED_VALUE"""),45.0)</f>
        <v>45</v>
      </c>
      <c r="C42" s="969" t="str">
        <f>IFERROR(__xludf.DUMMYFUNCTION("""COMPUTED_VALUE"""),"Cái")</f>
        <v>Cái</v>
      </c>
      <c r="D42" s="970">
        <f>IFERROR(__xludf.DUMMYFUNCTION("""COMPUTED_VALUE"""),10.0)</f>
        <v>10</v>
      </c>
      <c r="E42" s="971">
        <f>IFERROR(__xludf.DUMMYFUNCTION("""COMPUTED_VALUE"""),99000.0)</f>
        <v>99000</v>
      </c>
      <c r="F42" s="972">
        <f>IFERROR(__xludf.DUMMYFUNCTION("""COMPUTED_VALUE"""),71300.0)</f>
        <v>71300</v>
      </c>
      <c r="G42" s="973">
        <f>IFERROR(__xludf.DUMMYFUNCTION("""COMPUTED_VALUE"""),713000.0)</f>
        <v>713000</v>
      </c>
      <c r="H42" s="974">
        <f>IFERROR(__xludf.DUMMYFUNCTION("""COMPUTED_VALUE"""),90000.0)</f>
        <v>90000</v>
      </c>
      <c r="I42" s="975">
        <f>IFERROR(__xludf.DUMMYFUNCTION("""COMPUTED_VALUE"""),64820.0)</f>
        <v>64820</v>
      </c>
      <c r="J42" s="976">
        <f>IFERROR(__xludf.DUMMYFUNCTION("""COMPUTED_VALUE"""),648180.0)</f>
        <v>648180</v>
      </c>
      <c r="K42" s="919"/>
      <c r="L42" s="967" t="str">
        <f>IFERROR(__xludf.DUMMYFUNCTION("""COMPUTED_VALUE"""),"HKTE42")</f>
        <v>HKTE42</v>
      </c>
      <c r="M42" s="968">
        <f>IFERROR(__xludf.DUMMYFUNCTION("""COMPUTED_VALUE"""),42.0)</f>
        <v>42</v>
      </c>
      <c r="N42" s="969" t="str">
        <f>IFERROR(__xludf.DUMMYFUNCTION("""COMPUTED_VALUE"""),"Túi")</f>
        <v>Túi</v>
      </c>
      <c r="O42" s="970">
        <f>IFERROR(__xludf.DUMMYFUNCTION("""COMPUTED_VALUE"""),7.0)</f>
        <v>7</v>
      </c>
      <c r="P42" s="971">
        <f>IFERROR(__xludf.DUMMYFUNCTION("""COMPUTED_VALUE"""),129800.0)</f>
        <v>129800</v>
      </c>
      <c r="Q42" s="972">
        <f>IFERROR(__xludf.DUMMYFUNCTION("""COMPUTED_VALUE"""),95000.0)</f>
        <v>95000</v>
      </c>
      <c r="R42" s="973">
        <f>IFERROR(__xludf.DUMMYFUNCTION("""COMPUTED_VALUE"""),665000.0)</f>
        <v>665000</v>
      </c>
      <c r="S42" s="974">
        <f>IFERROR(__xludf.DUMMYFUNCTION("""COMPUTED_VALUE"""),118000.0)</f>
        <v>118000</v>
      </c>
      <c r="T42" s="975">
        <f>IFERROR(__xludf.DUMMYFUNCTION("""COMPUTED_VALUE"""),86360.0)</f>
        <v>86360</v>
      </c>
      <c r="U42" s="976">
        <f>IFERROR(__xludf.DUMMYFUNCTION("""COMPUTED_VALUE"""),604550.0)</f>
        <v>604550</v>
      </c>
      <c r="V42" s="919"/>
      <c r="W42" s="978" t="str">
        <f>IFERROR(__xludf.DUMMYFUNCTION("""COMPUTED_VALUE"""),"HKTHU4235")</f>
        <v>HKTHU4235</v>
      </c>
      <c r="X42" s="979" t="str">
        <f>IFERROR(__xludf.DUMMYFUNCTION("""COMPUTED_VALUE""")," 42, 35")</f>
        <v> 42, 35</v>
      </c>
      <c r="Y42" s="980" t="str">
        <f>IFERROR(__xludf.DUMMYFUNCTION("""COMPUTED_VALUE"""),"Túi")</f>
        <v>Túi</v>
      </c>
      <c r="Z42" s="981">
        <f>IFERROR(__xludf.DUMMYFUNCTION("""COMPUTED_VALUE"""),7.0)</f>
        <v>7</v>
      </c>
      <c r="AA42" s="982">
        <f>IFERROR(__xludf.DUMMYFUNCTION("""COMPUTED_VALUE"""),69080.0)</f>
        <v>69080</v>
      </c>
      <c r="AB42" s="983">
        <f>IFERROR(__xludf.DUMMYFUNCTION("""COMPUTED_VALUE"""),58000.0)</f>
        <v>58000</v>
      </c>
      <c r="AC42" s="984">
        <f>IFERROR(__xludf.DUMMYFUNCTION("""COMPUTED_VALUE"""),406000.0)</f>
        <v>406000</v>
      </c>
      <c r="AD42" s="985">
        <f>IFERROR(__xludf.DUMMYFUNCTION("""COMPUTED_VALUE"""),62800.0)</f>
        <v>62800</v>
      </c>
      <c r="AE42" s="983">
        <f>IFERROR(__xludf.DUMMYFUNCTION("""COMPUTED_VALUE"""),52730.0)</f>
        <v>52730</v>
      </c>
      <c r="AF42" s="984">
        <f>IFERROR(__xludf.DUMMYFUNCTION("""COMPUTED_VALUE"""),369090.0)</f>
        <v>369090</v>
      </c>
      <c r="AG42" s="922"/>
      <c r="AH42" s="922"/>
      <c r="AI42" s="922"/>
      <c r="AJ42" s="922"/>
      <c r="AK42" s="922"/>
      <c r="AL42" s="922"/>
      <c r="AM42" s="995"/>
      <c r="AN42" s="995"/>
      <c r="AO42" s="995"/>
      <c r="AP42" s="995"/>
      <c r="AQ42" s="995"/>
    </row>
    <row r="43">
      <c r="A43" s="978" t="str">
        <f>IFERROR(__xludf.DUMMYFUNCTION("""COMPUTED_VALUE"""),"HKCHENH54")</f>
        <v>HKCHENH54</v>
      </c>
      <c r="B43" s="979">
        <f>IFERROR(__xludf.DUMMYFUNCTION("""COMPUTED_VALUE"""),54.0)</f>
        <v>54</v>
      </c>
      <c r="C43" s="980" t="str">
        <f>IFERROR(__xludf.DUMMYFUNCTION("""COMPUTED_VALUE"""),"Cái")</f>
        <v>Cái</v>
      </c>
      <c r="D43" s="981">
        <f>IFERROR(__xludf.DUMMYFUNCTION("""COMPUTED_VALUE"""),5.0)</f>
        <v>5</v>
      </c>
      <c r="E43" s="982">
        <f>IFERROR(__xludf.DUMMYFUNCTION("""COMPUTED_VALUE"""),153230.0)</f>
        <v>153230</v>
      </c>
      <c r="F43" s="983">
        <f>IFERROR(__xludf.DUMMYFUNCTION("""COMPUTED_VALUE"""),139300.0)</f>
        <v>139300</v>
      </c>
      <c r="G43" s="984">
        <f>IFERROR(__xludf.DUMMYFUNCTION("""COMPUTED_VALUE"""),696500.0)</f>
        <v>696500</v>
      </c>
      <c r="H43" s="985">
        <f>IFERROR(__xludf.DUMMYFUNCTION("""COMPUTED_VALUE"""),139300.0)</f>
        <v>139300</v>
      </c>
      <c r="I43" s="983">
        <f>IFERROR(__xludf.DUMMYFUNCTION("""COMPUTED_VALUE"""),126640.0)</f>
        <v>126640</v>
      </c>
      <c r="J43" s="984">
        <f>IFERROR(__xludf.DUMMYFUNCTION("""COMPUTED_VALUE"""),633180.0)</f>
        <v>633180</v>
      </c>
      <c r="K43" s="919"/>
      <c r="L43" s="978" t="str">
        <f>IFERROR(__xludf.DUMMYFUNCTION("""COMPUTED_VALUE"""),"HKTE54")</f>
        <v>HKTE54</v>
      </c>
      <c r="M43" s="979">
        <f>IFERROR(__xludf.DUMMYFUNCTION("""COMPUTED_VALUE"""),54.0)</f>
        <v>54</v>
      </c>
      <c r="N43" s="980" t="str">
        <f>IFERROR(__xludf.DUMMYFUNCTION("""COMPUTED_VALUE"""),"Túi")</f>
        <v>Túi</v>
      </c>
      <c r="O43" s="981">
        <f>IFERROR(__xludf.DUMMYFUNCTION("""COMPUTED_VALUE"""),3.0)</f>
        <v>3</v>
      </c>
      <c r="P43" s="982">
        <f>IFERROR(__xludf.DUMMYFUNCTION("""COMPUTED_VALUE"""),217800.0)</f>
        <v>217800</v>
      </c>
      <c r="Q43" s="983">
        <f>IFERROR(__xludf.DUMMYFUNCTION("""COMPUTED_VALUE"""),175000.0)</f>
        <v>175000</v>
      </c>
      <c r="R43" s="984">
        <f>IFERROR(__xludf.DUMMYFUNCTION("""COMPUTED_VALUE"""),525000.0)</f>
        <v>525000</v>
      </c>
      <c r="S43" s="985">
        <f>IFERROR(__xludf.DUMMYFUNCTION("""COMPUTED_VALUE"""),198000.0)</f>
        <v>198000</v>
      </c>
      <c r="T43" s="983">
        <f>IFERROR(__xludf.DUMMYFUNCTION("""COMPUTED_VALUE"""),159090.0)</f>
        <v>159090</v>
      </c>
      <c r="U43" s="984">
        <f>IFERROR(__xludf.DUMMYFUNCTION("""COMPUTED_VALUE"""),477270.0)</f>
        <v>477270</v>
      </c>
      <c r="V43" s="919"/>
      <c r="W43" s="967" t="str">
        <f>IFERROR(__xludf.DUMMYFUNCTION("""COMPUTED_VALUE"""),"HKTHU4238")</f>
        <v>HKTHU4238</v>
      </c>
      <c r="X43" s="968" t="str">
        <f>IFERROR(__xludf.DUMMYFUNCTION("""COMPUTED_VALUE""")," 42, 38")</f>
        <v> 42, 38</v>
      </c>
      <c r="Y43" s="969" t="str">
        <f>IFERROR(__xludf.DUMMYFUNCTION("""COMPUTED_VALUE"""),"Túi")</f>
        <v>Túi</v>
      </c>
      <c r="Z43" s="970">
        <f>IFERROR(__xludf.DUMMYFUNCTION("""COMPUTED_VALUE"""),7.0)</f>
        <v>7</v>
      </c>
      <c r="AA43" s="971">
        <f>IFERROR(__xludf.DUMMYFUNCTION("""COMPUTED_VALUE"""),69080.0)</f>
        <v>69080</v>
      </c>
      <c r="AB43" s="972">
        <f>IFERROR(__xludf.DUMMYFUNCTION("""COMPUTED_VALUE"""),58000.0)</f>
        <v>58000</v>
      </c>
      <c r="AC43" s="973">
        <f>IFERROR(__xludf.DUMMYFUNCTION("""COMPUTED_VALUE"""),406000.0)</f>
        <v>406000</v>
      </c>
      <c r="AD43" s="974">
        <f>IFERROR(__xludf.DUMMYFUNCTION("""COMPUTED_VALUE"""),62800.0)</f>
        <v>62800</v>
      </c>
      <c r="AE43" s="975">
        <f>IFERROR(__xludf.DUMMYFUNCTION("""COMPUTED_VALUE"""),52730.0)</f>
        <v>52730</v>
      </c>
      <c r="AF43" s="976">
        <f>IFERROR(__xludf.DUMMYFUNCTION("""COMPUTED_VALUE"""),369090.0)</f>
        <v>369090</v>
      </c>
      <c r="AG43" s="922"/>
      <c r="AH43" s="922"/>
      <c r="AI43" s="922"/>
      <c r="AJ43" s="922"/>
      <c r="AK43" s="922"/>
      <c r="AL43" s="922"/>
      <c r="AM43" s="995"/>
      <c r="AN43" s="995"/>
      <c r="AO43" s="995"/>
      <c r="AP43" s="995"/>
      <c r="AQ43" s="995"/>
    </row>
    <row r="44">
      <c r="A44" s="967" t="str">
        <f>IFERROR(__xludf.DUMMYFUNCTION("""COMPUTED_VALUE"""),"HKCHECH67")</f>
        <v>HKCHECH67</v>
      </c>
      <c r="B44" s="968">
        <f>IFERROR(__xludf.DUMMYFUNCTION("""COMPUTED_VALUE"""),67.0)</f>
        <v>67</v>
      </c>
      <c r="C44" s="969" t="str">
        <f>IFERROR(__xludf.DUMMYFUNCTION("""COMPUTED_VALUE"""),"Cái")</f>
        <v>Cái</v>
      </c>
      <c r="D44" s="970">
        <f>IFERROR(__xludf.DUMMYFUNCTION("""COMPUTED_VALUE"""),1.0)</f>
        <v>1</v>
      </c>
      <c r="E44" s="971">
        <f>IFERROR(__xludf.DUMMYFUNCTION("""COMPUTED_VALUE"""),171000.0)</f>
        <v>171000</v>
      </c>
      <c r="F44" s="972">
        <f>IFERROR(__xludf.DUMMYFUNCTION("""COMPUTED_VALUE"""),171000.0)</f>
        <v>171000</v>
      </c>
      <c r="G44" s="973">
        <f>IFERROR(__xludf.DUMMYFUNCTION("""COMPUTED_VALUE"""),171000.0)</f>
        <v>171000</v>
      </c>
      <c r="H44" s="974">
        <f>IFERROR(__xludf.DUMMYFUNCTION("""COMPUTED_VALUE"""),155450.0)</f>
        <v>155450</v>
      </c>
      <c r="I44" s="975">
        <f>IFERROR(__xludf.DUMMYFUNCTION("""COMPUTED_VALUE"""),155450.0)</f>
        <v>155450</v>
      </c>
      <c r="J44" s="976">
        <f>IFERROR(__xludf.DUMMYFUNCTION("""COMPUTED_VALUE"""),155450.0)</f>
        <v>155450</v>
      </c>
      <c r="K44" s="919"/>
      <c r="L44" s="967" t="str">
        <f>IFERROR(__xludf.DUMMYFUNCTION("""COMPUTED_VALUE"""),"TE67")</f>
        <v>TE67</v>
      </c>
      <c r="M44" s="968">
        <f>IFERROR(__xludf.DUMMYFUNCTION("""COMPUTED_VALUE"""),67.0)</f>
        <v>67</v>
      </c>
      <c r="N44" s="969" t="str">
        <f>IFERROR(__xludf.DUMMYFUNCTION("""COMPUTED_VALUE"""),"Túi")</f>
        <v>Túi</v>
      </c>
      <c r="O44" s="970">
        <f>IFERROR(__xludf.DUMMYFUNCTION("""COMPUTED_VALUE"""),1.0)</f>
        <v>1</v>
      </c>
      <c r="P44" s="971">
        <f>IFERROR(__xludf.DUMMYFUNCTION("""COMPUTED_VALUE"""),327800.0)</f>
        <v>327800</v>
      </c>
      <c r="Q44" s="972">
        <f>IFERROR(__xludf.DUMMYFUNCTION("""COMPUTED_VALUE"""),250000.0)</f>
        <v>250000</v>
      </c>
      <c r="R44" s="973">
        <f>IFERROR(__xludf.DUMMYFUNCTION("""COMPUTED_VALUE"""),250000.0)</f>
        <v>250000</v>
      </c>
      <c r="S44" s="974">
        <f>IFERROR(__xludf.DUMMYFUNCTION("""COMPUTED_VALUE"""),298000.0)</f>
        <v>298000</v>
      </c>
      <c r="T44" s="975">
        <f>IFERROR(__xludf.DUMMYFUNCTION("""COMPUTED_VALUE"""),227270.0)</f>
        <v>227270</v>
      </c>
      <c r="U44" s="976">
        <f>IFERROR(__xludf.DUMMYFUNCTION("""COMPUTED_VALUE"""),227270.0)</f>
        <v>227270</v>
      </c>
      <c r="V44" s="919"/>
      <c r="W44" s="978" t="str">
        <f>IFERROR(__xludf.DUMMYFUNCTION("""COMPUTED_VALUE"""),"HKTHU5428")</f>
        <v>HKTHU5428</v>
      </c>
      <c r="X44" s="979" t="str">
        <f>IFERROR(__xludf.DUMMYFUNCTION("""COMPUTED_VALUE""")," 54, 28")</f>
        <v> 54, 28</v>
      </c>
      <c r="Y44" s="980" t="str">
        <f>IFERROR(__xludf.DUMMYFUNCTION("""COMPUTED_VALUE"""),"Túi")</f>
        <v>Túi</v>
      </c>
      <c r="Z44" s="981">
        <f>IFERROR(__xludf.DUMMYFUNCTION("""COMPUTED_VALUE"""),3.0)</f>
        <v>3</v>
      </c>
      <c r="AA44" s="982">
        <f>IFERROR(__xludf.DUMMYFUNCTION("""COMPUTED_VALUE"""),119020.0)</f>
        <v>119020</v>
      </c>
      <c r="AB44" s="983">
        <f>IFERROR(__xludf.DUMMYFUNCTION("""COMPUTED_VALUE"""),107000.0)</f>
        <v>107000</v>
      </c>
      <c r="AC44" s="984">
        <f>IFERROR(__xludf.DUMMYFUNCTION("""COMPUTED_VALUE"""),321000.0)</f>
        <v>321000</v>
      </c>
      <c r="AD44" s="985">
        <f>IFERROR(__xludf.DUMMYFUNCTION("""COMPUTED_VALUE"""),108200.0)</f>
        <v>108200</v>
      </c>
      <c r="AE44" s="983">
        <f>IFERROR(__xludf.DUMMYFUNCTION("""COMPUTED_VALUE"""),97270.0)</f>
        <v>97270</v>
      </c>
      <c r="AF44" s="984">
        <f>IFERROR(__xludf.DUMMYFUNCTION("""COMPUTED_VALUE"""),291820.0)</f>
        <v>291820</v>
      </c>
      <c r="AG44" s="922"/>
      <c r="AH44" s="922"/>
      <c r="AI44" s="922"/>
      <c r="AJ44" s="922"/>
      <c r="AK44" s="922"/>
      <c r="AL44" s="922"/>
      <c r="AM44" s="995"/>
      <c r="AN44" s="995"/>
      <c r="AO44" s="995"/>
      <c r="AP44" s="995"/>
      <c r="AQ44" s="995"/>
    </row>
    <row r="45">
      <c r="A45" s="987" t="str">
        <f>IFERROR(__xludf.DUMMYFUNCTION("""COMPUTED_VALUE"""),"HKCHECH76")</f>
        <v>HKCHECH76</v>
      </c>
      <c r="B45" s="998">
        <f>IFERROR(__xludf.DUMMYFUNCTION("""COMPUTED_VALUE"""),76.0)</f>
        <v>76</v>
      </c>
      <c r="C45" s="989" t="str">
        <f>IFERROR(__xludf.DUMMYFUNCTION("""COMPUTED_VALUE"""),"Cái")</f>
        <v>Cái</v>
      </c>
      <c r="D45" s="990">
        <f>IFERROR(__xludf.DUMMYFUNCTION("""COMPUTED_VALUE"""),1.0)</f>
        <v>1</v>
      </c>
      <c r="E45" s="991">
        <f>IFERROR(__xludf.DUMMYFUNCTION("""COMPUTED_VALUE"""),270000.0)</f>
        <v>270000</v>
      </c>
      <c r="F45" s="992">
        <f>IFERROR(__xludf.DUMMYFUNCTION("""COMPUTED_VALUE"""),270000.0)</f>
        <v>270000</v>
      </c>
      <c r="G45" s="993">
        <f>IFERROR(__xludf.DUMMYFUNCTION("""COMPUTED_VALUE"""),270000.0)</f>
        <v>270000</v>
      </c>
      <c r="H45" s="994">
        <f>IFERROR(__xludf.DUMMYFUNCTION("""COMPUTED_VALUE"""),245450.0)</f>
        <v>245450</v>
      </c>
      <c r="I45" s="992">
        <f>IFERROR(__xludf.DUMMYFUNCTION("""COMPUTED_VALUE"""),245450.0)</f>
        <v>245450</v>
      </c>
      <c r="J45" s="993">
        <f>IFERROR(__xludf.DUMMYFUNCTION("""COMPUTED_VALUE"""),245450.0)</f>
        <v>245450</v>
      </c>
      <c r="K45" s="919"/>
      <c r="L45" s="978" t="str">
        <f>IFERROR(__xludf.DUMMYFUNCTION("""COMPUTED_VALUE"""),"TE76")</f>
        <v>TE76</v>
      </c>
      <c r="M45" s="979">
        <f>IFERROR(__xludf.DUMMYFUNCTION("""COMPUTED_VALUE"""),76.0)</f>
        <v>76</v>
      </c>
      <c r="N45" s="980" t="str">
        <f>IFERROR(__xludf.DUMMYFUNCTION("""COMPUTED_VALUE"""),"Túi")</f>
        <v>Túi</v>
      </c>
      <c r="O45" s="981">
        <f>IFERROR(__xludf.DUMMYFUNCTION("""COMPUTED_VALUE"""),1.0)</f>
        <v>1</v>
      </c>
      <c r="P45" s="982">
        <f>IFERROR(__xludf.DUMMYFUNCTION("""COMPUTED_VALUE"""),953260.0)</f>
        <v>953260</v>
      </c>
      <c r="Q45" s="1009">
        <f>IFERROR(__xludf.DUMMYFUNCTION("""COMPUTED_VALUE"""),953260.0)</f>
        <v>953260</v>
      </c>
      <c r="R45" s="984">
        <f>IFERROR(__xludf.DUMMYFUNCTION("""COMPUTED_VALUE"""),953260.0)</f>
        <v>953260</v>
      </c>
      <c r="S45" s="985">
        <f>IFERROR(__xludf.DUMMYFUNCTION("""COMPUTED_VALUE"""),866600.0)</f>
        <v>866600</v>
      </c>
      <c r="T45" s="1009">
        <f>IFERROR(__xludf.DUMMYFUNCTION("""COMPUTED_VALUE"""),866600.0)</f>
        <v>866600</v>
      </c>
      <c r="U45" s="984">
        <f>IFERROR(__xludf.DUMMYFUNCTION("""COMPUTED_VALUE"""),866600.0)</f>
        <v>866600</v>
      </c>
      <c r="V45" s="919"/>
      <c r="W45" s="967" t="str">
        <f>IFERROR(__xludf.DUMMYFUNCTION("""COMPUTED_VALUE"""),"HKTHU5435")</f>
        <v>HKTHU5435</v>
      </c>
      <c r="X45" s="968" t="str">
        <f>IFERROR(__xludf.DUMMYFUNCTION("""COMPUTED_VALUE""")," 54, 35")</f>
        <v> 54, 35</v>
      </c>
      <c r="Y45" s="969" t="str">
        <f>IFERROR(__xludf.DUMMYFUNCTION("""COMPUTED_VALUE"""),"Túi")</f>
        <v>Túi</v>
      </c>
      <c r="Z45" s="970">
        <f>IFERROR(__xludf.DUMMYFUNCTION("""COMPUTED_VALUE"""),3.0)</f>
        <v>3</v>
      </c>
      <c r="AA45" s="971">
        <f>IFERROR(__xludf.DUMMYFUNCTION("""COMPUTED_VALUE"""),119020.0)</f>
        <v>119020</v>
      </c>
      <c r="AB45" s="972">
        <f>IFERROR(__xludf.DUMMYFUNCTION("""COMPUTED_VALUE"""),107000.0)</f>
        <v>107000</v>
      </c>
      <c r="AC45" s="973">
        <f>IFERROR(__xludf.DUMMYFUNCTION("""COMPUTED_VALUE"""),321000.0)</f>
        <v>321000</v>
      </c>
      <c r="AD45" s="974">
        <f>IFERROR(__xludf.DUMMYFUNCTION("""COMPUTED_VALUE"""),108200.0)</f>
        <v>108200</v>
      </c>
      <c r="AE45" s="975">
        <f>IFERROR(__xludf.DUMMYFUNCTION("""COMPUTED_VALUE"""),97270.0)</f>
        <v>97270</v>
      </c>
      <c r="AF45" s="976">
        <f>IFERROR(__xludf.DUMMYFUNCTION("""COMPUTED_VALUE"""),291820.0)</f>
        <v>291820</v>
      </c>
      <c r="AG45" s="922"/>
      <c r="AH45" s="922"/>
      <c r="AI45" s="922"/>
      <c r="AJ45" s="922"/>
      <c r="AK45" s="922"/>
      <c r="AL45" s="922"/>
      <c r="AM45" s="995"/>
      <c r="AN45" s="995"/>
      <c r="AO45" s="995"/>
      <c r="AP45" s="995"/>
      <c r="AQ45" s="995"/>
    </row>
    <row r="46">
      <c r="A46" s="1"/>
      <c r="B46" s="1"/>
      <c r="C46" s="1"/>
      <c r="D46" s="1"/>
      <c r="E46" s="1"/>
      <c r="F46" s="1"/>
      <c r="G46" s="1"/>
      <c r="H46" s="1"/>
      <c r="I46" s="1"/>
      <c r="J46" s="1"/>
      <c r="K46" s="919"/>
      <c r="L46" s="999" t="str">
        <f>IFERROR(__xludf.DUMMYFUNCTION("""COMPUTED_VALUE"""),"TE108")</f>
        <v>TE108</v>
      </c>
      <c r="M46" s="1000">
        <f>IFERROR(__xludf.DUMMYFUNCTION("""COMPUTED_VALUE"""),108.0)</f>
        <v>108</v>
      </c>
      <c r="N46" s="1001" t="str">
        <f>IFERROR(__xludf.DUMMYFUNCTION("""COMPUTED_VALUE"""),"Túi")</f>
        <v>Túi</v>
      </c>
      <c r="O46" s="1010">
        <f>IFERROR(__xludf.DUMMYFUNCTION("""COMPUTED_VALUE"""),1.0)</f>
        <v>1</v>
      </c>
      <c r="P46" s="1003" t="str">
        <f>IFERROR(__xludf.DUMMYFUNCTION("""COMPUTED_VALUE"""),"#N/A")</f>
        <v>#N/A</v>
      </c>
      <c r="Q46" s="1004"/>
      <c r="R46" s="1005">
        <f>IFERROR(__xludf.DUMMYFUNCTION("""COMPUTED_VALUE"""),0.0)</f>
        <v>0</v>
      </c>
      <c r="S46" s="1006" t="str">
        <f>IFERROR(__xludf.DUMMYFUNCTION("""COMPUTED_VALUE"""),"#N/A")</f>
        <v>#N/A</v>
      </c>
      <c r="T46" s="1007"/>
      <c r="U46" s="1008">
        <f>IFERROR(__xludf.DUMMYFUNCTION("""COMPUTED_VALUE"""),0.0)</f>
        <v>0</v>
      </c>
      <c r="V46" s="919"/>
      <c r="W46" s="978" t="str">
        <f>IFERROR(__xludf.DUMMYFUNCTION("""COMPUTED_VALUE"""),"HKTHU5442")</f>
        <v>HKTHU5442</v>
      </c>
      <c r="X46" s="979" t="str">
        <f>IFERROR(__xludf.DUMMYFUNCTION("""COMPUTED_VALUE""")," 54, 42")</f>
        <v> 54, 42</v>
      </c>
      <c r="Y46" s="980" t="str">
        <f>IFERROR(__xludf.DUMMYFUNCTION("""COMPUTED_VALUE"""),"Túi")</f>
        <v>Túi</v>
      </c>
      <c r="Z46" s="981">
        <f>IFERROR(__xludf.DUMMYFUNCTION("""COMPUTED_VALUE"""),3.0)</f>
        <v>3</v>
      </c>
      <c r="AA46" s="982">
        <f>IFERROR(__xludf.DUMMYFUNCTION("""COMPUTED_VALUE"""),123200.0)</f>
        <v>123200</v>
      </c>
      <c r="AB46" s="983">
        <f>IFERROR(__xludf.DUMMYFUNCTION("""COMPUTED_VALUE"""),107000.0)</f>
        <v>107000</v>
      </c>
      <c r="AC46" s="984">
        <f>IFERROR(__xludf.DUMMYFUNCTION("""COMPUTED_VALUE"""),321000.0)</f>
        <v>321000</v>
      </c>
      <c r="AD46" s="985">
        <f>IFERROR(__xludf.DUMMYFUNCTION("""COMPUTED_VALUE"""),112000.0)</f>
        <v>112000</v>
      </c>
      <c r="AE46" s="983">
        <f>IFERROR(__xludf.DUMMYFUNCTION("""COMPUTED_VALUE"""),97270.0)</f>
        <v>97270</v>
      </c>
      <c r="AF46" s="984">
        <f>IFERROR(__xludf.DUMMYFUNCTION("""COMPUTED_VALUE"""),291820.0)</f>
        <v>291820</v>
      </c>
      <c r="AG46" s="922"/>
      <c r="AH46" s="922"/>
      <c r="AI46" s="922"/>
      <c r="AJ46" s="922"/>
      <c r="AK46" s="922"/>
      <c r="AL46" s="922"/>
      <c r="AM46" s="995"/>
      <c r="AN46" s="995"/>
      <c r="AO46" s="995"/>
      <c r="AP46" s="995"/>
      <c r="AQ46" s="995"/>
    </row>
    <row r="47">
      <c r="A47" s="1"/>
      <c r="B47" s="1"/>
      <c r="C47" s="1"/>
      <c r="D47" s="1"/>
      <c r="E47" s="1"/>
      <c r="F47" s="1"/>
      <c r="G47" s="1"/>
      <c r="H47" s="1"/>
      <c r="I47" s="1"/>
      <c r="J47" s="1"/>
      <c r="K47" s="919"/>
      <c r="L47" s="1"/>
      <c r="M47" s="1"/>
      <c r="N47" s="1"/>
      <c r="O47" s="1"/>
      <c r="P47" s="1"/>
      <c r="Q47" s="1"/>
      <c r="R47" s="1"/>
      <c r="S47" s="1"/>
      <c r="T47" s="1"/>
      <c r="U47" s="1"/>
      <c r="V47" s="919"/>
      <c r="W47" s="967" t="str">
        <f>IFERROR(__xludf.DUMMYFUNCTION("""COMPUTED_VALUE"""),"HKTHU6719")</f>
        <v>HKTHU6719</v>
      </c>
      <c r="X47" s="968" t="str">
        <f>IFERROR(__xludf.DUMMYFUNCTION("""COMPUTED_VALUE""")," 67, 19")</f>
        <v> 67, 19</v>
      </c>
      <c r="Y47" s="969" t="str">
        <f>IFERROR(__xludf.DUMMYFUNCTION("""COMPUTED_VALUE"""),"Túi")</f>
        <v>Túi</v>
      </c>
      <c r="Z47" s="970">
        <f>IFERROR(__xludf.DUMMYFUNCTION("""COMPUTED_VALUE"""),1.0)</f>
        <v>1</v>
      </c>
      <c r="AA47" s="971">
        <f>IFERROR(__xludf.DUMMYFUNCTION("""COMPUTED_VALUE"""),184800.0)</f>
        <v>184800</v>
      </c>
      <c r="AB47" s="972">
        <f>IFERROR(__xludf.DUMMYFUNCTION("""COMPUTED_VALUE"""),140000.0)</f>
        <v>140000</v>
      </c>
      <c r="AC47" s="973">
        <f>IFERROR(__xludf.DUMMYFUNCTION("""COMPUTED_VALUE"""),140000.0)</f>
        <v>140000</v>
      </c>
      <c r="AD47" s="974">
        <f>IFERROR(__xludf.DUMMYFUNCTION("""COMPUTED_VALUE"""),168000.0)</f>
        <v>168000</v>
      </c>
      <c r="AE47" s="975">
        <f>IFERROR(__xludf.DUMMYFUNCTION("""COMPUTED_VALUE"""),127270.0)</f>
        <v>127270</v>
      </c>
      <c r="AF47" s="976">
        <f>IFERROR(__xludf.DUMMYFUNCTION("""COMPUTED_VALUE"""),127270.0)</f>
        <v>127270</v>
      </c>
      <c r="AG47" s="922"/>
      <c r="AH47" s="922"/>
      <c r="AI47" s="922"/>
      <c r="AJ47" s="922"/>
      <c r="AK47" s="922"/>
      <c r="AL47" s="922"/>
      <c r="AM47" s="995"/>
      <c r="AN47" s="995"/>
      <c r="AO47" s="995"/>
      <c r="AP47" s="995"/>
      <c r="AQ47" s="995"/>
    </row>
    <row r="48">
      <c r="A48" s="925" t="str">
        <f>IFERROR(__xludf.DUMMYFUNCTION("""COMPUTED_VALUE""")," Mã ")</f>
        <v>Mã</v>
      </c>
      <c r="B48" s="926" t="str">
        <f>IFERROR(__xludf.DUMMYFUNCTION("""COMPUTED_VALUE"""),"TÊ THU")</f>
        <v>TÊ THU</v>
      </c>
      <c r="C48" s="927" t="str">
        <f>IFERROR(__xludf.DUMMYFUNCTION("""COMPUTED_VALUE"""),"ĐVT")</f>
        <v>ĐVT</v>
      </c>
      <c r="D48" s="928" t="str">
        <f>IFERROR(__xludf.DUMMYFUNCTION("""COMPUTED_VALUE""")," Đóng gói ")</f>
        <v>Đóng gói</v>
      </c>
      <c r="E48" s="929" t="str">
        <f>IFERROR(__xludf.DUMMYFUNCTION("""COMPUTED_VALUE""")," GIÁ NIÊM YẾT (= GIÁ K) ")</f>
        <v>GIÁ NIÊM YẾT (= GIÁ K)</v>
      </c>
      <c r="F48" s="930"/>
      <c r="G48" s="931"/>
      <c r="H48" s="933" t="str">
        <f>IFERROR(__xludf.DUMMYFUNCTION("""COMPUTED_VALUE""")," GIÁ CHƯA VAT ")</f>
        <v>GIÁ CHƯA VAT</v>
      </c>
      <c r="I48" s="930"/>
      <c r="J48" s="931"/>
      <c r="K48" s="919"/>
      <c r="L48" s="1"/>
      <c r="M48" s="1"/>
      <c r="N48" s="1"/>
      <c r="O48" s="1"/>
      <c r="P48" s="1"/>
      <c r="Q48" s="1"/>
      <c r="R48" s="1"/>
      <c r="S48" s="1"/>
      <c r="T48" s="1"/>
      <c r="U48" s="1"/>
      <c r="V48" s="919"/>
      <c r="W48" s="978" t="str">
        <f>IFERROR(__xludf.DUMMYFUNCTION("""COMPUTED_VALUE"""),"HKTHU6728")</f>
        <v>HKTHU6728</v>
      </c>
      <c r="X48" s="979" t="str">
        <f>IFERROR(__xludf.DUMMYFUNCTION("""COMPUTED_VALUE""")," 67, 28")</f>
        <v> 67, 28</v>
      </c>
      <c r="Y48" s="980" t="str">
        <f>IFERROR(__xludf.DUMMYFUNCTION("""COMPUTED_VALUE"""),"Túi")</f>
        <v>Túi</v>
      </c>
      <c r="Z48" s="981">
        <f>IFERROR(__xludf.DUMMYFUNCTION("""COMPUTED_VALUE"""),1.0)</f>
        <v>1</v>
      </c>
      <c r="AA48" s="982">
        <f>IFERROR(__xludf.DUMMYFUNCTION("""COMPUTED_VALUE"""),198000.0)</f>
        <v>198000</v>
      </c>
      <c r="AB48" s="983">
        <f>IFERROR(__xludf.DUMMYFUNCTION("""COMPUTED_VALUE"""),140000.0)</f>
        <v>140000</v>
      </c>
      <c r="AC48" s="984">
        <f>IFERROR(__xludf.DUMMYFUNCTION("""COMPUTED_VALUE"""),140000.0)</f>
        <v>140000</v>
      </c>
      <c r="AD48" s="985">
        <f>IFERROR(__xludf.DUMMYFUNCTION("""COMPUTED_VALUE"""),180000.0)</f>
        <v>180000</v>
      </c>
      <c r="AE48" s="983">
        <f>IFERROR(__xludf.DUMMYFUNCTION("""COMPUTED_VALUE"""),127270.0)</f>
        <v>127270</v>
      </c>
      <c r="AF48" s="984">
        <f>IFERROR(__xludf.DUMMYFUNCTION("""COMPUTED_VALUE"""),127270.0)</f>
        <v>127270</v>
      </c>
      <c r="AG48" s="922"/>
      <c r="AH48" s="922"/>
      <c r="AI48" s="922"/>
      <c r="AJ48" s="922"/>
      <c r="AK48" s="922"/>
      <c r="AL48" s="922"/>
      <c r="AM48" s="995"/>
      <c r="AN48" s="995"/>
      <c r="AO48" s="995"/>
      <c r="AP48" s="995"/>
      <c r="AQ48" s="995"/>
    </row>
    <row r="49">
      <c r="A49" s="935"/>
      <c r="B49" s="936"/>
      <c r="C49" s="936"/>
      <c r="D49" s="937"/>
      <c r="E49" s="938" t="str">
        <f>IFERROR(__xludf.DUMMYFUNCTION("""COMPUTED_VALUE""")," Bán lẻ ")</f>
        <v>Bán lẻ</v>
      </c>
      <c r="F49" s="939" t="str">
        <f>IFERROR(__xludf.DUMMYFUNCTION("""COMPUTED_VALUE""")," Túi ")</f>
        <v>Túi</v>
      </c>
      <c r="G49" s="940"/>
      <c r="H49" s="943" t="str">
        <f>IFERROR(__xludf.DUMMYFUNCTION("""COMPUTED_VALUE""")," Bán lẻ ")</f>
        <v>Bán lẻ</v>
      </c>
      <c r="I49" s="944" t="str">
        <f>IFERROR(__xludf.DUMMYFUNCTION("""COMPUTED_VALUE""")," Túi ")</f>
        <v>Túi</v>
      </c>
      <c r="J49" s="940"/>
      <c r="K49" s="919"/>
      <c r="L49" s="1"/>
      <c r="M49" s="1"/>
      <c r="N49" s="1"/>
      <c r="O49" s="1"/>
      <c r="P49" s="1"/>
      <c r="Q49" s="1"/>
      <c r="R49" s="1"/>
      <c r="S49" s="1"/>
      <c r="T49" s="1"/>
      <c r="U49" s="1"/>
      <c r="V49" s="919"/>
      <c r="W49" s="967" t="str">
        <f>IFERROR(__xludf.DUMMYFUNCTION("""COMPUTED_VALUE"""),"HKTHU6742")</f>
        <v>HKTHU6742</v>
      </c>
      <c r="X49" s="968" t="str">
        <f>IFERROR(__xludf.DUMMYFUNCTION("""COMPUTED_VALUE""")," 67, 42")</f>
        <v> 67, 42</v>
      </c>
      <c r="Y49" s="969" t="str">
        <f>IFERROR(__xludf.DUMMYFUNCTION("""COMPUTED_VALUE"""),"Túi")</f>
        <v>Túi</v>
      </c>
      <c r="Z49" s="970">
        <f>IFERROR(__xludf.DUMMYFUNCTION("""COMPUTED_VALUE"""),1.0)</f>
        <v>1</v>
      </c>
      <c r="AA49" s="971">
        <f>IFERROR(__xludf.DUMMYFUNCTION("""COMPUTED_VALUE"""),198000.0)</f>
        <v>198000</v>
      </c>
      <c r="AB49" s="972">
        <f>IFERROR(__xludf.DUMMYFUNCTION("""COMPUTED_VALUE"""),140000.0)</f>
        <v>140000</v>
      </c>
      <c r="AC49" s="973">
        <f>IFERROR(__xludf.DUMMYFUNCTION("""COMPUTED_VALUE"""),140000.0)</f>
        <v>140000</v>
      </c>
      <c r="AD49" s="974">
        <f>IFERROR(__xludf.DUMMYFUNCTION("""COMPUTED_VALUE"""),180000.0)</f>
        <v>180000</v>
      </c>
      <c r="AE49" s="975">
        <f>IFERROR(__xludf.DUMMYFUNCTION("""COMPUTED_VALUE"""),127270.0)</f>
        <v>127270</v>
      </c>
      <c r="AF49" s="976">
        <f>IFERROR(__xludf.DUMMYFUNCTION("""COMPUTED_VALUE"""),127270.0)</f>
        <v>127270</v>
      </c>
      <c r="AG49" s="922"/>
      <c r="AH49" s="922"/>
      <c r="AI49" s="922"/>
      <c r="AJ49" s="922"/>
      <c r="AK49" s="922"/>
      <c r="AL49" s="922"/>
      <c r="AM49" s="995"/>
      <c r="AN49" s="995"/>
      <c r="AO49" s="995"/>
      <c r="AP49" s="995"/>
      <c r="AQ49" s="995"/>
    </row>
    <row r="50">
      <c r="A50" s="946"/>
      <c r="B50" s="947"/>
      <c r="C50" s="947"/>
      <c r="D50" s="948"/>
      <c r="E50" s="949"/>
      <c r="F50" s="950" t="str">
        <f>IFERROR(__xludf.DUMMYFUNCTION("""COMPUTED_VALUE""")," Đơn giá ")</f>
        <v>Đơn giá</v>
      </c>
      <c r="G50" s="951" t="str">
        <f>IFERROR(__xludf.DUMMYFUNCTION("""COMPUTED_VALUE""")," Tổng ")</f>
        <v>Tổng</v>
      </c>
      <c r="H50" s="952"/>
      <c r="I50" s="955" t="str">
        <f>IFERROR(__xludf.DUMMYFUNCTION("""COMPUTED_VALUE""")," Đơn giá ")</f>
        <v>Đơn giá</v>
      </c>
      <c r="J50" s="956" t="str">
        <f>IFERROR(__xludf.DUMMYFUNCTION("""COMPUTED_VALUE""")," Tổng ")</f>
        <v>Tổng</v>
      </c>
      <c r="K50" s="919"/>
      <c r="L50" s="1"/>
      <c r="M50" s="1"/>
      <c r="N50" s="1"/>
      <c r="O50" s="1"/>
      <c r="P50" s="1"/>
      <c r="Q50" s="1"/>
      <c r="R50" s="1"/>
      <c r="S50" s="1"/>
      <c r="T50" s="1"/>
      <c r="U50" s="1"/>
      <c r="V50" s="919"/>
      <c r="W50" s="978" t="str">
        <f>IFERROR(__xludf.DUMMYFUNCTION("""COMPUTED_VALUE"""),"HKTHU6754")</f>
        <v>HKTHU6754</v>
      </c>
      <c r="X50" s="979" t="str">
        <f>IFERROR(__xludf.DUMMYFUNCTION("""COMPUTED_VALUE""")," 67, 54")</f>
        <v> 67, 54</v>
      </c>
      <c r="Y50" s="980" t="str">
        <f>IFERROR(__xludf.DUMMYFUNCTION("""COMPUTED_VALUE"""),"Túi")</f>
        <v>Túi</v>
      </c>
      <c r="Z50" s="981">
        <f>IFERROR(__xludf.DUMMYFUNCTION("""COMPUTED_VALUE"""),1.0)</f>
        <v>1</v>
      </c>
      <c r="AA50" s="982">
        <f>IFERROR(__xludf.DUMMYFUNCTION("""COMPUTED_VALUE"""),187000.0)</f>
        <v>187000</v>
      </c>
      <c r="AB50" s="983">
        <f>IFERROR(__xludf.DUMMYFUNCTION("""COMPUTED_VALUE"""),140000.0)</f>
        <v>140000</v>
      </c>
      <c r="AC50" s="984">
        <f>IFERROR(__xludf.DUMMYFUNCTION("""COMPUTED_VALUE"""),140000.0)</f>
        <v>140000</v>
      </c>
      <c r="AD50" s="985">
        <f>IFERROR(__xludf.DUMMYFUNCTION("""COMPUTED_VALUE"""),170000.0)</f>
        <v>170000</v>
      </c>
      <c r="AE50" s="983">
        <f>IFERROR(__xludf.DUMMYFUNCTION("""COMPUTED_VALUE"""),127270.0)</f>
        <v>127270</v>
      </c>
      <c r="AF50" s="984">
        <f>IFERROR(__xludf.DUMMYFUNCTION("""COMPUTED_VALUE"""),127270.0)</f>
        <v>127270</v>
      </c>
      <c r="AG50" s="922"/>
      <c r="AH50" s="922"/>
      <c r="AI50" s="922"/>
      <c r="AJ50" s="922"/>
      <c r="AK50" s="922"/>
      <c r="AL50" s="922"/>
      <c r="AM50" s="995"/>
      <c r="AN50" s="995"/>
      <c r="AO50" s="995"/>
      <c r="AP50" s="995"/>
      <c r="AQ50" s="995"/>
    </row>
    <row r="51">
      <c r="A51" s="958" t="str">
        <f>IFERROR(__xludf.DUMMYFUNCTION("""COMPUTED_VALUE"""),"HKTTHU2816")</f>
        <v>HKTTHU2816</v>
      </c>
      <c r="B51" s="959" t="str">
        <f>IFERROR(__xludf.DUMMYFUNCTION("""COMPUTED_VALUE""")," 28, 16")</f>
        <v> 28, 16</v>
      </c>
      <c r="C51" s="960" t="str">
        <f>IFERROR(__xludf.DUMMYFUNCTION("""COMPUTED_VALUE"""),"Túi")</f>
        <v>Túi</v>
      </c>
      <c r="D51" s="961">
        <f>IFERROR(__xludf.DUMMYFUNCTION("""COMPUTED_VALUE"""),20.0)</f>
        <v>20</v>
      </c>
      <c r="E51" s="962">
        <f>IFERROR(__xludf.DUMMYFUNCTION("""COMPUTED_VALUE"""),59400.0)</f>
        <v>59400</v>
      </c>
      <c r="F51" s="963">
        <f>IFERROR(__xludf.DUMMYFUNCTION("""COMPUTED_VALUE"""),54000.0)</f>
        <v>54000</v>
      </c>
      <c r="G51" s="964">
        <f>IFERROR(__xludf.DUMMYFUNCTION("""COMPUTED_VALUE"""),1080000.0)</f>
        <v>1080000</v>
      </c>
      <c r="H51" s="965">
        <f>IFERROR(__xludf.DUMMYFUNCTION("""COMPUTED_VALUE"""),54000.0)</f>
        <v>54000</v>
      </c>
      <c r="I51" s="963">
        <f>IFERROR(__xludf.DUMMYFUNCTION("""COMPUTED_VALUE"""),49090.0)</f>
        <v>49090</v>
      </c>
      <c r="J51" s="964">
        <f>IFERROR(__xludf.DUMMYFUNCTION("""COMPUTED_VALUE"""),981820.0)</f>
        <v>981820</v>
      </c>
      <c r="K51" s="919"/>
      <c r="L51" s="922"/>
      <c r="M51" s="922"/>
      <c r="N51" s="922"/>
      <c r="O51" s="922"/>
      <c r="P51" s="922"/>
      <c r="Q51" s="922"/>
      <c r="R51" s="922"/>
      <c r="S51" s="922"/>
      <c r="T51" s="922"/>
      <c r="U51" s="922"/>
      <c r="V51" s="919"/>
      <c r="W51" s="967" t="str">
        <f>IFERROR(__xludf.DUMMYFUNCTION("""COMPUTED_VALUE"""),"HKTHU7642")</f>
        <v>HKTHU7642</v>
      </c>
      <c r="X51" s="968" t="str">
        <f>IFERROR(__xludf.DUMMYFUNCTION("""COMPUTED_VALUE""")," 76, 42")</f>
        <v> 76, 42</v>
      </c>
      <c r="Y51" s="969" t="str">
        <f>IFERROR(__xludf.DUMMYFUNCTION("""COMPUTED_VALUE"""),"Túi")</f>
        <v>Túi</v>
      </c>
      <c r="Z51" s="970">
        <f>IFERROR(__xludf.DUMMYFUNCTION("""COMPUTED_VALUE"""),1.0)</f>
        <v>1</v>
      </c>
      <c r="AA51" s="971">
        <f>IFERROR(__xludf.DUMMYFUNCTION("""COMPUTED_VALUE"""),250800.0)</f>
        <v>250800</v>
      </c>
      <c r="AB51" s="972">
        <f>IFERROR(__xludf.DUMMYFUNCTION("""COMPUTED_VALUE"""),150000.0)</f>
        <v>150000</v>
      </c>
      <c r="AC51" s="973">
        <f>IFERROR(__xludf.DUMMYFUNCTION("""COMPUTED_VALUE"""),150000.0)</f>
        <v>150000</v>
      </c>
      <c r="AD51" s="974">
        <f>IFERROR(__xludf.DUMMYFUNCTION("""COMPUTED_VALUE"""),228000.0)</f>
        <v>228000</v>
      </c>
      <c r="AE51" s="975">
        <f>IFERROR(__xludf.DUMMYFUNCTION("""COMPUTED_VALUE"""),136360.0)</f>
        <v>136360</v>
      </c>
      <c r="AF51" s="976">
        <f>IFERROR(__xludf.DUMMYFUNCTION("""COMPUTED_VALUE"""),136360.0)</f>
        <v>136360</v>
      </c>
      <c r="AG51" s="922"/>
      <c r="AH51" s="922"/>
      <c r="AI51" s="922"/>
      <c r="AJ51" s="922"/>
      <c r="AK51" s="922"/>
      <c r="AL51" s="922"/>
      <c r="AM51" s="995"/>
      <c r="AN51" s="995"/>
      <c r="AO51" s="995"/>
      <c r="AP51" s="995"/>
      <c r="AQ51" s="995"/>
    </row>
    <row r="52">
      <c r="A52" s="967" t="str">
        <f>IFERROR(__xludf.DUMMYFUNCTION("""COMPUTED_VALUE"""),"HKTTHU6754")</f>
        <v>HKTTHU6754</v>
      </c>
      <c r="B52" s="968" t="str">
        <f>IFERROR(__xludf.DUMMYFUNCTION("""COMPUTED_VALUE""")," 67, 54")</f>
        <v> 67, 54</v>
      </c>
      <c r="C52" s="969" t="str">
        <f>IFERROR(__xludf.DUMMYFUNCTION("""COMPUTED_VALUE"""),"Túi")</f>
        <v>Túi</v>
      </c>
      <c r="D52" s="970">
        <f>IFERROR(__xludf.DUMMYFUNCTION("""COMPUTED_VALUE"""),1.0)</f>
        <v>1</v>
      </c>
      <c r="E52" s="971">
        <f>IFERROR(__xludf.DUMMYFUNCTION("""COMPUTED_VALUE"""),396000.0)</f>
        <v>396000</v>
      </c>
      <c r="F52" s="972">
        <f>IFERROR(__xludf.DUMMYFUNCTION("""COMPUTED_VALUE"""),360000.0)</f>
        <v>360000</v>
      </c>
      <c r="G52" s="973">
        <f>IFERROR(__xludf.DUMMYFUNCTION("""COMPUTED_VALUE"""),360000.0)</f>
        <v>360000</v>
      </c>
      <c r="H52" s="974">
        <f>IFERROR(__xludf.DUMMYFUNCTION("""COMPUTED_VALUE"""),360000.0)</f>
        <v>360000</v>
      </c>
      <c r="I52" s="975">
        <f>IFERROR(__xludf.DUMMYFUNCTION("""COMPUTED_VALUE"""),327270.0)</f>
        <v>327270</v>
      </c>
      <c r="J52" s="976">
        <f>IFERROR(__xludf.DUMMYFUNCTION("""COMPUTED_VALUE"""),327270.0)</f>
        <v>327270</v>
      </c>
      <c r="K52" s="919"/>
      <c r="L52" s="922"/>
      <c r="M52" s="922"/>
      <c r="N52" s="922"/>
      <c r="O52" s="922"/>
      <c r="P52" s="922"/>
      <c r="Q52" s="922"/>
      <c r="R52" s="922"/>
      <c r="S52" s="922"/>
      <c r="T52" s="922"/>
      <c r="U52" s="922"/>
      <c r="V52" s="919"/>
      <c r="W52" s="978" t="str">
        <f>IFERROR(__xludf.DUMMYFUNCTION("""COMPUTED_VALUE"""),"HKTHU7667")</f>
        <v>HKTHU7667</v>
      </c>
      <c r="X52" s="1011" t="str">
        <f>IFERROR(__xludf.DUMMYFUNCTION("""COMPUTED_VALUE""")," 76, 67")</f>
        <v> 76, 67</v>
      </c>
      <c r="Y52" s="980" t="str">
        <f>IFERROR(__xludf.DUMMYFUNCTION("""COMPUTED_VALUE"""),"Túi")</f>
        <v>Túi</v>
      </c>
      <c r="Z52" s="1012">
        <f>IFERROR(__xludf.DUMMYFUNCTION("""COMPUTED_VALUE"""),1.0)</f>
        <v>1</v>
      </c>
      <c r="AA52" s="982">
        <f>IFERROR(__xludf.DUMMYFUNCTION("""COMPUTED_VALUE"""),236500.0)</f>
        <v>236500</v>
      </c>
      <c r="AB52" s="1009">
        <f>IFERROR(__xludf.DUMMYFUNCTION("""COMPUTED_VALUE"""),150000.0)</f>
        <v>150000</v>
      </c>
      <c r="AC52" s="984">
        <f>IFERROR(__xludf.DUMMYFUNCTION("""COMPUTED_VALUE"""),150000.0)</f>
        <v>150000</v>
      </c>
      <c r="AD52" s="1013">
        <f>IFERROR(__xludf.DUMMYFUNCTION("""COMPUTED_VALUE"""),215000.0)</f>
        <v>215000</v>
      </c>
      <c r="AE52" s="1009">
        <f>IFERROR(__xludf.DUMMYFUNCTION("""COMPUTED_VALUE"""),136360.0)</f>
        <v>136360</v>
      </c>
      <c r="AF52" s="984">
        <f>IFERROR(__xludf.DUMMYFUNCTION("""COMPUTED_VALUE"""),136360.0)</f>
        <v>136360</v>
      </c>
      <c r="AG52" s="922"/>
      <c r="AH52" s="922"/>
      <c r="AI52" s="922"/>
      <c r="AJ52" s="922"/>
      <c r="AK52" s="922"/>
      <c r="AL52" s="922"/>
      <c r="AM52" s="995"/>
      <c r="AN52" s="995"/>
      <c r="AO52" s="995"/>
      <c r="AP52" s="995"/>
      <c r="AQ52" s="995"/>
    </row>
    <row r="53">
      <c r="A53" s="978" t="str">
        <f>IFERROR(__xludf.DUMMYFUNCTION("""COMPUTED_VALUE"""),"HKTTHU4235")</f>
        <v>HKTTHU4235</v>
      </c>
      <c r="B53" s="979" t="str">
        <f>IFERROR(__xludf.DUMMYFUNCTION("""COMPUTED_VALUE""")," 42, 35")</f>
        <v> 42, 35</v>
      </c>
      <c r="C53" s="980" t="str">
        <f>IFERROR(__xludf.DUMMYFUNCTION("""COMPUTED_VALUE"""),"Túi")</f>
        <v>Túi</v>
      </c>
      <c r="D53" s="981">
        <f>IFERROR(__xludf.DUMMYFUNCTION("""COMPUTED_VALUE"""),7.0)</f>
        <v>7</v>
      </c>
      <c r="E53" s="982">
        <f>IFERROR(__xludf.DUMMYFUNCTION("""COMPUTED_VALUE"""),158400.0)</f>
        <v>158400</v>
      </c>
      <c r="F53" s="983">
        <f>IFERROR(__xludf.DUMMYFUNCTION("""COMPUTED_VALUE"""),144000.0)</f>
        <v>144000</v>
      </c>
      <c r="G53" s="984">
        <f>IFERROR(__xludf.DUMMYFUNCTION("""COMPUTED_VALUE"""),1008000.0)</f>
        <v>1008000</v>
      </c>
      <c r="H53" s="985">
        <f>IFERROR(__xludf.DUMMYFUNCTION("""COMPUTED_VALUE"""),144000.0)</f>
        <v>144000</v>
      </c>
      <c r="I53" s="983">
        <f>IFERROR(__xludf.DUMMYFUNCTION("""COMPUTED_VALUE"""),130910.0)</f>
        <v>130910</v>
      </c>
      <c r="J53" s="984">
        <f>IFERROR(__xludf.DUMMYFUNCTION("""COMPUTED_VALUE"""),916360.0)</f>
        <v>916360</v>
      </c>
      <c r="K53" s="919"/>
      <c r="L53" s="922"/>
      <c r="M53" s="922"/>
      <c r="N53" s="922"/>
      <c r="O53" s="922"/>
      <c r="P53" s="922"/>
      <c r="Q53" s="922"/>
      <c r="R53" s="922"/>
      <c r="S53" s="922"/>
      <c r="T53" s="922"/>
      <c r="U53" s="922"/>
      <c r="V53" s="919"/>
      <c r="W53" s="999" t="str">
        <f>IFERROR(__xludf.DUMMYFUNCTION("""COMPUTED_VALUE"""),"HKTHU7954")</f>
        <v>HKTHU7954</v>
      </c>
      <c r="X53" s="1000" t="str">
        <f>IFERROR(__xludf.DUMMYFUNCTION("""COMPUTED_VALUE""")," 79, 54")</f>
        <v> 79, 54</v>
      </c>
      <c r="Y53" s="1001" t="str">
        <f>IFERROR(__xludf.DUMMYFUNCTION("""COMPUTED_VALUE"""),"Túi")</f>
        <v>Túi</v>
      </c>
      <c r="Z53" s="1002">
        <f>IFERROR(__xludf.DUMMYFUNCTION("""COMPUTED_VALUE"""),1.0)</f>
        <v>1</v>
      </c>
      <c r="AA53" s="1003">
        <f>IFERROR(__xludf.DUMMYFUNCTION("""COMPUTED_VALUE"""),330000.0)</f>
        <v>330000</v>
      </c>
      <c r="AB53" s="1004">
        <f>IFERROR(__xludf.DUMMYFUNCTION("""COMPUTED_VALUE"""),150000.0)</f>
        <v>150000</v>
      </c>
      <c r="AC53" s="1005">
        <f>IFERROR(__xludf.DUMMYFUNCTION("""COMPUTED_VALUE"""),150000.0)</f>
        <v>150000</v>
      </c>
      <c r="AD53" s="1006">
        <f>IFERROR(__xludf.DUMMYFUNCTION("""COMPUTED_VALUE"""),300000.0)</f>
        <v>300000</v>
      </c>
      <c r="AE53" s="1007">
        <f>IFERROR(__xludf.DUMMYFUNCTION("""COMPUTED_VALUE"""),136360.0)</f>
        <v>136360</v>
      </c>
      <c r="AF53" s="1008">
        <f>IFERROR(__xludf.DUMMYFUNCTION("""COMPUTED_VALUE"""),136360.0)</f>
        <v>136360</v>
      </c>
      <c r="AG53" s="922"/>
      <c r="AH53" s="922"/>
      <c r="AI53" s="922"/>
      <c r="AJ53" s="922"/>
      <c r="AK53" s="922"/>
      <c r="AL53" s="922"/>
      <c r="AM53" s="995"/>
      <c r="AN53" s="995"/>
      <c r="AO53" s="995"/>
      <c r="AP53" s="995"/>
      <c r="AQ53" s="995"/>
    </row>
    <row r="54">
      <c r="A54" s="967" t="str">
        <f>IFERROR(__xludf.DUMMYFUNCTION("""COMPUTED_VALUE"""),"HKTTHU4228")</f>
        <v>HKTTHU4228</v>
      </c>
      <c r="B54" s="968" t="str">
        <f>IFERROR(__xludf.DUMMYFUNCTION("""COMPUTED_VALUE""")," 42, 28")</f>
        <v> 42, 28</v>
      </c>
      <c r="C54" s="969" t="str">
        <f>IFERROR(__xludf.DUMMYFUNCTION("""COMPUTED_VALUE"""),"Túi")</f>
        <v>Túi</v>
      </c>
      <c r="D54" s="970">
        <f>IFERROR(__xludf.DUMMYFUNCTION("""COMPUTED_VALUE"""),7.0)</f>
        <v>7</v>
      </c>
      <c r="E54" s="971">
        <f>IFERROR(__xludf.DUMMYFUNCTION("""COMPUTED_VALUE"""),158400.0)</f>
        <v>158400</v>
      </c>
      <c r="F54" s="972">
        <f>IFERROR(__xludf.DUMMYFUNCTION("""COMPUTED_VALUE"""),144000.0)</f>
        <v>144000</v>
      </c>
      <c r="G54" s="973">
        <f>IFERROR(__xludf.DUMMYFUNCTION("""COMPUTED_VALUE"""),1008000.0)</f>
        <v>1008000</v>
      </c>
      <c r="H54" s="974">
        <f>IFERROR(__xludf.DUMMYFUNCTION("""COMPUTED_VALUE"""),144000.0)</f>
        <v>144000</v>
      </c>
      <c r="I54" s="975">
        <f>IFERROR(__xludf.DUMMYFUNCTION("""COMPUTED_VALUE"""),130910.0)</f>
        <v>130910</v>
      </c>
      <c r="J54" s="976">
        <f>IFERROR(__xludf.DUMMYFUNCTION("""COMPUTED_VALUE"""),916360.0)</f>
        <v>916360</v>
      </c>
      <c r="K54" s="919"/>
      <c r="L54" s="922"/>
      <c r="M54" s="922"/>
      <c r="N54" s="922"/>
      <c r="O54" s="922"/>
      <c r="P54" s="922"/>
      <c r="Q54" s="922"/>
      <c r="R54" s="922"/>
      <c r="S54" s="922"/>
      <c r="T54" s="922"/>
      <c r="U54" s="922"/>
      <c r="V54" s="919"/>
      <c r="W54" s="1014"/>
      <c r="X54" s="995"/>
      <c r="Y54" s="995"/>
      <c r="Z54" s="995"/>
      <c r="AA54" s="996"/>
      <c r="AB54" s="996"/>
      <c r="AC54" s="996"/>
      <c r="AD54" s="996"/>
      <c r="AE54" s="996"/>
      <c r="AF54" s="997"/>
      <c r="AG54" s="922"/>
      <c r="AH54" s="922"/>
      <c r="AI54" s="922"/>
      <c r="AJ54" s="922"/>
      <c r="AK54" s="922"/>
      <c r="AL54" s="922"/>
      <c r="AM54" s="995"/>
      <c r="AN54" s="995"/>
      <c r="AO54" s="995"/>
      <c r="AP54" s="995"/>
      <c r="AQ54" s="995"/>
    </row>
    <row r="55">
      <c r="A55" s="978" t="str">
        <f>IFERROR(__xludf.DUMMYFUNCTION("""COMPUTED_VALUE"""),"HKTTHU7642")</f>
        <v>HKTTHU7642</v>
      </c>
      <c r="B55" s="979" t="str">
        <f>IFERROR(__xludf.DUMMYFUNCTION("""COMPUTED_VALUE""")," 76, 42")</f>
        <v> 76, 42</v>
      </c>
      <c r="C55" s="980" t="str">
        <f>IFERROR(__xludf.DUMMYFUNCTION("""COMPUTED_VALUE"""),"Túi")</f>
        <v>Túi</v>
      </c>
      <c r="D55" s="981">
        <f>IFERROR(__xludf.DUMMYFUNCTION("""COMPUTED_VALUE"""),1.0)</f>
        <v>1</v>
      </c>
      <c r="E55" s="982">
        <f>IFERROR(__xludf.DUMMYFUNCTION("""COMPUTED_VALUE"""),990000.0)</f>
        <v>990000</v>
      </c>
      <c r="F55" s="983">
        <f>IFERROR(__xludf.DUMMYFUNCTION("""COMPUTED_VALUE"""),900000.0)</f>
        <v>900000</v>
      </c>
      <c r="G55" s="984">
        <f>IFERROR(__xludf.DUMMYFUNCTION("""COMPUTED_VALUE"""),900000.0)</f>
        <v>900000</v>
      </c>
      <c r="H55" s="985">
        <f>IFERROR(__xludf.DUMMYFUNCTION("""COMPUTED_VALUE"""),900000.0)</f>
        <v>900000</v>
      </c>
      <c r="I55" s="983">
        <f>IFERROR(__xludf.DUMMYFUNCTION("""COMPUTED_VALUE"""),818180.0)</f>
        <v>818180</v>
      </c>
      <c r="J55" s="984">
        <f>IFERROR(__xludf.DUMMYFUNCTION("""COMPUTED_VALUE"""),818180.0)</f>
        <v>818180</v>
      </c>
      <c r="K55" s="919"/>
      <c r="L55" s="922"/>
      <c r="M55" s="922"/>
      <c r="N55" s="922"/>
      <c r="O55" s="922"/>
      <c r="P55" s="922"/>
      <c r="Q55" s="922"/>
      <c r="R55" s="922"/>
      <c r="S55" s="922"/>
      <c r="T55" s="922"/>
      <c r="U55" s="922"/>
      <c r="V55" s="919"/>
      <c r="W55" s="1015"/>
      <c r="X55" s="995"/>
      <c r="Y55" s="995"/>
      <c r="Z55" s="995"/>
      <c r="AA55" s="996"/>
      <c r="AB55" s="996"/>
      <c r="AC55" s="996"/>
      <c r="AD55" s="996"/>
      <c r="AE55" s="996"/>
      <c r="AF55" s="997"/>
      <c r="AG55" s="922"/>
      <c r="AH55" s="922"/>
      <c r="AI55" s="922"/>
      <c r="AJ55" s="922"/>
      <c r="AK55" s="922"/>
      <c r="AL55" s="922"/>
      <c r="AM55" s="995"/>
      <c r="AN55" s="995"/>
      <c r="AO55" s="995"/>
      <c r="AP55" s="995"/>
      <c r="AQ55" s="995"/>
    </row>
    <row r="56">
      <c r="A56" s="967" t="str">
        <f>IFERROR(__xludf.DUMMYFUNCTION("""COMPUTED_VALUE"""),"HKTTHU5442")</f>
        <v>HKTTHU5442</v>
      </c>
      <c r="B56" s="968" t="str">
        <f>IFERROR(__xludf.DUMMYFUNCTION("""COMPUTED_VALUE""")," 54, 42")</f>
        <v> 54, 42</v>
      </c>
      <c r="C56" s="969" t="str">
        <f>IFERROR(__xludf.DUMMYFUNCTION("""COMPUTED_VALUE"""),"Túi")</f>
        <v>Túi</v>
      </c>
      <c r="D56" s="970">
        <f>IFERROR(__xludf.DUMMYFUNCTION("""COMPUTED_VALUE"""),3.0)</f>
        <v>3</v>
      </c>
      <c r="E56" s="971">
        <f>IFERROR(__xludf.DUMMYFUNCTION("""COMPUTED_VALUE"""),237600.0)</f>
        <v>237600</v>
      </c>
      <c r="F56" s="972">
        <f>IFERROR(__xludf.DUMMYFUNCTION("""COMPUTED_VALUE"""),216000.0)</f>
        <v>216000</v>
      </c>
      <c r="G56" s="973">
        <f>IFERROR(__xludf.DUMMYFUNCTION("""COMPUTED_VALUE"""),648000.0)</f>
        <v>648000</v>
      </c>
      <c r="H56" s="974">
        <f>IFERROR(__xludf.DUMMYFUNCTION("""COMPUTED_VALUE"""),216000.0)</f>
        <v>216000</v>
      </c>
      <c r="I56" s="975">
        <f>IFERROR(__xludf.DUMMYFUNCTION("""COMPUTED_VALUE"""),196360.0)</f>
        <v>196360</v>
      </c>
      <c r="J56" s="976">
        <f>IFERROR(__xludf.DUMMYFUNCTION("""COMPUTED_VALUE"""),589090.0)</f>
        <v>589090</v>
      </c>
      <c r="K56" s="919"/>
      <c r="L56" s="922"/>
      <c r="M56" s="922"/>
      <c r="N56" s="922"/>
      <c r="O56" s="922"/>
      <c r="P56" s="922"/>
      <c r="Q56" s="922"/>
      <c r="R56" s="922"/>
      <c r="S56" s="922"/>
      <c r="T56" s="922"/>
      <c r="U56" s="922"/>
      <c r="V56" s="919"/>
      <c r="W56" s="1015"/>
      <c r="X56" s="995"/>
      <c r="Y56" s="995"/>
      <c r="Z56" s="995"/>
      <c r="AA56" s="996"/>
      <c r="AB56" s="996"/>
      <c r="AC56" s="996"/>
      <c r="AD56" s="996"/>
      <c r="AE56" s="996"/>
      <c r="AF56" s="997"/>
      <c r="AG56" s="922"/>
      <c r="AH56" s="922"/>
      <c r="AI56" s="922"/>
      <c r="AJ56" s="922"/>
      <c r="AK56" s="922"/>
      <c r="AL56" s="922"/>
      <c r="AM56" s="995"/>
      <c r="AN56" s="995"/>
      <c r="AO56" s="995"/>
      <c r="AP56" s="995"/>
      <c r="AQ56" s="995"/>
    </row>
    <row r="57">
      <c r="A57" s="978" t="str">
        <f>IFERROR(__xludf.DUMMYFUNCTION("""COMPUTED_VALUE"""),"HKTTHU1610")</f>
        <v>HKTTHU1610</v>
      </c>
      <c r="B57" s="979" t="str">
        <f>IFERROR(__xludf.DUMMYFUNCTION("""COMPUTED_VALUE""")," 16, 12")</f>
        <v> 16, 12</v>
      </c>
      <c r="C57" s="980" t="str">
        <f>IFERROR(__xludf.DUMMYFUNCTION("""COMPUTED_VALUE"""),"Túi")</f>
        <v>Túi</v>
      </c>
      <c r="D57" s="981">
        <f>IFERROR(__xludf.DUMMYFUNCTION("""COMPUTED_VALUE"""),80.0)</f>
        <v>80</v>
      </c>
      <c r="E57" s="982">
        <f>IFERROR(__xludf.DUMMYFUNCTION("""COMPUTED_VALUE"""),17820.0)</f>
        <v>17820</v>
      </c>
      <c r="F57" s="983">
        <f>IFERROR(__xludf.DUMMYFUNCTION("""COMPUTED_VALUE"""),16200.0)</f>
        <v>16200</v>
      </c>
      <c r="G57" s="984">
        <f>IFERROR(__xludf.DUMMYFUNCTION("""COMPUTED_VALUE"""),1296000.0)</f>
        <v>1296000</v>
      </c>
      <c r="H57" s="985">
        <f>IFERROR(__xludf.DUMMYFUNCTION("""COMPUTED_VALUE"""),16200.0)</f>
        <v>16200</v>
      </c>
      <c r="I57" s="983">
        <f>IFERROR(__xludf.DUMMYFUNCTION("""COMPUTED_VALUE"""),14730.0)</f>
        <v>14730</v>
      </c>
      <c r="J57" s="984">
        <f>IFERROR(__xludf.DUMMYFUNCTION("""COMPUTED_VALUE"""),1178180.0)</f>
        <v>1178180</v>
      </c>
      <c r="K57" s="919"/>
      <c r="L57" s="922"/>
      <c r="M57" s="922"/>
      <c r="N57" s="922"/>
      <c r="O57" s="922"/>
      <c r="P57" s="922"/>
      <c r="Q57" s="922"/>
      <c r="R57" s="922"/>
      <c r="S57" s="922"/>
      <c r="T57" s="922"/>
      <c r="U57" s="922"/>
      <c r="V57" s="997"/>
      <c r="W57" s="1015"/>
      <c r="X57" s="995"/>
      <c r="Y57" s="995"/>
      <c r="Z57" s="995"/>
      <c r="AA57" s="1016"/>
      <c r="AB57" s="1016"/>
      <c r="AC57" s="1016"/>
      <c r="AD57" s="1016"/>
      <c r="AE57" s="1016"/>
      <c r="AF57" s="1017"/>
      <c r="AG57" s="922"/>
      <c r="AH57" s="922"/>
      <c r="AI57" s="922"/>
      <c r="AJ57" s="922"/>
      <c r="AK57" s="922"/>
      <c r="AL57" s="922"/>
      <c r="AM57" s="995"/>
      <c r="AN57" s="995"/>
      <c r="AO57" s="995"/>
      <c r="AP57" s="995"/>
      <c r="AQ57" s="995"/>
    </row>
    <row r="58">
      <c r="A58" s="999" t="str">
        <f>IFERROR(__xludf.DUMMYFUNCTION("""COMPUTED_VALUE"""),"HKTTHU1210")</f>
        <v>HKTTHU1210</v>
      </c>
      <c r="B58" s="1000" t="str">
        <f>IFERROR(__xludf.DUMMYFUNCTION("""COMPUTED_VALUE""")," 12, 10")</f>
        <v> 12, 10</v>
      </c>
      <c r="C58" s="1001" t="str">
        <f>IFERROR(__xludf.DUMMYFUNCTION("""COMPUTED_VALUE"""),"Túi")</f>
        <v>Túi</v>
      </c>
      <c r="D58" s="1002">
        <f>IFERROR(__xludf.DUMMYFUNCTION("""COMPUTED_VALUE"""),100.0)</f>
        <v>100</v>
      </c>
      <c r="E58" s="1003">
        <f>IFERROR(__xludf.DUMMYFUNCTION("""COMPUTED_VALUE"""),15840.0)</f>
        <v>15840</v>
      </c>
      <c r="F58" s="1004">
        <f>IFERROR(__xludf.DUMMYFUNCTION("""COMPUTED_VALUE"""),14400.0)</f>
        <v>14400</v>
      </c>
      <c r="G58" s="1005">
        <f>IFERROR(__xludf.DUMMYFUNCTION("""COMPUTED_VALUE"""),1440000.0)</f>
        <v>1440000</v>
      </c>
      <c r="H58" s="1006">
        <f>IFERROR(__xludf.DUMMYFUNCTION("""COMPUTED_VALUE"""),14400.0)</f>
        <v>14400</v>
      </c>
      <c r="I58" s="1007">
        <f>IFERROR(__xludf.DUMMYFUNCTION("""COMPUTED_VALUE"""),13090.0)</f>
        <v>13090</v>
      </c>
      <c r="J58" s="1008">
        <f>IFERROR(__xludf.DUMMYFUNCTION("""COMPUTED_VALUE"""),1309090.0)</f>
        <v>1309090</v>
      </c>
      <c r="K58" s="919"/>
      <c r="L58" s="922"/>
      <c r="M58" s="922"/>
      <c r="N58" s="922"/>
      <c r="O58" s="922"/>
      <c r="P58" s="922"/>
      <c r="Q58" s="922"/>
      <c r="R58" s="922"/>
      <c r="S58" s="922"/>
      <c r="T58" s="922"/>
      <c r="U58" s="922"/>
      <c r="V58" s="997"/>
      <c r="W58" s="1015"/>
      <c r="X58" s="995"/>
      <c r="Y58" s="995"/>
      <c r="Z58" s="995"/>
      <c r="AA58" s="996"/>
      <c r="AB58" s="996"/>
      <c r="AC58" s="996"/>
      <c r="AD58" s="996"/>
      <c r="AE58" s="996"/>
      <c r="AF58" s="997"/>
      <c r="AG58" s="922"/>
      <c r="AH58" s="922"/>
      <c r="AI58" s="922"/>
      <c r="AJ58" s="922"/>
      <c r="AK58" s="922"/>
      <c r="AL58" s="922"/>
      <c r="AM58" s="995"/>
      <c r="AN58" s="995"/>
      <c r="AO58" s="995"/>
      <c r="AP58" s="995"/>
      <c r="AQ58" s="995"/>
    </row>
    <row r="59">
      <c r="A59" s="1"/>
      <c r="B59" s="1"/>
      <c r="C59" s="1"/>
      <c r="D59" s="1"/>
      <c r="E59" s="1"/>
      <c r="F59" s="1"/>
      <c r="G59" s="1"/>
      <c r="H59" s="1"/>
      <c r="I59" s="1"/>
      <c r="J59" s="1"/>
      <c r="K59" s="919"/>
      <c r="L59" s="922"/>
      <c r="M59" s="922"/>
      <c r="N59" s="922"/>
      <c r="O59" s="922"/>
      <c r="P59" s="922"/>
      <c r="Q59" s="922"/>
      <c r="R59" s="922"/>
      <c r="S59" s="922"/>
      <c r="T59" s="922"/>
      <c r="U59" s="922"/>
      <c r="V59" s="997"/>
      <c r="W59" s="1015"/>
      <c r="X59" s="995"/>
      <c r="Y59" s="995"/>
      <c r="Z59" s="995"/>
      <c r="AA59" s="996"/>
      <c r="AB59" s="996"/>
      <c r="AC59" s="996"/>
      <c r="AD59" s="996"/>
      <c r="AE59" s="996"/>
      <c r="AF59" s="997"/>
      <c r="AG59" s="922"/>
      <c r="AH59" s="922"/>
      <c r="AI59" s="922"/>
      <c r="AJ59" s="922"/>
      <c r="AK59" s="922"/>
      <c r="AL59" s="922"/>
      <c r="AM59" s="995"/>
      <c r="AN59" s="995"/>
      <c r="AO59" s="995"/>
      <c r="AP59" s="995"/>
      <c r="AQ59" s="995"/>
    </row>
    <row r="60">
      <c r="A60" s="1"/>
      <c r="B60" s="1"/>
      <c r="C60" s="1"/>
      <c r="D60" s="1"/>
      <c r="E60" s="1"/>
      <c r="F60" s="1"/>
      <c r="G60" s="1"/>
      <c r="H60" s="1"/>
      <c r="I60" s="1"/>
      <c r="J60" s="1"/>
      <c r="K60" s="919"/>
      <c r="L60" s="922"/>
      <c r="M60" s="922"/>
      <c r="N60" s="922"/>
      <c r="O60" s="922"/>
      <c r="P60" s="922"/>
      <c r="Q60" s="922"/>
      <c r="R60" s="922"/>
      <c r="S60" s="922"/>
      <c r="T60" s="922"/>
      <c r="U60" s="922"/>
      <c r="V60" s="997"/>
      <c r="W60" s="1015"/>
      <c r="X60" s="995"/>
      <c r="Y60" s="995"/>
      <c r="Z60" s="995"/>
      <c r="AA60" s="996"/>
      <c r="AB60" s="996"/>
      <c r="AC60" s="996"/>
      <c r="AD60" s="996"/>
      <c r="AE60" s="996"/>
      <c r="AF60" s="997"/>
      <c r="AG60" s="922"/>
      <c r="AH60" s="922"/>
      <c r="AI60" s="922"/>
      <c r="AJ60" s="922"/>
      <c r="AK60" s="922"/>
      <c r="AL60" s="922"/>
      <c r="AM60" s="995"/>
      <c r="AN60" s="995"/>
      <c r="AO60" s="995"/>
      <c r="AP60" s="995"/>
      <c r="AQ60" s="995"/>
    </row>
    <row r="61">
      <c r="A61" s="1018"/>
      <c r="B61" s="1019"/>
      <c r="C61" s="995"/>
      <c r="D61" s="995"/>
      <c r="E61" s="997"/>
      <c r="F61" s="996"/>
      <c r="G61" s="996"/>
      <c r="H61" s="997"/>
      <c r="I61" s="997"/>
      <c r="J61" s="997"/>
      <c r="K61" s="919"/>
      <c r="L61" s="922"/>
      <c r="M61" s="922"/>
      <c r="N61" s="922"/>
      <c r="O61" s="922"/>
      <c r="P61" s="922"/>
      <c r="Q61" s="922"/>
      <c r="R61" s="922"/>
      <c r="S61" s="922"/>
      <c r="T61" s="922"/>
      <c r="U61" s="922"/>
      <c r="V61" s="997"/>
      <c r="W61" s="1015"/>
      <c r="X61" s="995"/>
      <c r="Y61" s="995"/>
      <c r="Z61" s="995"/>
      <c r="AA61" s="996"/>
      <c r="AB61" s="996"/>
      <c r="AC61" s="996"/>
      <c r="AD61" s="996"/>
      <c r="AE61" s="996"/>
      <c r="AF61" s="997"/>
      <c r="AG61" s="922"/>
      <c r="AH61" s="922"/>
      <c r="AI61" s="922"/>
      <c r="AJ61" s="922"/>
      <c r="AK61" s="922"/>
      <c r="AL61" s="922"/>
      <c r="AM61" s="995"/>
      <c r="AN61" s="995"/>
      <c r="AO61" s="995"/>
      <c r="AP61" s="995"/>
      <c r="AQ61" s="995"/>
    </row>
    <row r="62">
      <c r="A62" s="1018"/>
      <c r="B62" s="1019"/>
      <c r="C62" s="995"/>
      <c r="D62" s="995"/>
      <c r="E62" s="997"/>
      <c r="F62" s="996"/>
      <c r="G62" s="996"/>
      <c r="H62" s="997"/>
      <c r="I62" s="997"/>
      <c r="J62" s="997"/>
      <c r="K62" s="922"/>
      <c r="L62" s="922"/>
      <c r="M62" s="922"/>
      <c r="N62" s="922"/>
      <c r="O62" s="922"/>
      <c r="P62" s="922"/>
      <c r="Q62" s="922"/>
      <c r="R62" s="922"/>
      <c r="S62" s="922"/>
      <c r="T62" s="922"/>
      <c r="U62" s="922"/>
      <c r="V62" s="997"/>
      <c r="W62" s="1015"/>
      <c r="X62" s="995"/>
      <c r="Y62" s="995"/>
      <c r="Z62" s="995"/>
      <c r="AA62" s="996"/>
      <c r="AB62" s="996"/>
      <c r="AC62" s="996"/>
      <c r="AD62" s="996"/>
      <c r="AE62" s="996"/>
      <c r="AF62" s="997"/>
      <c r="AG62" s="922"/>
      <c r="AH62" s="922"/>
      <c r="AI62" s="922"/>
      <c r="AJ62" s="922"/>
      <c r="AK62" s="922"/>
      <c r="AL62" s="922"/>
      <c r="AM62" s="995"/>
      <c r="AN62" s="995"/>
      <c r="AO62" s="995"/>
      <c r="AP62" s="995"/>
      <c r="AQ62" s="995"/>
    </row>
    <row r="63">
      <c r="A63" s="1018"/>
      <c r="B63" s="1019"/>
      <c r="C63" s="995"/>
      <c r="D63" s="995"/>
      <c r="E63" s="997"/>
      <c r="F63" s="996"/>
      <c r="G63" s="996"/>
      <c r="H63" s="997"/>
      <c r="I63" s="997"/>
      <c r="J63" s="997"/>
      <c r="K63" s="922"/>
      <c r="L63" s="922"/>
      <c r="M63" s="922"/>
      <c r="N63" s="922"/>
      <c r="O63" s="922"/>
      <c r="P63" s="922"/>
      <c r="Q63" s="922"/>
      <c r="R63" s="922"/>
      <c r="S63" s="922"/>
      <c r="T63" s="922"/>
      <c r="U63" s="922"/>
      <c r="V63" s="997"/>
      <c r="W63" s="1015"/>
      <c r="X63" s="995"/>
      <c r="Y63" s="995"/>
      <c r="Z63" s="995"/>
      <c r="AA63" s="996"/>
      <c r="AB63" s="996"/>
      <c r="AC63" s="996"/>
      <c r="AD63" s="996"/>
      <c r="AE63" s="996"/>
      <c r="AF63" s="997"/>
      <c r="AG63" s="922"/>
      <c r="AH63" s="922"/>
      <c r="AI63" s="922"/>
      <c r="AJ63" s="922"/>
      <c r="AK63" s="922"/>
      <c r="AL63" s="922"/>
      <c r="AM63" s="995"/>
      <c r="AN63" s="995"/>
      <c r="AO63" s="995"/>
      <c r="AP63" s="995"/>
      <c r="AQ63" s="995"/>
    </row>
    <row r="64">
      <c r="A64" s="1018"/>
      <c r="B64" s="1019"/>
      <c r="C64" s="995"/>
      <c r="D64" s="995"/>
      <c r="E64" s="997"/>
      <c r="F64" s="996"/>
      <c r="G64" s="996"/>
      <c r="H64" s="997"/>
      <c r="I64" s="997"/>
      <c r="J64" s="997"/>
      <c r="K64" s="922"/>
      <c r="L64" s="922"/>
      <c r="M64" s="922"/>
      <c r="N64" s="922"/>
      <c r="O64" s="922"/>
      <c r="P64" s="922"/>
      <c r="Q64" s="922"/>
      <c r="R64" s="922"/>
      <c r="S64" s="922"/>
      <c r="T64" s="922"/>
      <c r="U64" s="922"/>
      <c r="V64" s="997"/>
      <c r="W64" s="1015"/>
      <c r="X64" s="995"/>
      <c r="Y64" s="995"/>
      <c r="Z64" s="995"/>
      <c r="AA64" s="996"/>
      <c r="AB64" s="996"/>
      <c r="AC64" s="996"/>
      <c r="AD64" s="996"/>
      <c r="AE64" s="996"/>
      <c r="AF64" s="997"/>
      <c r="AG64" s="922"/>
      <c r="AH64" s="922"/>
      <c r="AI64" s="922"/>
      <c r="AJ64" s="922"/>
      <c r="AK64" s="922"/>
      <c r="AL64" s="922"/>
      <c r="AM64" s="995"/>
      <c r="AN64" s="995"/>
      <c r="AO64" s="995"/>
      <c r="AP64" s="995"/>
      <c r="AQ64" s="995"/>
    </row>
    <row r="65">
      <c r="A65" s="1018"/>
      <c r="B65" s="1019"/>
      <c r="C65" s="995"/>
      <c r="D65" s="995"/>
      <c r="E65" s="997"/>
      <c r="F65" s="996"/>
      <c r="G65" s="996"/>
      <c r="H65" s="997"/>
      <c r="I65" s="997"/>
      <c r="J65" s="997"/>
      <c r="K65" s="922"/>
      <c r="L65" s="922"/>
      <c r="M65" s="922"/>
      <c r="N65" s="922"/>
      <c r="O65" s="922"/>
      <c r="P65" s="922"/>
      <c r="Q65" s="922"/>
      <c r="R65" s="922"/>
      <c r="S65" s="922"/>
      <c r="T65" s="922"/>
      <c r="U65" s="922"/>
      <c r="V65" s="997"/>
      <c r="W65" s="1015"/>
      <c r="X65" s="995"/>
      <c r="Y65" s="995"/>
      <c r="Z65" s="995"/>
      <c r="AA65" s="996"/>
      <c r="AB65" s="996"/>
      <c r="AC65" s="996"/>
      <c r="AD65" s="996"/>
      <c r="AE65" s="996"/>
      <c r="AF65" s="997"/>
      <c r="AG65" s="922"/>
      <c r="AH65" s="922"/>
      <c r="AI65" s="922"/>
      <c r="AJ65" s="922"/>
      <c r="AK65" s="922"/>
      <c r="AL65" s="922"/>
      <c r="AM65" s="995"/>
      <c r="AN65" s="995"/>
      <c r="AO65" s="995"/>
      <c r="AP65" s="995"/>
      <c r="AQ65" s="995"/>
    </row>
    <row r="66">
      <c r="A66" s="1018"/>
      <c r="B66" s="1019"/>
      <c r="C66" s="995"/>
      <c r="D66" s="995"/>
      <c r="E66" s="997"/>
      <c r="F66" s="996"/>
      <c r="G66" s="996"/>
      <c r="H66" s="997"/>
      <c r="I66" s="997"/>
      <c r="J66" s="997"/>
      <c r="K66" s="922"/>
      <c r="L66" s="922"/>
      <c r="M66" s="922"/>
      <c r="N66" s="922"/>
      <c r="O66" s="922"/>
      <c r="P66" s="922"/>
      <c r="Q66" s="922"/>
      <c r="R66" s="922"/>
      <c r="S66" s="922"/>
      <c r="T66" s="922"/>
      <c r="U66" s="922"/>
      <c r="V66" s="997"/>
      <c r="W66" s="1015"/>
      <c r="X66" s="995"/>
      <c r="Y66" s="995"/>
      <c r="Z66" s="995"/>
      <c r="AA66" s="996"/>
      <c r="AB66" s="996"/>
      <c r="AC66" s="996"/>
      <c r="AD66" s="996"/>
      <c r="AE66" s="996"/>
      <c r="AF66" s="997"/>
      <c r="AG66" s="922"/>
      <c r="AH66" s="922"/>
      <c r="AI66" s="922"/>
      <c r="AJ66" s="922"/>
      <c r="AK66" s="922"/>
      <c r="AL66" s="922"/>
      <c r="AM66" s="995"/>
      <c r="AN66" s="995"/>
      <c r="AO66" s="995"/>
      <c r="AP66" s="995"/>
      <c r="AQ66" s="995"/>
    </row>
    <row r="67">
      <c r="A67" s="1018"/>
      <c r="B67" s="1019"/>
      <c r="C67" s="995"/>
      <c r="D67" s="995"/>
      <c r="E67" s="997"/>
      <c r="F67" s="996"/>
      <c r="G67" s="996"/>
      <c r="H67" s="997"/>
      <c r="I67" s="997"/>
      <c r="J67" s="997"/>
      <c r="K67" s="922"/>
      <c r="L67" s="922"/>
      <c r="M67" s="922"/>
      <c r="N67" s="922"/>
      <c r="O67" s="922"/>
      <c r="P67" s="922"/>
      <c r="Q67" s="922"/>
      <c r="R67" s="922"/>
      <c r="S67" s="922"/>
      <c r="T67" s="922"/>
      <c r="U67" s="922"/>
      <c r="V67" s="997"/>
      <c r="W67" s="1015"/>
      <c r="X67" s="995"/>
      <c r="Y67" s="995"/>
      <c r="Z67" s="995"/>
      <c r="AA67" s="996"/>
      <c r="AB67" s="996"/>
      <c r="AC67" s="996"/>
      <c r="AD67" s="996"/>
      <c r="AE67" s="996"/>
      <c r="AF67" s="997"/>
      <c r="AG67" s="922"/>
      <c r="AH67" s="922"/>
      <c r="AI67" s="922"/>
      <c r="AJ67" s="922"/>
      <c r="AK67" s="922"/>
      <c r="AL67" s="922"/>
      <c r="AM67" s="995"/>
      <c r="AN67" s="995"/>
      <c r="AO67" s="995"/>
      <c r="AP67" s="995"/>
      <c r="AQ67" s="995"/>
    </row>
    <row r="68">
      <c r="A68" s="1018"/>
      <c r="B68" s="1019"/>
      <c r="C68" s="995"/>
      <c r="D68" s="995"/>
      <c r="E68" s="997"/>
      <c r="F68" s="996"/>
      <c r="G68" s="996"/>
      <c r="H68" s="997"/>
      <c r="I68" s="997"/>
      <c r="J68" s="997"/>
      <c r="K68" s="922"/>
      <c r="L68" s="922"/>
      <c r="M68" s="922"/>
      <c r="N68" s="922"/>
      <c r="O68" s="922"/>
      <c r="P68" s="922"/>
      <c r="Q68" s="922"/>
      <c r="R68" s="922"/>
      <c r="S68" s="922"/>
      <c r="T68" s="922"/>
      <c r="U68" s="922"/>
      <c r="V68" s="997"/>
      <c r="W68" s="1015"/>
      <c r="X68" s="995"/>
      <c r="Y68" s="995"/>
      <c r="Z68" s="995"/>
      <c r="AA68" s="996"/>
      <c r="AB68" s="996"/>
      <c r="AC68" s="996"/>
      <c r="AD68" s="996"/>
      <c r="AE68" s="996"/>
      <c r="AF68" s="997"/>
      <c r="AG68" s="922"/>
      <c r="AH68" s="922"/>
      <c r="AI68" s="922"/>
      <c r="AJ68" s="922"/>
      <c r="AK68" s="922"/>
      <c r="AL68" s="922"/>
      <c r="AM68" s="995"/>
      <c r="AN68" s="995"/>
      <c r="AO68" s="995"/>
      <c r="AP68" s="995"/>
      <c r="AQ68" s="995"/>
    </row>
    <row r="69">
      <c r="A69" s="1018"/>
      <c r="B69" s="1019"/>
      <c r="C69" s="995"/>
      <c r="D69" s="995"/>
      <c r="E69" s="997"/>
      <c r="F69" s="996"/>
      <c r="G69" s="996"/>
      <c r="H69" s="997"/>
      <c r="I69" s="997"/>
      <c r="J69" s="997"/>
      <c r="K69" s="922"/>
      <c r="L69" s="922"/>
      <c r="M69" s="922"/>
      <c r="N69" s="922"/>
      <c r="O69" s="922"/>
      <c r="P69" s="922"/>
      <c r="Q69" s="922"/>
      <c r="R69" s="922"/>
      <c r="S69" s="922"/>
      <c r="T69" s="922"/>
      <c r="U69" s="922"/>
      <c r="V69" s="997"/>
      <c r="W69" s="1015"/>
      <c r="X69" s="995"/>
      <c r="Y69" s="995"/>
      <c r="Z69" s="995"/>
      <c r="AA69" s="996"/>
      <c r="AB69" s="996"/>
      <c r="AC69" s="996"/>
      <c r="AD69" s="996"/>
      <c r="AE69" s="996"/>
      <c r="AF69" s="997"/>
      <c r="AG69" s="922"/>
      <c r="AH69" s="922"/>
      <c r="AI69" s="922"/>
      <c r="AJ69" s="922"/>
      <c r="AK69" s="922"/>
      <c r="AL69" s="922"/>
      <c r="AM69" s="995"/>
      <c r="AN69" s="995"/>
      <c r="AO69" s="995"/>
      <c r="AP69" s="995"/>
      <c r="AQ69" s="995"/>
    </row>
    <row r="70">
      <c r="A70" s="1018"/>
      <c r="B70" s="1019"/>
      <c r="C70" s="995"/>
      <c r="D70" s="995"/>
      <c r="E70" s="997"/>
      <c r="F70" s="996"/>
      <c r="G70" s="996"/>
      <c r="H70" s="997"/>
      <c r="I70" s="997"/>
      <c r="J70" s="997"/>
      <c r="K70" s="922"/>
      <c r="L70" s="922"/>
      <c r="M70" s="922"/>
      <c r="N70" s="922"/>
      <c r="O70" s="922"/>
      <c r="P70" s="922"/>
      <c r="Q70" s="922"/>
      <c r="R70" s="922"/>
      <c r="S70" s="922"/>
      <c r="T70" s="922"/>
      <c r="U70" s="922"/>
      <c r="V70" s="997"/>
      <c r="W70" s="1015"/>
      <c r="X70" s="995"/>
      <c r="Y70" s="995"/>
      <c r="Z70" s="995"/>
      <c r="AA70" s="996"/>
      <c r="AB70" s="996"/>
      <c r="AC70" s="996"/>
      <c r="AD70" s="996"/>
      <c r="AE70" s="996"/>
      <c r="AF70" s="997"/>
      <c r="AG70" s="922"/>
      <c r="AH70" s="922"/>
      <c r="AI70" s="922"/>
      <c r="AJ70" s="922"/>
      <c r="AK70" s="922"/>
      <c r="AL70" s="922"/>
      <c r="AM70" s="995"/>
      <c r="AN70" s="995"/>
      <c r="AO70" s="995"/>
      <c r="AP70" s="995"/>
      <c r="AQ70" s="995"/>
    </row>
  </sheetData>
  <mergeCells count="71">
    <mergeCell ref="AL5:AN5"/>
    <mergeCell ref="AM6:AN6"/>
    <mergeCell ref="AO5:AQ5"/>
    <mergeCell ref="AP6:AQ6"/>
    <mergeCell ref="AH5:AH7"/>
    <mergeCell ref="AI5:AI7"/>
    <mergeCell ref="AJ5:AJ7"/>
    <mergeCell ref="AK5:AK7"/>
    <mergeCell ref="AD6:AD7"/>
    <mergeCell ref="AL6:AL7"/>
    <mergeCell ref="AO6:AO7"/>
    <mergeCell ref="L5:L7"/>
    <mergeCell ref="M5:M7"/>
    <mergeCell ref="N5:N7"/>
    <mergeCell ref="O5:O7"/>
    <mergeCell ref="E5:G5"/>
    <mergeCell ref="F6:G6"/>
    <mergeCell ref="H5:J5"/>
    <mergeCell ref="I6:J6"/>
    <mergeCell ref="F2:R3"/>
    <mergeCell ref="A5:A7"/>
    <mergeCell ref="B5:B7"/>
    <mergeCell ref="C5:C7"/>
    <mergeCell ref="D5:D7"/>
    <mergeCell ref="E6:E7"/>
    <mergeCell ref="H6:H7"/>
    <mergeCell ref="P5:R5"/>
    <mergeCell ref="Q6:R6"/>
    <mergeCell ref="AD5:AF5"/>
    <mergeCell ref="AE6:AF6"/>
    <mergeCell ref="D48:D50"/>
    <mergeCell ref="E49:E50"/>
    <mergeCell ref="F49:G49"/>
    <mergeCell ref="H49:H50"/>
    <mergeCell ref="D28:D30"/>
    <mergeCell ref="E29:E30"/>
    <mergeCell ref="A48:A50"/>
    <mergeCell ref="B48:B50"/>
    <mergeCell ref="C48:C50"/>
    <mergeCell ref="E48:G48"/>
    <mergeCell ref="H48:J48"/>
    <mergeCell ref="I49:J49"/>
    <mergeCell ref="AA5:AC5"/>
    <mergeCell ref="AB6:AC6"/>
    <mergeCell ref="W5:W7"/>
    <mergeCell ref="X5:X7"/>
    <mergeCell ref="Y5:Y7"/>
    <mergeCell ref="Z5:Z7"/>
    <mergeCell ref="P6:P7"/>
    <mergeCell ref="S6:S7"/>
    <mergeCell ref="AA6:AA7"/>
    <mergeCell ref="H28:J28"/>
    <mergeCell ref="L28:L30"/>
    <mergeCell ref="H29:H30"/>
    <mergeCell ref="I29:J29"/>
    <mergeCell ref="M28:M30"/>
    <mergeCell ref="N28:N30"/>
    <mergeCell ref="O28:O30"/>
    <mergeCell ref="P28:R28"/>
    <mergeCell ref="P29:P30"/>
    <mergeCell ref="Q29:R29"/>
    <mergeCell ref="S28:U28"/>
    <mergeCell ref="S29:S30"/>
    <mergeCell ref="T29:U29"/>
    <mergeCell ref="S5:U5"/>
    <mergeCell ref="T6:U6"/>
    <mergeCell ref="A28:A30"/>
    <mergeCell ref="B28:B30"/>
    <mergeCell ref="C28:C30"/>
    <mergeCell ref="E28:G28"/>
    <mergeCell ref="F29:G2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8.63"/>
    <col customWidth="1" min="2" max="2" width="23.88"/>
    <col customWidth="1" min="3" max="3" width="10.13"/>
    <col customWidth="1" min="5" max="7" width="17.38"/>
  </cols>
  <sheetData>
    <row r="1">
      <c r="A1" s="1020"/>
      <c r="B1" s="49"/>
      <c r="C1" s="1021"/>
      <c r="D1" s="1021"/>
      <c r="E1" s="1021"/>
      <c r="F1" s="1021"/>
      <c r="G1" s="1021"/>
      <c r="H1" s="1021"/>
      <c r="I1" s="1021"/>
      <c r="J1" s="1021"/>
      <c r="K1" s="1021"/>
      <c r="L1" s="49"/>
    </row>
    <row r="2">
      <c r="A2" s="1020"/>
      <c r="B2" s="1021"/>
      <c r="C2" s="1022" t="s">
        <v>709</v>
      </c>
      <c r="H2" s="1021"/>
      <c r="I2" s="1021"/>
      <c r="J2" s="1021"/>
      <c r="K2" s="1021"/>
      <c r="L2" s="49"/>
    </row>
    <row r="3">
      <c r="A3" s="1020"/>
      <c r="B3" s="1020"/>
      <c r="H3" s="1020"/>
      <c r="I3" s="1020"/>
      <c r="J3" s="1020"/>
      <c r="K3" s="1023"/>
      <c r="L3" s="49"/>
    </row>
    <row r="4">
      <c r="A4" s="1020"/>
      <c r="B4" s="1020"/>
      <c r="C4" s="1020"/>
      <c r="D4" s="1020"/>
      <c r="E4" s="1020"/>
      <c r="F4" s="1020"/>
      <c r="G4" s="1020"/>
      <c r="H4" s="1020"/>
      <c r="I4" s="1020"/>
      <c r="J4" s="1020"/>
      <c r="K4" s="1020"/>
      <c r="L4" s="49"/>
    </row>
    <row r="5" ht="19.5" customHeight="1">
      <c r="A5" s="1024" t="s">
        <v>710</v>
      </c>
      <c r="B5" s="1025" t="s">
        <v>201</v>
      </c>
      <c r="C5" s="1026" t="s">
        <v>151</v>
      </c>
      <c r="D5" s="1027" t="s">
        <v>711</v>
      </c>
      <c r="E5" s="1028"/>
      <c r="F5" s="1028"/>
      <c r="G5" s="1029"/>
      <c r="H5" s="1030" t="s">
        <v>712</v>
      </c>
      <c r="I5" s="1031"/>
      <c r="J5" s="1032" t="s">
        <v>70</v>
      </c>
      <c r="K5" s="1031"/>
      <c r="L5" s="49"/>
    </row>
    <row r="6" ht="19.5" customHeight="1">
      <c r="A6" s="1033"/>
      <c r="B6" s="1034"/>
      <c r="C6" s="1034"/>
      <c r="D6" s="1035"/>
      <c r="E6" s="1036"/>
      <c r="F6" s="1036"/>
      <c r="G6" s="1037"/>
      <c r="H6" s="1038" t="s">
        <v>713</v>
      </c>
      <c r="I6" s="1039" t="s">
        <v>714</v>
      </c>
      <c r="J6" s="1040" t="s">
        <v>713</v>
      </c>
      <c r="K6" s="1041" t="s">
        <v>714</v>
      </c>
      <c r="L6" s="49"/>
    </row>
    <row r="7">
      <c r="A7" s="1042" t="s">
        <v>715</v>
      </c>
      <c r="B7" s="1043" t="s">
        <v>716</v>
      </c>
      <c r="C7" s="1044">
        <f>iferror(vlookup(A7,'TỒN'!$A:$E,5,false),)</f>
        <v>0</v>
      </c>
      <c r="D7" s="1045" t="s">
        <v>10</v>
      </c>
      <c r="E7" s="1046" t="s">
        <v>717</v>
      </c>
      <c r="F7" s="1046" t="s">
        <v>718</v>
      </c>
      <c r="G7" s="1047" t="s">
        <v>718</v>
      </c>
      <c r="H7" s="1048">
        <v>156090.0</v>
      </c>
      <c r="I7" s="1049">
        <v>141900.0</v>
      </c>
      <c r="J7" s="1048">
        <f t="shared" ref="J7:K7" si="1">round(I7/1.1,-2)</f>
        <v>129000</v>
      </c>
      <c r="K7" s="1049">
        <f t="shared" si="1"/>
        <v>117300</v>
      </c>
      <c r="L7" s="49"/>
    </row>
    <row r="8">
      <c r="A8" s="1050" t="s">
        <v>719</v>
      </c>
      <c r="B8" s="1051"/>
      <c r="C8" s="1052">
        <f>iferror(vlookup(A8,'TỒN'!$A:$E,5,false),)</f>
        <v>0</v>
      </c>
      <c r="D8" s="1053" t="s">
        <v>720</v>
      </c>
      <c r="E8" s="1054" t="s">
        <v>721</v>
      </c>
      <c r="F8" s="1054" t="s">
        <v>722</v>
      </c>
      <c r="G8" s="1055" t="s">
        <v>722</v>
      </c>
      <c r="H8" s="1056"/>
      <c r="I8" s="1057"/>
      <c r="J8" s="1056"/>
      <c r="K8" s="1057"/>
      <c r="L8" s="49"/>
    </row>
    <row r="9">
      <c r="A9" s="1050" t="s">
        <v>723</v>
      </c>
      <c r="B9" s="1058" t="s">
        <v>724</v>
      </c>
      <c r="C9" s="1052">
        <f>iferror(vlookup(A9,'TỒN'!$A:$E,5,false),)</f>
        <v>4</v>
      </c>
      <c r="D9" s="1059" t="s">
        <v>10</v>
      </c>
      <c r="E9" s="1060" t="s">
        <v>717</v>
      </c>
      <c r="F9" s="1060" t="s">
        <v>725</v>
      </c>
      <c r="G9" s="1061" t="s">
        <v>718</v>
      </c>
      <c r="H9" s="1062">
        <v>148830.0</v>
      </c>
      <c r="I9" s="1063">
        <v>135300.0</v>
      </c>
      <c r="J9" s="1062">
        <f t="shared" ref="J9:K9" si="2">round(I9/1.1,-2)</f>
        <v>123000</v>
      </c>
      <c r="K9" s="1063">
        <f t="shared" si="2"/>
        <v>111800</v>
      </c>
      <c r="L9" s="49"/>
    </row>
    <row r="10">
      <c r="A10" s="1050" t="s">
        <v>726</v>
      </c>
      <c r="B10" s="1051"/>
      <c r="C10" s="1052">
        <f>iferror(vlookup(A10,'TỒN'!$A:$E,5,false),)</f>
        <v>0</v>
      </c>
      <c r="D10" s="1053" t="s">
        <v>720</v>
      </c>
      <c r="E10" s="1054" t="s">
        <v>721</v>
      </c>
      <c r="F10" s="1054" t="s">
        <v>722</v>
      </c>
      <c r="G10" s="1055" t="s">
        <v>722</v>
      </c>
      <c r="H10" s="1056"/>
      <c r="I10" s="1057"/>
      <c r="J10" s="1056"/>
      <c r="K10" s="1057"/>
      <c r="L10" s="49"/>
    </row>
    <row r="11">
      <c r="A11" s="1064" t="s">
        <v>727</v>
      </c>
      <c r="B11" s="1065" t="s">
        <v>728</v>
      </c>
      <c r="C11" s="1052">
        <f>iferror(vlookup(A11,'TỒN'!$A:$E,5,false),)</f>
        <v>0</v>
      </c>
      <c r="D11" s="1059" t="s">
        <v>10</v>
      </c>
      <c r="E11" s="1060" t="s">
        <v>729</v>
      </c>
      <c r="F11" s="1060" t="s">
        <v>718</v>
      </c>
      <c r="G11" s="1061" t="s">
        <v>718</v>
      </c>
      <c r="H11" s="1062">
        <v>242000.00000000006</v>
      </c>
      <c r="I11" s="1063">
        <v>220000.00000000003</v>
      </c>
      <c r="J11" s="1062">
        <f t="shared" ref="J11:K11" si="3">round(I11/1.1,-2)</f>
        <v>200000</v>
      </c>
      <c r="K11" s="1063">
        <f t="shared" si="3"/>
        <v>181800</v>
      </c>
      <c r="L11" s="49"/>
    </row>
    <row r="12">
      <c r="A12" s="1064" t="s">
        <v>730</v>
      </c>
      <c r="B12" s="1051"/>
      <c r="C12" s="1052">
        <f>iferror(vlookup(A12,'TỒN'!$A:$E,5,false),)</f>
        <v>38</v>
      </c>
      <c r="D12" s="1053" t="s">
        <v>720</v>
      </c>
      <c r="E12" s="1054" t="s">
        <v>721</v>
      </c>
      <c r="F12" s="1054" t="s">
        <v>722</v>
      </c>
      <c r="G12" s="1055" t="s">
        <v>722</v>
      </c>
      <c r="H12" s="1056"/>
      <c r="I12" s="1057"/>
      <c r="J12" s="1056"/>
      <c r="K12" s="1057"/>
      <c r="L12" s="49"/>
    </row>
    <row r="13">
      <c r="A13" s="1066" t="s">
        <v>731</v>
      </c>
      <c r="B13" s="1067" t="s">
        <v>732</v>
      </c>
      <c r="C13" s="1052">
        <f>iferror(vlookup(A13,'TỒN'!$A:$E,5,false),)</f>
        <v>0</v>
      </c>
      <c r="D13" s="1059" t="s">
        <v>10</v>
      </c>
      <c r="E13" s="1060" t="s">
        <v>733</v>
      </c>
      <c r="F13" s="1060" t="s">
        <v>734</v>
      </c>
      <c r="G13" s="1061" t="s">
        <v>718</v>
      </c>
      <c r="H13" s="1062">
        <v>242000.00000000006</v>
      </c>
      <c r="I13" s="1063">
        <v>220000.00000000003</v>
      </c>
      <c r="J13" s="1062">
        <f t="shared" ref="J13:K13" si="4">round(I13/1.1,-2)</f>
        <v>200000</v>
      </c>
      <c r="K13" s="1063">
        <f t="shared" si="4"/>
        <v>181800</v>
      </c>
      <c r="L13" s="49"/>
    </row>
    <row r="14">
      <c r="A14" s="1066" t="s">
        <v>735</v>
      </c>
      <c r="B14" s="1051"/>
      <c r="C14" s="1052">
        <f>iferror(vlookup(A14,'TỒN'!$A:$E,5,false),)</f>
        <v>43</v>
      </c>
      <c r="D14" s="1053" t="s">
        <v>720</v>
      </c>
      <c r="E14" s="1054" t="s">
        <v>736</v>
      </c>
      <c r="F14" s="1054" t="s">
        <v>722</v>
      </c>
      <c r="G14" s="1055" t="s">
        <v>722</v>
      </c>
      <c r="H14" s="1056"/>
      <c r="I14" s="1057"/>
      <c r="J14" s="1056"/>
      <c r="K14" s="1057"/>
      <c r="L14" s="49"/>
    </row>
    <row r="15">
      <c r="A15" s="1068" t="s">
        <v>737</v>
      </c>
      <c r="B15" s="1069" t="s">
        <v>738</v>
      </c>
      <c r="C15" s="1052">
        <f>iferror(vlookup(A15,'TỒN'!$A:$E,5,false),)</f>
        <v>0</v>
      </c>
      <c r="D15" s="1059" t="s">
        <v>10</v>
      </c>
      <c r="E15" s="1060" t="s">
        <v>739</v>
      </c>
      <c r="F15" s="1060" t="s">
        <v>740</v>
      </c>
      <c r="G15" s="1061" t="s">
        <v>725</v>
      </c>
      <c r="H15" s="1062">
        <v>275880.00000000006</v>
      </c>
      <c r="I15" s="1063">
        <v>250800.00000000003</v>
      </c>
      <c r="J15" s="1062">
        <f t="shared" ref="J15:K15" si="5">round(I15/1.1,-2)</f>
        <v>228000</v>
      </c>
      <c r="K15" s="1063">
        <f t="shared" si="5"/>
        <v>207300</v>
      </c>
      <c r="L15" s="49"/>
    </row>
    <row r="16">
      <c r="A16" s="1068" t="s">
        <v>741</v>
      </c>
      <c r="B16" s="1051"/>
      <c r="C16" s="1052">
        <f>iferror(vlookup(A16,'TỒN'!$A:$E,5,false),)</f>
        <v>0</v>
      </c>
      <c r="D16" s="1053" t="s">
        <v>720</v>
      </c>
      <c r="E16" s="1054" t="s">
        <v>718</v>
      </c>
      <c r="F16" s="1054" t="s">
        <v>742</v>
      </c>
      <c r="G16" s="1055" t="s">
        <v>743</v>
      </c>
      <c r="H16" s="1056"/>
      <c r="I16" s="1057"/>
      <c r="J16" s="1056"/>
      <c r="K16" s="1057"/>
      <c r="L16" s="49"/>
    </row>
    <row r="17">
      <c r="A17" s="1068" t="s">
        <v>744</v>
      </c>
      <c r="B17" s="1069" t="s">
        <v>745</v>
      </c>
      <c r="C17" s="1052">
        <f>iferror(vlookup(A17,'TỒN'!$A:$E,5,false),)</f>
        <v>0</v>
      </c>
      <c r="D17" s="1059" t="s">
        <v>10</v>
      </c>
      <c r="E17" s="1060" t="s">
        <v>746</v>
      </c>
      <c r="F17" s="1060" t="s">
        <v>739</v>
      </c>
      <c r="G17" s="1061" t="s">
        <v>740</v>
      </c>
      <c r="H17" s="1062">
        <v>457380.0000000001</v>
      </c>
      <c r="I17" s="1063">
        <v>415800.00000000006</v>
      </c>
      <c r="J17" s="1062">
        <f t="shared" ref="J17:K17" si="6">round(I17/1.1,-2)</f>
        <v>378000</v>
      </c>
      <c r="K17" s="1063">
        <f t="shared" si="6"/>
        <v>343600</v>
      </c>
      <c r="L17" s="49"/>
    </row>
    <row r="18">
      <c r="A18" s="1068" t="s">
        <v>747</v>
      </c>
      <c r="B18" s="1051"/>
      <c r="C18" s="1052">
        <f>iferror(vlookup(A18,'TỒN'!$A:$E,5,false),)</f>
        <v>0</v>
      </c>
      <c r="D18" s="1053" t="s">
        <v>720</v>
      </c>
      <c r="E18" s="1054" t="s">
        <v>717</v>
      </c>
      <c r="F18" s="1054" t="s">
        <v>725</v>
      </c>
      <c r="G18" s="1055" t="s">
        <v>748</v>
      </c>
      <c r="H18" s="1056"/>
      <c r="I18" s="1057"/>
      <c r="J18" s="1056"/>
      <c r="K18" s="1057"/>
      <c r="L18" s="49"/>
    </row>
    <row r="19">
      <c r="A19" s="1066" t="s">
        <v>749</v>
      </c>
      <c r="B19" s="1067" t="s">
        <v>750</v>
      </c>
      <c r="C19" s="1052">
        <f>iferror(vlookup(A19,'TỒN'!$A:$E,5,false),)</f>
        <v>27</v>
      </c>
      <c r="D19" s="1059" t="s">
        <v>10</v>
      </c>
      <c r="E19" s="1060" t="s">
        <v>739</v>
      </c>
      <c r="F19" s="1060" t="s">
        <v>740</v>
      </c>
      <c r="G19" s="1061" t="s">
        <v>751</v>
      </c>
      <c r="H19" s="1062">
        <v>330330.0</v>
      </c>
      <c r="I19" s="1063">
        <v>300300.0</v>
      </c>
      <c r="J19" s="1062">
        <f t="shared" ref="J19:K19" si="7">round(I19/1.1,-2)</f>
        <v>273000</v>
      </c>
      <c r="K19" s="1063">
        <f t="shared" si="7"/>
        <v>248200</v>
      </c>
      <c r="L19" s="49"/>
    </row>
    <row r="20">
      <c r="A20" s="1066" t="s">
        <v>752</v>
      </c>
      <c r="B20" s="1051"/>
      <c r="C20" s="1052">
        <f>iferror(vlookup(A20,'TỒN'!$A:$E,5,false),)</f>
        <v>34</v>
      </c>
      <c r="D20" s="1070" t="s">
        <v>720</v>
      </c>
      <c r="E20" s="1071" t="s">
        <v>718</v>
      </c>
      <c r="F20" s="1071" t="s">
        <v>742</v>
      </c>
      <c r="G20" s="1072" t="s">
        <v>753</v>
      </c>
      <c r="H20" s="1056"/>
      <c r="I20" s="1057"/>
      <c r="J20" s="1056"/>
      <c r="K20" s="1057"/>
      <c r="L20" s="49"/>
    </row>
    <row r="21">
      <c r="A21" s="1066" t="s">
        <v>754</v>
      </c>
      <c r="B21" s="1067" t="s">
        <v>755</v>
      </c>
      <c r="C21" s="1052">
        <f>iferror(vlookup(A21,'TỒN'!$A:$E,5,false),)</f>
        <v>10</v>
      </c>
      <c r="D21" s="1059" t="s">
        <v>10</v>
      </c>
      <c r="E21" s="1060" t="s">
        <v>746</v>
      </c>
      <c r="F21" s="1060" t="s">
        <v>756</v>
      </c>
      <c r="G21" s="1061" t="s">
        <v>757</v>
      </c>
      <c r="H21" s="1062">
        <v>456170.0000000001</v>
      </c>
      <c r="I21" s="1063">
        <v>414700.00000000006</v>
      </c>
      <c r="J21" s="1062">
        <f t="shared" ref="J21:K21" si="8">round(I21/1.1,-2)</f>
        <v>377000</v>
      </c>
      <c r="K21" s="1063">
        <f t="shared" si="8"/>
        <v>342700</v>
      </c>
      <c r="L21" s="49"/>
    </row>
    <row r="22">
      <c r="A22" s="1066" t="s">
        <v>758</v>
      </c>
      <c r="B22" s="1051"/>
      <c r="C22" s="1052">
        <f>iferror(vlookup(A22,'TỒN'!$A:$E,5,false),)</f>
        <v>38</v>
      </c>
      <c r="D22" s="1070" t="s">
        <v>720</v>
      </c>
      <c r="E22" s="1071" t="s">
        <v>717</v>
      </c>
      <c r="F22" s="1071" t="s">
        <v>759</v>
      </c>
      <c r="G22" s="1072" t="s">
        <v>748</v>
      </c>
      <c r="H22" s="1056"/>
      <c r="I22" s="1057"/>
      <c r="J22" s="1056"/>
      <c r="K22" s="1057"/>
      <c r="L22" s="49"/>
    </row>
    <row r="23">
      <c r="A23" s="1066" t="s">
        <v>760</v>
      </c>
      <c r="B23" s="1067" t="s">
        <v>761</v>
      </c>
      <c r="C23" s="1052">
        <f>iferror(vlookup(A23,'TỒN'!$A:$E,5,false),)</f>
        <v>13</v>
      </c>
      <c r="D23" s="1059" t="s">
        <v>10</v>
      </c>
      <c r="E23" s="1060" t="s">
        <v>762</v>
      </c>
      <c r="F23" s="1060" t="s">
        <v>763</v>
      </c>
      <c r="G23" s="1061" t="s">
        <v>764</v>
      </c>
      <c r="H23" s="1062">
        <v>834900.0000000002</v>
      </c>
      <c r="I23" s="1063">
        <v>759000.0000000001</v>
      </c>
      <c r="J23" s="1062">
        <f t="shared" ref="J23:K23" si="9">round(I23/1.1,-2)</f>
        <v>690000</v>
      </c>
      <c r="K23" s="1063">
        <f t="shared" si="9"/>
        <v>627300</v>
      </c>
      <c r="L23" s="49"/>
    </row>
    <row r="24">
      <c r="A24" s="1073" t="s">
        <v>765</v>
      </c>
      <c r="B24" s="1034"/>
      <c r="C24" s="1074">
        <f>iferror(vlookup(A24,'TỒN'!$A:$E,5,false),)</f>
        <v>5</v>
      </c>
      <c r="D24" s="1075" t="s">
        <v>720</v>
      </c>
      <c r="E24" s="1076" t="s">
        <v>766</v>
      </c>
      <c r="F24" s="1076" t="s">
        <v>725</v>
      </c>
      <c r="G24" s="1077" t="s">
        <v>767</v>
      </c>
      <c r="H24" s="1033"/>
      <c r="I24" s="1078"/>
      <c r="J24" s="1033"/>
      <c r="K24" s="1078"/>
      <c r="L24" s="49"/>
    </row>
    <row r="25">
      <c r="A25" s="49"/>
      <c r="B25" s="49"/>
      <c r="C25" s="49"/>
      <c r="D25" s="49"/>
      <c r="E25" s="49"/>
      <c r="F25" s="49"/>
      <c r="G25" s="49"/>
      <c r="H25" s="49"/>
      <c r="I25" s="49"/>
      <c r="J25" s="49"/>
      <c r="K25" s="49"/>
      <c r="L25" s="49"/>
    </row>
    <row r="26">
      <c r="A26" s="49"/>
      <c r="B26" s="49"/>
      <c r="C26" s="49"/>
      <c r="D26" s="49"/>
      <c r="E26" s="49"/>
      <c r="F26" s="49"/>
      <c r="G26" s="49"/>
      <c r="H26" s="49"/>
      <c r="I26" s="49"/>
      <c r="J26" s="49"/>
      <c r="K26" s="49"/>
      <c r="L26" s="49"/>
    </row>
    <row r="27">
      <c r="A27" s="49"/>
      <c r="B27" s="49"/>
      <c r="C27" s="49"/>
      <c r="D27" s="49"/>
      <c r="E27" s="49"/>
      <c r="F27" s="49"/>
      <c r="G27" s="49"/>
      <c r="H27" s="49"/>
      <c r="I27" s="49"/>
      <c r="J27" s="49"/>
      <c r="K27" s="49"/>
      <c r="L27" s="49"/>
    </row>
    <row r="28">
      <c r="A28" s="49"/>
      <c r="B28" s="49"/>
      <c r="C28" s="49"/>
      <c r="D28" s="49"/>
      <c r="E28" s="49"/>
      <c r="F28" s="49"/>
      <c r="G28" s="49"/>
      <c r="H28" s="49"/>
      <c r="I28" s="49"/>
      <c r="J28" s="49"/>
      <c r="K28" s="49"/>
      <c r="L28" s="49"/>
    </row>
    <row r="29">
      <c r="A29" s="49"/>
      <c r="B29" s="49"/>
      <c r="C29" s="49"/>
      <c r="D29" s="49"/>
      <c r="E29" s="49"/>
      <c r="F29" s="49"/>
      <c r="G29" s="49"/>
      <c r="H29" s="49"/>
      <c r="I29" s="49"/>
      <c r="J29" s="49"/>
      <c r="K29" s="49"/>
      <c r="L29" s="49"/>
    </row>
    <row r="30">
      <c r="A30" s="49"/>
      <c r="B30" s="49"/>
      <c r="C30" s="49"/>
      <c r="D30" s="49"/>
      <c r="E30" s="49"/>
      <c r="F30" s="49"/>
      <c r="G30" s="49"/>
      <c r="H30" s="49"/>
      <c r="I30" s="49"/>
      <c r="J30" s="49"/>
      <c r="K30" s="49"/>
      <c r="L30" s="49"/>
    </row>
    <row r="31">
      <c r="A31" s="49"/>
      <c r="B31" s="49"/>
      <c r="C31" s="49"/>
      <c r="D31" s="49"/>
      <c r="E31" s="49"/>
      <c r="F31" s="49"/>
      <c r="G31" s="49"/>
      <c r="H31" s="49"/>
      <c r="I31" s="49"/>
      <c r="J31" s="49"/>
      <c r="K31" s="49"/>
      <c r="L31" s="49"/>
    </row>
  </sheetData>
  <mergeCells count="52">
    <mergeCell ref="I11:I12"/>
    <mergeCell ref="J11:J12"/>
    <mergeCell ref="H13:H14"/>
    <mergeCell ref="I13:I14"/>
    <mergeCell ref="J13:J14"/>
    <mergeCell ref="K13:K14"/>
    <mergeCell ref="K15:K16"/>
    <mergeCell ref="H15:H16"/>
    <mergeCell ref="H17:H18"/>
    <mergeCell ref="I17:I18"/>
    <mergeCell ref="J17:J18"/>
    <mergeCell ref="K17:K18"/>
    <mergeCell ref="H19:H20"/>
    <mergeCell ref="I19:I20"/>
    <mergeCell ref="H5:I5"/>
    <mergeCell ref="H7:H8"/>
    <mergeCell ref="I7:I8"/>
    <mergeCell ref="J7:J8"/>
    <mergeCell ref="K7:K8"/>
    <mergeCell ref="C2:G3"/>
    <mergeCell ref="A5:A6"/>
    <mergeCell ref="B5:B6"/>
    <mergeCell ref="C5:C6"/>
    <mergeCell ref="D5:G6"/>
    <mergeCell ref="J5:K5"/>
    <mergeCell ref="B7:B8"/>
    <mergeCell ref="B11:B12"/>
    <mergeCell ref="B13:B14"/>
    <mergeCell ref="B15:B16"/>
    <mergeCell ref="B17:B18"/>
    <mergeCell ref="B19:B20"/>
    <mergeCell ref="B21:B22"/>
    <mergeCell ref="B23:B24"/>
    <mergeCell ref="B9:B10"/>
    <mergeCell ref="H9:H10"/>
    <mergeCell ref="I9:I10"/>
    <mergeCell ref="J9:J10"/>
    <mergeCell ref="K9:K10"/>
    <mergeCell ref="H11:H12"/>
    <mergeCell ref="K11:K12"/>
    <mergeCell ref="I15:I16"/>
    <mergeCell ref="J15:J16"/>
    <mergeCell ref="I23:I24"/>
    <mergeCell ref="J23:J24"/>
    <mergeCell ref="J19:J20"/>
    <mergeCell ref="K19:K20"/>
    <mergeCell ref="H21:H22"/>
    <mergeCell ref="I21:I22"/>
    <mergeCell ref="J21:J22"/>
    <mergeCell ref="K21:K22"/>
    <mergeCell ref="H23:H24"/>
    <mergeCell ref="K23:K2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 max="1" width="18.13"/>
    <col customWidth="1" min="2" max="2" width="16.63"/>
    <col customWidth="1" min="3" max="3" width="39.88"/>
    <col customWidth="1" min="4" max="4" width="9.13"/>
    <col customWidth="1" min="5" max="5" width="9.5"/>
    <col customWidth="1" min="6" max="6" width="10.38"/>
    <col customWidth="1" min="7" max="7" width="10.75"/>
    <col customWidth="1" min="8" max="8" width="3.25"/>
    <col customWidth="1" min="11" max="11" width="41.75"/>
    <col customWidth="1" min="12" max="13" width="9.63"/>
  </cols>
  <sheetData>
    <row r="1">
      <c r="A1" s="1079"/>
      <c r="B1" s="1079"/>
      <c r="C1" s="1079"/>
      <c r="D1" s="1079"/>
      <c r="E1" s="1079"/>
      <c r="F1" s="1080"/>
      <c r="G1" s="1080"/>
      <c r="H1" s="1081"/>
      <c r="I1" s="1081"/>
      <c r="J1" s="1081"/>
      <c r="K1" s="1081"/>
      <c r="L1" s="1081"/>
      <c r="M1" s="1081"/>
      <c r="N1" s="1081"/>
      <c r="O1" s="1081"/>
    </row>
    <row r="2">
      <c r="A2" s="1079"/>
      <c r="C2" s="1082" t="s">
        <v>768</v>
      </c>
      <c r="J2" s="1081"/>
      <c r="K2" s="1081"/>
      <c r="L2" s="1081"/>
      <c r="M2" s="1081"/>
      <c r="N2" s="1081"/>
      <c r="O2" s="1081"/>
    </row>
    <row r="3">
      <c r="A3" s="1079"/>
      <c r="J3" s="1081"/>
      <c r="K3" s="1081"/>
      <c r="L3" s="1081"/>
      <c r="M3" s="1081"/>
      <c r="N3" s="1081"/>
      <c r="O3" s="1081"/>
    </row>
    <row r="4">
      <c r="A4" s="1079"/>
      <c r="B4" s="1079"/>
      <c r="C4" s="1079"/>
      <c r="D4" s="1079"/>
      <c r="E4" s="1079"/>
      <c r="F4" s="1080"/>
      <c r="G4" s="1080"/>
      <c r="H4" s="1081"/>
      <c r="I4" s="1081"/>
      <c r="J4" s="1081"/>
      <c r="K4" s="1081"/>
      <c r="L4" s="1081"/>
      <c r="M4" s="1081"/>
      <c r="N4" s="1081"/>
      <c r="O4" s="1081"/>
    </row>
    <row r="5">
      <c r="A5" s="1083" t="s">
        <v>769</v>
      </c>
      <c r="B5" s="1083" t="s">
        <v>427</v>
      </c>
      <c r="C5" s="1083" t="s">
        <v>770</v>
      </c>
      <c r="D5" s="1083" t="s">
        <v>202</v>
      </c>
      <c r="E5" s="1083" t="s">
        <v>771</v>
      </c>
      <c r="F5" s="1084" t="s">
        <v>68</v>
      </c>
      <c r="G5" s="1084" t="s">
        <v>772</v>
      </c>
      <c r="H5" s="1081"/>
      <c r="I5" s="1083" t="s">
        <v>769</v>
      </c>
      <c r="J5" s="1083" t="s">
        <v>427</v>
      </c>
      <c r="K5" s="1083" t="s">
        <v>773</v>
      </c>
      <c r="L5" s="1083" t="s">
        <v>202</v>
      </c>
      <c r="M5" s="1083" t="s">
        <v>771</v>
      </c>
      <c r="N5" s="1084" t="s">
        <v>68</v>
      </c>
      <c r="O5" s="1084" t="s">
        <v>772</v>
      </c>
    </row>
    <row r="6">
      <c r="A6" s="17"/>
      <c r="B6" s="17"/>
      <c r="C6" s="17"/>
      <c r="D6" s="17"/>
      <c r="E6" s="17"/>
      <c r="F6" s="17"/>
      <c r="G6" s="17"/>
      <c r="H6" s="1081"/>
      <c r="I6" s="17"/>
      <c r="J6" s="17"/>
      <c r="K6" s="17"/>
      <c r="L6" s="17"/>
      <c r="M6" s="17"/>
      <c r="N6" s="17"/>
      <c r="O6" s="17"/>
    </row>
    <row r="7">
      <c r="A7" s="1085" t="s">
        <v>774</v>
      </c>
      <c r="B7" s="1085" t="s">
        <v>715</v>
      </c>
      <c r="C7" s="1085" t="s">
        <v>775</v>
      </c>
      <c r="D7" s="1086" t="s">
        <v>776</v>
      </c>
      <c r="E7" s="1086">
        <f>IFERROR(VLOOKUP(B7,'TỒN'!A:E,5,false))</f>
        <v>0</v>
      </c>
      <c r="F7" s="1087">
        <v>104000.0</v>
      </c>
      <c r="G7" s="1087">
        <v>5000.0</v>
      </c>
      <c r="H7" s="1081"/>
      <c r="I7" s="1085"/>
      <c r="J7" s="1085"/>
      <c r="K7" s="1085"/>
      <c r="L7" s="1086"/>
      <c r="M7" s="1086"/>
      <c r="N7" s="1087"/>
      <c r="O7" s="1087"/>
    </row>
    <row r="8">
      <c r="A8" s="1085"/>
      <c r="B8" s="1085"/>
      <c r="C8" s="1085"/>
      <c r="D8" s="1086"/>
      <c r="E8" s="1086"/>
      <c r="F8" s="1087"/>
      <c r="G8" s="1087"/>
      <c r="H8" s="1081"/>
      <c r="I8" s="1085" t="s">
        <v>777</v>
      </c>
      <c r="J8" s="1085" t="s">
        <v>778</v>
      </c>
      <c r="K8" s="1085" t="s">
        <v>779</v>
      </c>
      <c r="L8" s="1086" t="s">
        <v>780</v>
      </c>
      <c r="M8" s="1086">
        <f>IFERROR(VLOOKUP(J8,'TỒN'!A:E,5,false))</f>
        <v>0</v>
      </c>
      <c r="N8" s="1087">
        <v>2200000.0</v>
      </c>
      <c r="O8" s="1087">
        <v>100000.0</v>
      </c>
    </row>
    <row r="9">
      <c r="A9" s="1085" t="s">
        <v>774</v>
      </c>
      <c r="B9" s="1085" t="s">
        <v>723</v>
      </c>
      <c r="C9" s="1085" t="s">
        <v>781</v>
      </c>
      <c r="D9" s="1086" t="s">
        <v>776</v>
      </c>
      <c r="E9" s="1086">
        <f>IFERROR(VLOOKUP(B9,'TỒN'!A:E,5,false))</f>
        <v>4</v>
      </c>
      <c r="F9" s="1087">
        <v>99000.0</v>
      </c>
      <c r="G9" s="1087">
        <v>5000.0</v>
      </c>
      <c r="H9" s="1081"/>
      <c r="I9" s="1085" t="s">
        <v>777</v>
      </c>
      <c r="J9" s="1085" t="s">
        <v>782</v>
      </c>
      <c r="K9" s="1085" t="s">
        <v>783</v>
      </c>
      <c r="L9" s="1086" t="s">
        <v>780</v>
      </c>
      <c r="M9" s="1086">
        <f>IFERROR(VLOOKUP(J9,'TỒN'!A:E,5,false))</f>
        <v>0</v>
      </c>
      <c r="N9" s="1087">
        <v>2963840.0</v>
      </c>
      <c r="O9" s="1087">
        <v>100000.0</v>
      </c>
    </row>
    <row r="10">
      <c r="A10" s="1085" t="s">
        <v>774</v>
      </c>
      <c r="B10" s="1085" t="s">
        <v>726</v>
      </c>
      <c r="C10" s="1085" t="s">
        <v>784</v>
      </c>
      <c r="D10" s="1086" t="s">
        <v>776</v>
      </c>
      <c r="E10" s="1086">
        <f>IFERROR(VLOOKUP(B10,'TỒN'!A:E,5,false))</f>
        <v>0</v>
      </c>
      <c r="F10" s="1087">
        <v>127000.0</v>
      </c>
      <c r="G10" s="1087">
        <v>5000.0</v>
      </c>
      <c r="H10" s="1081"/>
      <c r="I10" s="1085" t="s">
        <v>777</v>
      </c>
      <c r="J10" s="1085" t="s">
        <v>785</v>
      </c>
      <c r="K10" s="1085" t="s">
        <v>786</v>
      </c>
      <c r="L10" s="1086" t="s">
        <v>787</v>
      </c>
      <c r="M10" s="1086">
        <f>IFERROR(VLOOKUP(J10,'TỒN'!A:E,5,false))</f>
        <v>0</v>
      </c>
      <c r="N10" s="1087">
        <v>2077790.0</v>
      </c>
      <c r="O10" s="1087">
        <v>50000.0</v>
      </c>
    </row>
    <row r="11">
      <c r="A11" s="1085"/>
      <c r="B11" s="1085"/>
      <c r="C11" s="1085"/>
      <c r="D11" s="1086"/>
      <c r="E11" s="1086"/>
      <c r="F11" s="1087"/>
      <c r="G11" s="1087"/>
      <c r="H11" s="1081"/>
      <c r="I11" s="1085" t="s">
        <v>777</v>
      </c>
      <c r="J11" s="1085" t="s">
        <v>788</v>
      </c>
      <c r="K11" s="1085" t="s">
        <v>789</v>
      </c>
      <c r="L11" s="1086" t="s">
        <v>780</v>
      </c>
      <c r="M11" s="1086">
        <f>IFERROR(VLOOKUP(J11,'TỒN'!A:E,5,false))</f>
        <v>0</v>
      </c>
      <c r="N11" s="1087">
        <v>1008370.0</v>
      </c>
      <c r="O11" s="1087">
        <v>50000.0</v>
      </c>
    </row>
    <row r="12">
      <c r="A12" s="1085"/>
      <c r="B12" s="1085"/>
      <c r="C12" s="1085"/>
      <c r="D12" s="1086"/>
      <c r="E12" s="1086"/>
      <c r="F12" s="1087"/>
      <c r="G12" s="1087"/>
      <c r="H12" s="1081"/>
      <c r="I12" s="1085" t="s">
        <v>777</v>
      </c>
      <c r="J12" s="1085" t="s">
        <v>790</v>
      </c>
      <c r="K12" s="1085" t="s">
        <v>791</v>
      </c>
      <c r="L12" s="1086" t="s">
        <v>780</v>
      </c>
      <c r="M12" s="1086">
        <f>IFERROR(VLOOKUP(J12,'TỒN'!A:E,5,false))</f>
        <v>0</v>
      </c>
      <c r="N12" s="1087">
        <v>1903660.0</v>
      </c>
      <c r="O12" s="1087">
        <v>100000.0</v>
      </c>
    </row>
    <row r="13">
      <c r="A13" s="1085"/>
      <c r="B13" s="1085"/>
      <c r="C13" s="1085"/>
      <c r="D13" s="1086"/>
      <c r="E13" s="1086"/>
      <c r="F13" s="1087"/>
      <c r="G13" s="1087"/>
      <c r="H13" s="1081"/>
      <c r="I13" s="1085" t="s">
        <v>777</v>
      </c>
      <c r="J13" s="1085" t="s">
        <v>792</v>
      </c>
      <c r="K13" s="1085" t="s">
        <v>793</v>
      </c>
      <c r="L13" s="1086" t="s">
        <v>780</v>
      </c>
      <c r="M13" s="1086">
        <f>IFERROR(VLOOKUP(J13,'TỒN'!A:E,5,false))</f>
        <v>0</v>
      </c>
      <c r="N13" s="1087">
        <v>4665870.0</v>
      </c>
      <c r="O13" s="1087">
        <v>100000.0</v>
      </c>
    </row>
    <row r="14">
      <c r="A14" s="1085"/>
      <c r="B14" s="1085"/>
      <c r="C14" s="1085"/>
      <c r="D14" s="1086"/>
      <c r="E14" s="1086"/>
      <c r="F14" s="1087"/>
      <c r="G14" s="1087"/>
      <c r="H14" s="1081"/>
      <c r="I14" s="1085" t="s">
        <v>777</v>
      </c>
      <c r="J14" s="1085" t="s">
        <v>794</v>
      </c>
      <c r="K14" s="1085" t="s">
        <v>795</v>
      </c>
      <c r="L14" s="1086" t="s">
        <v>780</v>
      </c>
      <c r="M14" s="1086">
        <f>IFERROR(VLOOKUP(J14,'TỒN'!A:E,5,false))</f>
        <v>0</v>
      </c>
      <c r="N14" s="1087">
        <v>4155580.0</v>
      </c>
      <c r="O14" s="1087">
        <v>100000.0</v>
      </c>
    </row>
    <row r="15">
      <c r="A15" s="1085"/>
      <c r="B15" s="1085"/>
      <c r="C15" s="1085"/>
      <c r="D15" s="1086"/>
      <c r="E15" s="1086"/>
      <c r="F15" s="1087"/>
      <c r="G15" s="1087"/>
      <c r="H15" s="1081"/>
      <c r="I15" s="1085" t="s">
        <v>777</v>
      </c>
      <c r="J15" s="1085" t="s">
        <v>796</v>
      </c>
      <c r="K15" s="1085" t="s">
        <v>797</v>
      </c>
      <c r="L15" s="1086" t="s">
        <v>780</v>
      </c>
      <c r="M15" s="1086">
        <f>IFERROR(VLOOKUP(J15,'TỒN'!A:E,5,false))</f>
        <v>0</v>
      </c>
      <c r="N15" s="1087">
        <v>4320580.0</v>
      </c>
      <c r="O15" s="1087">
        <v>100000.0</v>
      </c>
    </row>
    <row r="16">
      <c r="A16" s="1085"/>
      <c r="B16" s="1085"/>
      <c r="C16" s="1085"/>
      <c r="D16" s="1086"/>
      <c r="E16" s="1086"/>
      <c r="F16" s="1087"/>
      <c r="G16" s="1087"/>
      <c r="H16" s="1081"/>
      <c r="I16" s="1085"/>
      <c r="J16" s="1085"/>
      <c r="K16" s="1085"/>
      <c r="L16" s="1086"/>
      <c r="M16" s="1086"/>
      <c r="N16" s="1087"/>
      <c r="O16" s="1087"/>
    </row>
    <row r="17">
      <c r="A17" s="1085" t="s">
        <v>798</v>
      </c>
      <c r="B17" s="1085" t="s">
        <v>799</v>
      </c>
      <c r="C17" s="1085" t="s">
        <v>800</v>
      </c>
      <c r="D17" s="1086" t="s">
        <v>780</v>
      </c>
      <c r="E17" s="1086">
        <f>IFERROR(VLOOKUP(B17,'TỒN'!A:E,5,false))</f>
        <v>0</v>
      </c>
      <c r="F17" s="1087">
        <v>7699.999999999999</v>
      </c>
      <c r="G17" s="1087">
        <v>1000.0</v>
      </c>
      <c r="H17" s="1081"/>
      <c r="I17" s="1085" t="s">
        <v>801</v>
      </c>
      <c r="J17" s="1085" t="s">
        <v>802</v>
      </c>
      <c r="K17" s="1085" t="s">
        <v>803</v>
      </c>
      <c r="L17" s="1086" t="s">
        <v>780</v>
      </c>
      <c r="M17" s="1086">
        <f>IFERROR(VLOOKUP(J17,'TỒN'!A:E,5,false))</f>
        <v>0</v>
      </c>
      <c r="N17" s="1087">
        <v>2082850.0</v>
      </c>
      <c r="O17" s="1087">
        <v>100000.0</v>
      </c>
    </row>
    <row r="18">
      <c r="A18" s="1085" t="s">
        <v>798</v>
      </c>
      <c r="B18" s="1085" t="s">
        <v>804</v>
      </c>
      <c r="C18" s="1085" t="s">
        <v>805</v>
      </c>
      <c r="D18" s="1086" t="s">
        <v>780</v>
      </c>
      <c r="E18" s="1086">
        <f>IFERROR(VLOOKUP(B18,'TỒN'!A:E,5,false))</f>
        <v>0</v>
      </c>
      <c r="F18" s="1087">
        <v>14699.999999999998</v>
      </c>
      <c r="G18" s="1087">
        <v>1000.0</v>
      </c>
      <c r="H18" s="1081"/>
      <c r="I18" s="1085" t="s">
        <v>801</v>
      </c>
      <c r="J18" s="1085" t="s">
        <v>806</v>
      </c>
      <c r="K18" s="1085" t="s">
        <v>807</v>
      </c>
      <c r="L18" s="1086" t="s">
        <v>780</v>
      </c>
      <c r="M18" s="1086">
        <f>IFERROR(VLOOKUP(J18,'TỒN'!A:E,5,false))</f>
        <v>0</v>
      </c>
      <c r="N18" s="1087">
        <v>967560.0</v>
      </c>
      <c r="O18" s="1087">
        <v>50000.0</v>
      </c>
    </row>
    <row r="19">
      <c r="A19" s="1085" t="s">
        <v>798</v>
      </c>
      <c r="B19" s="1085" t="s">
        <v>808</v>
      </c>
      <c r="C19" s="1085" t="s">
        <v>809</v>
      </c>
      <c r="D19" s="1086" t="s">
        <v>780</v>
      </c>
      <c r="E19" s="1086">
        <f>IFERROR(VLOOKUP(B19,'TỒN'!A:E,5,false))</f>
        <v>0</v>
      </c>
      <c r="F19" s="1087">
        <v>19600.0</v>
      </c>
      <c r="G19" s="1087">
        <v>1000.0</v>
      </c>
      <c r="H19" s="1081"/>
      <c r="I19" s="1085" t="s">
        <v>810</v>
      </c>
      <c r="J19" s="1085" t="s">
        <v>811</v>
      </c>
      <c r="K19" s="1085" t="s">
        <v>812</v>
      </c>
      <c r="L19" s="1086" t="s">
        <v>776</v>
      </c>
      <c r="M19" s="1086">
        <f>IFERROR(VLOOKUP(J19,'TỒN'!A:E,5,false))</f>
        <v>0</v>
      </c>
      <c r="N19" s="1087">
        <v>9502790.0</v>
      </c>
      <c r="O19" s="1087">
        <v>200000.0</v>
      </c>
    </row>
    <row r="20">
      <c r="A20" s="1085" t="s">
        <v>798</v>
      </c>
      <c r="B20" s="1085" t="s">
        <v>813</v>
      </c>
      <c r="C20" s="1085" t="s">
        <v>814</v>
      </c>
      <c r="D20" s="1086" t="s">
        <v>780</v>
      </c>
      <c r="E20" s="1086">
        <f>IFERROR(VLOOKUP(B20,'TỒN'!A:E,5,false))</f>
        <v>0</v>
      </c>
      <c r="F20" s="1087">
        <v>7699.999999999999</v>
      </c>
      <c r="G20" s="1087">
        <v>1000.0</v>
      </c>
      <c r="H20" s="1081"/>
      <c r="I20" s="1085" t="s">
        <v>810</v>
      </c>
      <c r="J20" s="1085" t="s">
        <v>815</v>
      </c>
      <c r="K20" s="1085" t="s">
        <v>816</v>
      </c>
      <c r="L20" s="1086" t="s">
        <v>776</v>
      </c>
      <c r="M20" s="1086">
        <f>IFERROR(VLOOKUP(J20,'TỒN'!A:E,5,false))</f>
        <v>0</v>
      </c>
      <c r="N20" s="1087">
        <v>1.031756E7</v>
      </c>
      <c r="O20" s="1087">
        <v>200000.0</v>
      </c>
    </row>
    <row r="21">
      <c r="A21" s="1085" t="s">
        <v>798</v>
      </c>
      <c r="B21" s="1085" t="s">
        <v>817</v>
      </c>
      <c r="C21" s="1085" t="s">
        <v>818</v>
      </c>
      <c r="D21" s="1086" t="s">
        <v>780</v>
      </c>
      <c r="E21" s="1086">
        <f>IFERROR(VLOOKUP(B21,'TỒN'!A:E,5,false))</f>
        <v>0</v>
      </c>
      <c r="F21" s="1087">
        <v>81200.0</v>
      </c>
      <c r="G21" s="1087">
        <v>1000.0</v>
      </c>
      <c r="H21" s="1081"/>
      <c r="I21" s="1085" t="s">
        <v>810</v>
      </c>
      <c r="J21" s="1085" t="s">
        <v>819</v>
      </c>
      <c r="K21" s="1085" t="s">
        <v>820</v>
      </c>
      <c r="L21" s="1086" t="s">
        <v>776</v>
      </c>
      <c r="M21" s="1086">
        <f>IFERROR(VLOOKUP(J21,'TỒN'!A:E,5,false))</f>
        <v>0</v>
      </c>
      <c r="N21" s="1087">
        <v>9820580.0</v>
      </c>
      <c r="O21" s="1087">
        <v>200000.0</v>
      </c>
    </row>
    <row r="22">
      <c r="A22" s="1085" t="s">
        <v>798</v>
      </c>
      <c r="B22" s="1085" t="s">
        <v>821</v>
      </c>
      <c r="C22" s="1085" t="s">
        <v>822</v>
      </c>
      <c r="D22" s="1086" t="s">
        <v>780</v>
      </c>
      <c r="E22" s="1086">
        <f>IFERROR(VLOOKUP(B22,'TỒN'!A:E,5,false))</f>
        <v>0</v>
      </c>
      <c r="F22" s="1087">
        <v>21000.0</v>
      </c>
      <c r="G22" s="1087">
        <v>1000.0</v>
      </c>
      <c r="H22" s="1081"/>
      <c r="I22" s="1085" t="s">
        <v>810</v>
      </c>
      <c r="J22" s="1085" t="s">
        <v>823</v>
      </c>
      <c r="K22" s="1085" t="s">
        <v>824</v>
      </c>
      <c r="L22" s="1086" t="s">
        <v>776</v>
      </c>
      <c r="M22" s="1086">
        <f>IFERROR(VLOOKUP(J22,'TỒN'!A:E,5,false))</f>
        <v>0</v>
      </c>
      <c r="N22" s="1087">
        <v>8206220.0</v>
      </c>
      <c r="O22" s="1087">
        <v>200000.0</v>
      </c>
    </row>
    <row r="23">
      <c r="A23" s="1085" t="s">
        <v>798</v>
      </c>
      <c r="B23" s="1085" t="s">
        <v>825</v>
      </c>
      <c r="C23" s="1085" t="s">
        <v>826</v>
      </c>
      <c r="D23" s="1086" t="s">
        <v>780</v>
      </c>
      <c r="E23" s="1086">
        <f>IFERROR(VLOOKUP(B23,'TỒN'!A:E,5,false))</f>
        <v>0</v>
      </c>
      <c r="F23" s="1087">
        <v>8000.0</v>
      </c>
      <c r="G23" s="1087">
        <v>1000.0</v>
      </c>
      <c r="H23" s="1081"/>
      <c r="I23" s="1085"/>
      <c r="J23" s="1085"/>
      <c r="K23" s="1085"/>
      <c r="L23" s="1086"/>
      <c r="M23" s="1086"/>
      <c r="N23" s="1087"/>
      <c r="O23" s="1087"/>
    </row>
    <row r="24">
      <c r="A24" s="1085" t="s">
        <v>798</v>
      </c>
      <c r="B24" s="1085" t="s">
        <v>827</v>
      </c>
      <c r="C24" s="1085" t="s">
        <v>828</v>
      </c>
      <c r="D24" s="1086" t="s">
        <v>780</v>
      </c>
      <c r="E24" s="1086">
        <f>IFERROR(VLOOKUP(B24,'TỒN'!A:E,5,false))</f>
        <v>0</v>
      </c>
      <c r="F24" s="1087">
        <v>9000.0</v>
      </c>
      <c r="G24" s="1087">
        <v>1000.0</v>
      </c>
      <c r="H24" s="1081"/>
      <c r="I24" s="1085" t="s">
        <v>810</v>
      </c>
      <c r="J24" s="1085" t="s">
        <v>829</v>
      </c>
      <c r="K24" s="1085" t="s">
        <v>830</v>
      </c>
      <c r="L24" s="1086" t="s">
        <v>776</v>
      </c>
      <c r="M24" s="1086">
        <f>IFERROR(VLOOKUP(J24,'TỒN'!A:E,5,false))</f>
        <v>0</v>
      </c>
      <c r="N24" s="1087">
        <v>3.333913E7</v>
      </c>
      <c r="O24" s="1087">
        <v>200000.0</v>
      </c>
    </row>
    <row r="25">
      <c r="A25" s="1085" t="s">
        <v>798</v>
      </c>
      <c r="B25" s="1085" t="s">
        <v>831</v>
      </c>
      <c r="C25" s="1085" t="s">
        <v>832</v>
      </c>
      <c r="D25" s="1086" t="s">
        <v>780</v>
      </c>
      <c r="E25" s="1086">
        <f>IFERROR(VLOOKUP(B25,'TỒN'!A:E,5,false))</f>
        <v>0</v>
      </c>
      <c r="F25" s="1087">
        <v>13000.0</v>
      </c>
      <c r="G25" s="1087">
        <v>1000.0</v>
      </c>
      <c r="H25" s="1081"/>
      <c r="I25" s="1085" t="s">
        <v>810</v>
      </c>
      <c r="J25" s="1085" t="s">
        <v>833</v>
      </c>
      <c r="K25" s="1085" t="s">
        <v>834</v>
      </c>
      <c r="L25" s="1086" t="s">
        <v>776</v>
      </c>
      <c r="M25" s="1086">
        <f>IFERROR(VLOOKUP(J25,'TỒN'!A:E,5,false))</f>
        <v>0</v>
      </c>
      <c r="N25" s="1087">
        <v>2.609541E7</v>
      </c>
      <c r="O25" s="1087">
        <v>200000.0</v>
      </c>
    </row>
    <row r="26">
      <c r="A26" s="1085" t="s">
        <v>798</v>
      </c>
      <c r="B26" s="1085" t="s">
        <v>835</v>
      </c>
      <c r="C26" s="1085" t="s">
        <v>836</v>
      </c>
      <c r="D26" s="1086" t="s">
        <v>780</v>
      </c>
      <c r="E26" s="1086">
        <f>IFERROR(VLOOKUP(B26,'TỒN'!A:E,5,false))</f>
        <v>0</v>
      </c>
      <c r="F26" s="1087">
        <v>26000.0</v>
      </c>
      <c r="G26" s="1087">
        <v>1000.0</v>
      </c>
      <c r="H26" s="1081"/>
      <c r="I26" s="1085"/>
      <c r="J26" s="1085"/>
      <c r="K26" s="1085"/>
      <c r="L26" s="1086"/>
      <c r="M26" s="1086"/>
      <c r="N26" s="1087"/>
      <c r="O26" s="1087"/>
    </row>
    <row r="27">
      <c r="A27" s="1085" t="s">
        <v>798</v>
      </c>
      <c r="B27" s="1085" t="s">
        <v>837</v>
      </c>
      <c r="C27" s="1085" t="s">
        <v>838</v>
      </c>
      <c r="D27" s="1086" t="s">
        <v>780</v>
      </c>
      <c r="E27" s="1086">
        <f>IFERROR(VLOOKUP(B27,'TỒN'!A:E,5,false))</f>
        <v>30</v>
      </c>
      <c r="F27" s="1087">
        <v>5000.0</v>
      </c>
      <c r="G27" s="1087">
        <v>1000.0</v>
      </c>
      <c r="H27" s="1081"/>
      <c r="I27" s="1085" t="s">
        <v>810</v>
      </c>
      <c r="J27" s="1085" t="s">
        <v>839</v>
      </c>
      <c r="K27" s="1085" t="s">
        <v>840</v>
      </c>
      <c r="L27" s="1086" t="s">
        <v>776</v>
      </c>
      <c r="M27" s="1086">
        <f>IFERROR(VLOOKUP(J27,'TỒN'!A:E,5,false))</f>
        <v>0</v>
      </c>
      <c r="N27" s="1087">
        <v>9828720.0</v>
      </c>
      <c r="O27" s="1087">
        <v>200000.0</v>
      </c>
    </row>
    <row r="28">
      <c r="A28" s="1085"/>
      <c r="B28" s="1085"/>
      <c r="C28" s="1085"/>
      <c r="D28" s="1086"/>
      <c r="E28" s="1086"/>
      <c r="F28" s="1087"/>
      <c r="G28" s="1087"/>
      <c r="H28" s="1081"/>
      <c r="I28" s="1085" t="s">
        <v>810</v>
      </c>
      <c r="J28" s="1085" t="s">
        <v>841</v>
      </c>
      <c r="K28" s="1085" t="s">
        <v>842</v>
      </c>
      <c r="L28" s="1086" t="s">
        <v>780</v>
      </c>
      <c r="M28" s="1086">
        <f>IFERROR(VLOOKUP(J28,'TỒN'!A:E,5,false))</f>
        <v>0</v>
      </c>
      <c r="N28" s="1087">
        <v>1.1825E7</v>
      </c>
      <c r="O28" s="1087">
        <v>200000.0</v>
      </c>
    </row>
    <row r="29">
      <c r="A29" s="1083" t="s">
        <v>769</v>
      </c>
      <c r="B29" s="1083" t="s">
        <v>427</v>
      </c>
      <c r="C29" s="1083" t="s">
        <v>843</v>
      </c>
      <c r="D29" s="1083" t="s">
        <v>202</v>
      </c>
      <c r="E29" s="1083" t="s">
        <v>771</v>
      </c>
      <c r="F29" s="1084" t="s">
        <v>68</v>
      </c>
      <c r="G29" s="1084" t="s">
        <v>772</v>
      </c>
      <c r="H29" s="1081"/>
      <c r="I29" s="1085"/>
      <c r="J29" s="1085"/>
      <c r="K29" s="1085"/>
      <c r="L29" s="1086"/>
      <c r="M29" s="1086"/>
      <c r="N29" s="1087"/>
      <c r="O29" s="1087"/>
    </row>
    <row r="30">
      <c r="A30" s="17"/>
      <c r="B30" s="17"/>
      <c r="C30" s="17"/>
      <c r="D30" s="17"/>
      <c r="E30" s="17"/>
      <c r="F30" s="17"/>
      <c r="G30" s="17"/>
      <c r="H30" s="1081"/>
      <c r="I30" s="1085" t="s">
        <v>810</v>
      </c>
      <c r="J30" s="1085" t="s">
        <v>844</v>
      </c>
      <c r="K30" s="1085" t="s">
        <v>845</v>
      </c>
      <c r="L30" s="1086" t="s">
        <v>780</v>
      </c>
      <c r="M30" s="1086">
        <f>IFERROR(VLOOKUP(J30,'TỒN'!A:E,5,false))</f>
        <v>0</v>
      </c>
      <c r="N30" s="1087">
        <v>2.823436E7</v>
      </c>
      <c r="O30" s="1087">
        <v>200000.0</v>
      </c>
    </row>
    <row r="31">
      <c r="A31" s="1085" t="s">
        <v>846</v>
      </c>
      <c r="B31" s="1085" t="s">
        <v>847</v>
      </c>
      <c r="C31" s="1085" t="s">
        <v>848</v>
      </c>
      <c r="D31" s="1086" t="s">
        <v>787</v>
      </c>
      <c r="E31" s="1086">
        <f>IFERROR(VLOOKUP(B31,'TỒN'!A:E,5,false))</f>
        <v>0</v>
      </c>
      <c r="F31" s="1087">
        <v>231600.0</v>
      </c>
      <c r="G31" s="1087">
        <v>5000.0</v>
      </c>
      <c r="H31" s="1081"/>
      <c r="I31" s="1085" t="s">
        <v>810</v>
      </c>
      <c r="J31" s="1085" t="s">
        <v>849</v>
      </c>
      <c r="K31" s="1085" t="s">
        <v>850</v>
      </c>
      <c r="L31" s="1086" t="s">
        <v>776</v>
      </c>
      <c r="M31" s="1086">
        <f>IFERROR(VLOOKUP(J31,'TỒN'!A:E,5,false))</f>
        <v>0</v>
      </c>
      <c r="N31" s="1087">
        <v>3.161477E7</v>
      </c>
      <c r="O31" s="1087">
        <v>200000.0</v>
      </c>
    </row>
    <row r="32">
      <c r="A32" s="1085" t="s">
        <v>851</v>
      </c>
      <c r="B32" s="1085" t="s">
        <v>852</v>
      </c>
      <c r="C32" s="1085" t="s">
        <v>853</v>
      </c>
      <c r="D32" s="1086" t="s">
        <v>780</v>
      </c>
      <c r="E32" s="1086">
        <f>IFERROR(VLOOKUP(B32,'TỒN'!A:E,5,false))</f>
        <v>0</v>
      </c>
      <c r="F32" s="1087">
        <v>357000.0</v>
      </c>
      <c r="G32" s="1087">
        <v>5000.0</v>
      </c>
      <c r="H32" s="1081"/>
      <c r="I32" s="1085" t="s">
        <v>810</v>
      </c>
      <c r="J32" s="1085" t="s">
        <v>854</v>
      </c>
      <c r="K32" s="1085" t="s">
        <v>855</v>
      </c>
      <c r="L32" s="1086" t="s">
        <v>780</v>
      </c>
      <c r="M32" s="1086">
        <f>IFERROR(VLOOKUP(J32,'TỒN'!A:E,5,false))</f>
        <v>0</v>
      </c>
      <c r="N32" s="1087">
        <v>8964010.0</v>
      </c>
      <c r="O32" s="1087">
        <v>200000.0</v>
      </c>
    </row>
    <row r="33">
      <c r="A33" s="1085" t="s">
        <v>851</v>
      </c>
      <c r="B33" s="1085" t="s">
        <v>856</v>
      </c>
      <c r="C33" s="1085" t="s">
        <v>857</v>
      </c>
      <c r="D33" s="1086" t="s">
        <v>780</v>
      </c>
      <c r="E33" s="1086">
        <f>IFERROR(VLOOKUP(B33,'TỒN'!A:E,5,false))</f>
        <v>0</v>
      </c>
      <c r="F33" s="1087">
        <v>357000.0</v>
      </c>
      <c r="G33" s="1087">
        <v>5000.0</v>
      </c>
      <c r="H33" s="1081"/>
      <c r="I33" s="1085" t="s">
        <v>810</v>
      </c>
      <c r="J33" s="1085" t="s">
        <v>858</v>
      </c>
      <c r="K33" s="1085" t="s">
        <v>859</v>
      </c>
      <c r="L33" s="1086" t="s">
        <v>780</v>
      </c>
      <c r="M33" s="1086">
        <f>IFERROR(VLOOKUP(J33,'TỒN'!A:E,5,false))</f>
        <v>0</v>
      </c>
      <c r="N33" s="1087">
        <v>1.063337E7</v>
      </c>
      <c r="O33" s="1087">
        <v>200000.0</v>
      </c>
    </row>
    <row r="34">
      <c r="A34" s="1085" t="s">
        <v>851</v>
      </c>
      <c r="B34" s="1085" t="s">
        <v>860</v>
      </c>
      <c r="C34" s="1085" t="s">
        <v>861</v>
      </c>
      <c r="D34" s="1086" t="s">
        <v>780</v>
      </c>
      <c r="E34" s="1086">
        <f>IFERROR(VLOOKUP(B34,'TỒN'!A:E,5,false))</f>
        <v>0</v>
      </c>
      <c r="F34" s="1087">
        <v>74000.0</v>
      </c>
      <c r="G34" s="1087">
        <v>1000.0</v>
      </c>
      <c r="H34" s="1081"/>
      <c r="I34" s="1085" t="s">
        <v>810</v>
      </c>
      <c r="J34" s="1085" t="s">
        <v>862</v>
      </c>
      <c r="K34" s="1085" t="s">
        <v>863</v>
      </c>
      <c r="L34" s="1086" t="s">
        <v>780</v>
      </c>
      <c r="M34" s="1086">
        <f>IFERROR(VLOOKUP(J34,'TỒN'!A:E,5,false))</f>
        <v>0</v>
      </c>
      <c r="N34" s="1087">
        <v>1.144209E7</v>
      </c>
      <c r="O34" s="1087">
        <v>200000.0</v>
      </c>
    </row>
    <row r="35">
      <c r="A35" s="1085"/>
      <c r="B35" s="1085"/>
      <c r="C35" s="1085"/>
      <c r="D35" s="1086"/>
      <c r="E35" s="1086"/>
      <c r="F35" s="1087"/>
      <c r="G35" s="1087"/>
      <c r="H35" s="1081"/>
      <c r="I35" s="1085" t="s">
        <v>810</v>
      </c>
      <c r="J35" s="1085" t="s">
        <v>864</v>
      </c>
      <c r="K35" s="1085" t="s">
        <v>865</v>
      </c>
      <c r="L35" s="1086" t="s">
        <v>780</v>
      </c>
      <c r="M35" s="1086">
        <f>IFERROR(VLOOKUP(J35,'TỒN'!A:E,5,false))</f>
        <v>0</v>
      </c>
      <c r="N35" s="1087">
        <v>1.201343E7</v>
      </c>
      <c r="O35" s="1087">
        <v>200000.0</v>
      </c>
    </row>
    <row r="36">
      <c r="A36" s="1085"/>
      <c r="B36" s="1085"/>
      <c r="C36" s="1085"/>
      <c r="D36" s="1086"/>
      <c r="E36" s="1086"/>
      <c r="F36" s="1087"/>
      <c r="G36" s="1087"/>
      <c r="H36" s="1081"/>
      <c r="I36" s="1085" t="s">
        <v>810</v>
      </c>
      <c r="J36" s="1085" t="s">
        <v>866</v>
      </c>
      <c r="K36" s="1085" t="s">
        <v>867</v>
      </c>
      <c r="L36" s="1086" t="s">
        <v>780</v>
      </c>
      <c r="M36" s="1086">
        <f>IFERROR(VLOOKUP(J36,'TỒN'!A:E,5,false))</f>
        <v>0</v>
      </c>
      <c r="N36" s="1087">
        <v>1.201343E7</v>
      </c>
      <c r="O36" s="1087">
        <v>200000.0</v>
      </c>
    </row>
    <row r="37">
      <c r="A37" s="1085" t="s">
        <v>868</v>
      </c>
      <c r="B37" s="1085" t="s">
        <v>869</v>
      </c>
      <c r="C37" s="1085" t="s">
        <v>870</v>
      </c>
      <c r="D37" s="1086" t="s">
        <v>871</v>
      </c>
      <c r="E37" s="1086">
        <f>IFERROR(VLOOKUP(B37,'TỒN'!A:E,5,false))</f>
        <v>0</v>
      </c>
      <c r="F37" s="1087">
        <v>116000.0</v>
      </c>
      <c r="G37" s="1087">
        <v>5000.0</v>
      </c>
      <c r="H37" s="1081"/>
      <c r="I37" s="1085" t="s">
        <v>810</v>
      </c>
      <c r="J37" s="1085" t="s">
        <v>872</v>
      </c>
      <c r="K37" s="1085" t="s">
        <v>873</v>
      </c>
      <c r="L37" s="1086" t="s">
        <v>780</v>
      </c>
      <c r="M37" s="1086">
        <f>IFERROR(VLOOKUP(J37,'TỒN'!A:E,5,false))</f>
        <v>0</v>
      </c>
      <c r="N37" s="1087">
        <v>3888720.0</v>
      </c>
      <c r="O37" s="1087">
        <v>200000.0</v>
      </c>
    </row>
    <row r="38">
      <c r="A38" s="1085"/>
      <c r="B38" s="1085"/>
      <c r="C38" s="1085"/>
      <c r="D38" s="1086"/>
      <c r="E38" s="1086"/>
      <c r="F38" s="1087"/>
      <c r="G38" s="1087"/>
      <c r="H38" s="1081"/>
      <c r="I38" s="1085" t="s">
        <v>810</v>
      </c>
      <c r="J38" s="1085" t="s">
        <v>874</v>
      </c>
      <c r="K38" s="1085" t="s">
        <v>875</v>
      </c>
      <c r="L38" s="1086" t="s">
        <v>780</v>
      </c>
      <c r="M38" s="1086">
        <f>IFERROR(VLOOKUP(J38,'TỒN'!A:E,5,false))</f>
        <v>0</v>
      </c>
      <c r="N38" s="1087">
        <v>3630990.0</v>
      </c>
      <c r="O38" s="1087">
        <v>200000.0</v>
      </c>
    </row>
    <row r="39">
      <c r="A39" s="1085" t="s">
        <v>876</v>
      </c>
      <c r="B39" s="1085" t="s">
        <v>877</v>
      </c>
      <c r="C39" s="1085" t="s">
        <v>878</v>
      </c>
      <c r="D39" s="1086" t="s">
        <v>871</v>
      </c>
      <c r="E39" s="1086">
        <f>IFERROR(VLOOKUP(B39,'TỒN'!A:E,5,false))</f>
        <v>0</v>
      </c>
      <c r="F39" s="1087">
        <v>2000000.0</v>
      </c>
      <c r="G39" s="1087">
        <v>100000.0</v>
      </c>
      <c r="H39" s="1081"/>
      <c r="I39" s="1085" t="s">
        <v>810</v>
      </c>
      <c r="J39" s="1085" t="s">
        <v>879</v>
      </c>
      <c r="K39" s="1085" t="s">
        <v>880</v>
      </c>
      <c r="L39" s="1086" t="s">
        <v>776</v>
      </c>
      <c r="M39" s="1086">
        <f>IFERROR(VLOOKUP(J39,'TỒN'!A:E,5,false))</f>
        <v>0</v>
      </c>
      <c r="N39" s="1087">
        <v>5294300.0</v>
      </c>
      <c r="O39" s="1087">
        <v>200000.0</v>
      </c>
    </row>
    <row r="40">
      <c r="A40" s="1085" t="s">
        <v>868</v>
      </c>
      <c r="B40" s="1085" t="s">
        <v>881</v>
      </c>
      <c r="C40" s="1085" t="s">
        <v>882</v>
      </c>
      <c r="D40" s="1086" t="s">
        <v>883</v>
      </c>
      <c r="E40" s="1086">
        <f>IFERROR(VLOOKUP(B40,'TỒN'!A:E,5,false))</f>
        <v>0</v>
      </c>
      <c r="F40" s="1087">
        <v>92000.0</v>
      </c>
      <c r="G40" s="1087">
        <v>5000.0</v>
      </c>
      <c r="H40" s="1081"/>
      <c r="I40" s="1085" t="s">
        <v>810</v>
      </c>
      <c r="J40" s="1085" t="s">
        <v>884</v>
      </c>
      <c r="K40" s="1085" t="s">
        <v>885</v>
      </c>
      <c r="L40" s="1086" t="s">
        <v>776</v>
      </c>
      <c r="M40" s="1086">
        <f>IFERROR(VLOOKUP(J40,'TỒN'!A:E,5,false))</f>
        <v>0</v>
      </c>
      <c r="N40" s="1087">
        <v>4860350.0</v>
      </c>
      <c r="O40" s="1087">
        <v>200000.0</v>
      </c>
    </row>
    <row r="41">
      <c r="A41" s="1085" t="s">
        <v>851</v>
      </c>
      <c r="B41" s="1085" t="s">
        <v>886</v>
      </c>
      <c r="C41" s="1085" t="s">
        <v>887</v>
      </c>
      <c r="D41" s="1086" t="s">
        <v>780</v>
      </c>
      <c r="E41" s="1086">
        <f>IFERROR(VLOOKUP(B41,'TỒN'!A:E,5,false))</f>
        <v>0</v>
      </c>
      <c r="F41" s="1087">
        <v>70000.0</v>
      </c>
      <c r="G41" s="1087">
        <v>5000.0</v>
      </c>
      <c r="H41" s="1081"/>
      <c r="I41" s="1085" t="s">
        <v>810</v>
      </c>
      <c r="J41" s="1085" t="s">
        <v>888</v>
      </c>
      <c r="K41" s="1085" t="s">
        <v>889</v>
      </c>
      <c r="L41" s="1086" t="s">
        <v>780</v>
      </c>
      <c r="M41" s="1086">
        <f>IFERROR(VLOOKUP(J41,'TỒN'!A:E,5,false))</f>
        <v>0</v>
      </c>
      <c r="N41" s="1087">
        <v>5562150.0</v>
      </c>
      <c r="O41" s="1087">
        <v>200000.0</v>
      </c>
    </row>
    <row r="42">
      <c r="A42" s="1085" t="s">
        <v>846</v>
      </c>
      <c r="B42" s="1085" t="s">
        <v>890</v>
      </c>
      <c r="C42" s="1085" t="s">
        <v>891</v>
      </c>
      <c r="D42" s="1086" t="s">
        <v>780</v>
      </c>
      <c r="E42" s="1086">
        <f>IFERROR(VLOOKUP(B42,'TỒN'!A:E,5,false))</f>
        <v>0</v>
      </c>
      <c r="F42" s="1087">
        <v>82200.0</v>
      </c>
      <c r="G42" s="1087">
        <v>5000.0</v>
      </c>
      <c r="H42" s="1081"/>
      <c r="I42" s="1085" t="s">
        <v>810</v>
      </c>
      <c r="J42" s="1085" t="s">
        <v>892</v>
      </c>
      <c r="K42" s="1085" t="s">
        <v>893</v>
      </c>
      <c r="L42" s="1086" t="s">
        <v>780</v>
      </c>
      <c r="M42" s="1086">
        <f>IFERROR(VLOOKUP(J42,'TỒN'!A:E,5,false))</f>
        <v>0</v>
      </c>
      <c r="N42" s="1087">
        <v>1.213058E7</v>
      </c>
      <c r="O42" s="1087">
        <v>200000.0</v>
      </c>
    </row>
    <row r="43">
      <c r="A43" s="1083" t="s">
        <v>769</v>
      </c>
      <c r="B43" s="1083" t="s">
        <v>427</v>
      </c>
      <c r="C43" s="1083" t="s">
        <v>894</v>
      </c>
      <c r="D43" s="1083" t="s">
        <v>202</v>
      </c>
      <c r="E43" s="1083" t="s">
        <v>771</v>
      </c>
      <c r="F43" s="1084" t="s">
        <v>68</v>
      </c>
      <c r="G43" s="1084" t="s">
        <v>772</v>
      </c>
      <c r="H43" s="1081"/>
      <c r="I43" s="1085" t="s">
        <v>810</v>
      </c>
      <c r="J43" s="1085" t="s">
        <v>895</v>
      </c>
      <c r="K43" s="1085" t="s">
        <v>896</v>
      </c>
      <c r="L43" s="1086" t="s">
        <v>780</v>
      </c>
      <c r="M43" s="1086">
        <f>IFERROR(VLOOKUP(J43,'TỒN'!A:E,5,false))</f>
        <v>0</v>
      </c>
      <c r="N43" s="1087">
        <v>2391510.0</v>
      </c>
      <c r="O43" s="1087">
        <v>200000.0</v>
      </c>
    </row>
    <row r="44">
      <c r="A44" s="17"/>
      <c r="B44" s="17"/>
      <c r="C44" s="17"/>
      <c r="D44" s="17"/>
      <c r="E44" s="17"/>
      <c r="F44" s="17"/>
      <c r="G44" s="17"/>
      <c r="H44" s="1081"/>
      <c r="I44" s="1085" t="s">
        <v>810</v>
      </c>
      <c r="J44" s="1085" t="s">
        <v>897</v>
      </c>
      <c r="K44" s="1085" t="s">
        <v>898</v>
      </c>
      <c r="L44" s="1086" t="s">
        <v>780</v>
      </c>
      <c r="M44" s="1086">
        <f>IFERROR(VLOOKUP(J44,'TỒN'!A:E,5,false))</f>
        <v>0</v>
      </c>
      <c r="N44" s="1087">
        <v>2.2544E7</v>
      </c>
      <c r="O44" s="1087">
        <v>200000.0</v>
      </c>
    </row>
    <row r="45">
      <c r="A45" s="1085"/>
      <c r="B45" s="1085"/>
      <c r="C45" s="1085"/>
      <c r="D45" s="1086"/>
      <c r="E45" s="1086"/>
      <c r="F45" s="1087"/>
      <c r="G45" s="1087"/>
      <c r="H45" s="1081"/>
      <c r="I45" s="1085" t="s">
        <v>810</v>
      </c>
      <c r="J45" s="1085" t="s">
        <v>899</v>
      </c>
      <c r="K45" s="1085" t="s">
        <v>900</v>
      </c>
      <c r="L45" s="1086" t="s">
        <v>780</v>
      </c>
      <c r="M45" s="1086">
        <f>IFERROR(VLOOKUP(J45,'TỒN'!A:E,5,false))</f>
        <v>0</v>
      </c>
      <c r="N45" s="1087">
        <v>3.811291E7</v>
      </c>
      <c r="O45" s="1087">
        <v>200000.0</v>
      </c>
    </row>
    <row r="46">
      <c r="A46" s="1085"/>
      <c r="B46" s="1085"/>
      <c r="C46" s="1085"/>
      <c r="D46" s="1086"/>
      <c r="E46" s="1086"/>
      <c r="F46" s="1087"/>
      <c r="G46" s="1087"/>
      <c r="H46" s="1081"/>
      <c r="I46" s="1085" t="s">
        <v>901</v>
      </c>
      <c r="J46" s="1085" t="s">
        <v>902</v>
      </c>
      <c r="K46" s="1085" t="s">
        <v>903</v>
      </c>
      <c r="L46" s="1086" t="s">
        <v>780</v>
      </c>
      <c r="M46" s="1086">
        <f>IFERROR(VLOOKUP(J46,'TỒN'!A:E,5,false))</f>
        <v>0</v>
      </c>
      <c r="N46" s="1087">
        <v>7444360.0</v>
      </c>
      <c r="O46" s="1087">
        <v>200000.0</v>
      </c>
    </row>
    <row r="47">
      <c r="A47" s="1085"/>
      <c r="B47" s="1085"/>
      <c r="C47" s="1085"/>
      <c r="D47" s="1086"/>
      <c r="E47" s="1086"/>
      <c r="F47" s="1087"/>
      <c r="G47" s="1087"/>
      <c r="H47" s="1081"/>
      <c r="I47" s="1085" t="s">
        <v>901</v>
      </c>
      <c r="J47" s="1085" t="s">
        <v>904</v>
      </c>
      <c r="K47" s="1085" t="s">
        <v>905</v>
      </c>
      <c r="L47" s="1086" t="s">
        <v>780</v>
      </c>
      <c r="M47" s="1086">
        <f>IFERROR(VLOOKUP(J47,'TỒN'!A:E,5,false))</f>
        <v>0</v>
      </c>
      <c r="N47" s="1087">
        <v>6470640.0</v>
      </c>
      <c r="O47" s="1087">
        <v>200000.0</v>
      </c>
    </row>
    <row r="48">
      <c r="A48" s="1085" t="s">
        <v>851</v>
      </c>
      <c r="B48" s="1085" t="s">
        <v>906</v>
      </c>
      <c r="C48" s="1085" t="s">
        <v>907</v>
      </c>
      <c r="D48" s="1086" t="s">
        <v>780</v>
      </c>
      <c r="E48" s="1086">
        <f>IFERROR(VLOOKUP(B48,'TỒN'!A:E,5,false))</f>
        <v>0</v>
      </c>
      <c r="F48" s="1087">
        <v>40800.0</v>
      </c>
      <c r="G48" s="1087">
        <v>1000.0</v>
      </c>
      <c r="H48" s="1081"/>
      <c r="I48" s="1085" t="s">
        <v>901</v>
      </c>
      <c r="J48" s="1085" t="s">
        <v>908</v>
      </c>
      <c r="K48" s="1085" t="s">
        <v>909</v>
      </c>
      <c r="L48" s="1086" t="s">
        <v>780</v>
      </c>
      <c r="M48" s="1086">
        <f>IFERROR(VLOOKUP(J48,'TỒN'!A:E,5,false))</f>
        <v>0</v>
      </c>
      <c r="N48" s="1087">
        <v>6620350.0</v>
      </c>
      <c r="O48" s="1087">
        <v>200000.0</v>
      </c>
    </row>
    <row r="49">
      <c r="A49" s="1085"/>
      <c r="B49" s="1085"/>
      <c r="C49" s="1085"/>
      <c r="D49" s="1086"/>
      <c r="E49" s="1086"/>
      <c r="F49" s="1087"/>
      <c r="G49" s="1087"/>
      <c r="H49" s="1081"/>
      <c r="I49" s="1085"/>
      <c r="J49" s="1085"/>
      <c r="K49" s="1085"/>
      <c r="L49" s="1086"/>
      <c r="M49" s="1086"/>
      <c r="N49" s="1087"/>
      <c r="O49" s="1087"/>
    </row>
    <row r="50">
      <c r="A50" s="1085"/>
      <c r="B50" s="1085"/>
      <c r="C50" s="1085"/>
      <c r="D50" s="1086"/>
      <c r="E50" s="1086"/>
      <c r="F50" s="1087"/>
      <c r="G50" s="1087"/>
      <c r="H50" s="1081"/>
      <c r="I50" s="1085"/>
      <c r="J50" s="1085"/>
      <c r="K50" s="1085"/>
      <c r="L50" s="1086"/>
      <c r="M50" s="1086"/>
      <c r="N50" s="1087"/>
      <c r="O50" s="1087"/>
    </row>
    <row r="51">
      <c r="A51" s="1085" t="s">
        <v>851</v>
      </c>
      <c r="B51" s="1085" t="s">
        <v>910</v>
      </c>
      <c r="C51" s="1085" t="s">
        <v>911</v>
      </c>
      <c r="D51" s="1086" t="s">
        <v>780</v>
      </c>
      <c r="E51" s="1086">
        <f>IFERROR(VLOOKUP(B51,'TỒN'!A:E,5,false))</f>
        <v>0</v>
      </c>
      <c r="F51" s="1087">
        <v>77000.0</v>
      </c>
      <c r="G51" s="1087">
        <v>1000.0</v>
      </c>
      <c r="H51" s="1081"/>
      <c r="I51" s="1085" t="s">
        <v>901</v>
      </c>
      <c r="J51" s="1085" t="s">
        <v>912</v>
      </c>
      <c r="K51" s="1085" t="s">
        <v>913</v>
      </c>
      <c r="L51" s="1086" t="s">
        <v>780</v>
      </c>
      <c r="M51" s="1086">
        <f>IFERROR(VLOOKUP(J51,'TỒN'!A:E,5,false))</f>
        <v>0</v>
      </c>
      <c r="N51" s="1087">
        <v>6470640.0</v>
      </c>
      <c r="O51" s="1087">
        <v>200000.0</v>
      </c>
    </row>
    <row r="52">
      <c r="A52" s="1085"/>
      <c r="B52" s="1085"/>
      <c r="C52" s="1085"/>
      <c r="D52" s="1086"/>
      <c r="E52" s="1086"/>
      <c r="F52" s="1087"/>
      <c r="G52" s="1087"/>
      <c r="H52" s="1081"/>
      <c r="I52" s="1085"/>
      <c r="J52" s="1085"/>
      <c r="K52" s="1085"/>
      <c r="L52" s="1086"/>
      <c r="M52" s="1086"/>
      <c r="N52" s="1087"/>
      <c r="O52" s="1087"/>
    </row>
    <row r="53">
      <c r="A53" s="1085" t="s">
        <v>851</v>
      </c>
      <c r="B53" s="1085" t="s">
        <v>914</v>
      </c>
      <c r="C53" s="1085" t="s">
        <v>915</v>
      </c>
      <c r="D53" s="1086" t="s">
        <v>776</v>
      </c>
      <c r="E53" s="1086">
        <f>IFERROR(VLOOKUP(B53,'TỒN'!A:E,5,false))</f>
        <v>0</v>
      </c>
      <c r="F53" s="1087">
        <v>90000.0</v>
      </c>
      <c r="G53" s="1087">
        <v>1000.0</v>
      </c>
      <c r="H53" s="1081"/>
      <c r="I53" s="1085" t="s">
        <v>901</v>
      </c>
      <c r="J53" s="1085" t="s">
        <v>916</v>
      </c>
      <c r="K53" s="1085" t="s">
        <v>917</v>
      </c>
      <c r="L53" s="1086" t="s">
        <v>780</v>
      </c>
      <c r="M53" s="1086">
        <f>IFERROR(VLOOKUP(J53,'TỒN'!A:E,5,false))</f>
        <v>0</v>
      </c>
      <c r="N53" s="1087">
        <v>1.004971E7</v>
      </c>
      <c r="O53" s="1087">
        <v>200000.0</v>
      </c>
    </row>
    <row r="54">
      <c r="A54" s="1088"/>
      <c r="B54" s="1089" t="s">
        <v>918</v>
      </c>
      <c r="C54" s="1089" t="s">
        <v>919</v>
      </c>
      <c r="D54" s="1090" t="s">
        <v>776</v>
      </c>
      <c r="E54" s="1090">
        <f>IFERROR(VLOOKUP(B54,'TỒN'!A:E,5,false))</f>
        <v>0</v>
      </c>
      <c r="F54" s="1091">
        <v>171366.6</v>
      </c>
      <c r="G54" s="1087">
        <v>5000.0</v>
      </c>
      <c r="H54" s="1081"/>
      <c r="I54" s="1085" t="s">
        <v>901</v>
      </c>
      <c r="J54" s="1085" t="s">
        <v>920</v>
      </c>
      <c r="K54" s="1085" t="s">
        <v>921</v>
      </c>
      <c r="L54" s="1086" t="s">
        <v>780</v>
      </c>
      <c r="M54" s="1086">
        <f>IFERROR(VLOOKUP(J54,'TỒN'!A:E,5,false))</f>
        <v>0</v>
      </c>
      <c r="N54" s="1087">
        <v>1.525744E7</v>
      </c>
      <c r="O54" s="1087">
        <v>200000.0</v>
      </c>
    </row>
    <row r="55">
      <c r="A55" s="1088"/>
      <c r="B55" s="1089" t="s">
        <v>922</v>
      </c>
      <c r="C55" s="1089" t="s">
        <v>923</v>
      </c>
      <c r="D55" s="1090" t="s">
        <v>776</v>
      </c>
      <c r="E55" s="1090">
        <f>IFERROR(VLOOKUP(B55,'TỒN'!A:E,5,false))</f>
        <v>0</v>
      </c>
      <c r="F55" s="1091">
        <v>20790.0</v>
      </c>
      <c r="G55" s="1087">
        <v>5000.0</v>
      </c>
      <c r="H55" s="1081"/>
      <c r="I55" s="1085" t="s">
        <v>901</v>
      </c>
      <c r="J55" s="1085" t="s">
        <v>924</v>
      </c>
      <c r="K55" s="1085" t="s">
        <v>925</v>
      </c>
      <c r="L55" s="1086" t="s">
        <v>780</v>
      </c>
      <c r="M55" s="1086">
        <f>IFERROR(VLOOKUP(J55,'TỒN'!A:E,5,false))</f>
        <v>0</v>
      </c>
      <c r="N55" s="1087">
        <v>2.036122E7</v>
      </c>
      <c r="O55" s="1087">
        <v>200000.0</v>
      </c>
    </row>
    <row r="56">
      <c r="A56" s="1088"/>
      <c r="B56" s="1089" t="s">
        <v>926</v>
      </c>
      <c r="C56" s="1089" t="s">
        <v>927</v>
      </c>
      <c r="D56" s="1090" t="s">
        <v>780</v>
      </c>
      <c r="E56" s="1090">
        <f>IFERROR(VLOOKUP(B56,'TỒN'!A:E,5,false))</f>
        <v>0</v>
      </c>
      <c r="F56" s="1091">
        <v>476215.0</v>
      </c>
      <c r="G56" s="1087">
        <v>5000.0</v>
      </c>
      <c r="H56" s="1081"/>
      <c r="I56" s="1085" t="s">
        <v>901</v>
      </c>
      <c r="J56" s="1085" t="s">
        <v>928</v>
      </c>
      <c r="K56" s="1085" t="s">
        <v>929</v>
      </c>
      <c r="L56" s="1086" t="s">
        <v>780</v>
      </c>
      <c r="M56" s="1086">
        <f>IFERROR(VLOOKUP(J56,'TỒN'!A:E,5,false))</f>
        <v>0</v>
      </c>
      <c r="N56" s="1087">
        <v>1.904727E7</v>
      </c>
      <c r="O56" s="1087">
        <v>200000.0</v>
      </c>
    </row>
    <row r="57">
      <c r="A57" s="1088"/>
      <c r="B57" s="1089" t="s">
        <v>930</v>
      </c>
      <c r="C57" s="1089" t="s">
        <v>931</v>
      </c>
      <c r="D57" s="1090" t="s">
        <v>780</v>
      </c>
      <c r="E57" s="1090">
        <f>IFERROR(VLOOKUP(B57,'TỒN'!A:E,5,false))</f>
        <v>0</v>
      </c>
      <c r="F57" s="1091">
        <v>610639.0</v>
      </c>
      <c r="G57" s="1087">
        <v>5000.0</v>
      </c>
      <c r="H57" s="1081"/>
      <c r="I57" s="1085" t="s">
        <v>901</v>
      </c>
      <c r="J57" s="1085" t="s">
        <v>932</v>
      </c>
      <c r="K57" s="1085" t="s">
        <v>933</v>
      </c>
      <c r="L57" s="1086" t="s">
        <v>780</v>
      </c>
      <c r="M57" s="1086">
        <f>IFERROR(VLOOKUP(J57,'TỒN'!A:E,5,false))</f>
        <v>0</v>
      </c>
      <c r="N57" s="1087">
        <v>8277500.0</v>
      </c>
      <c r="O57" s="1087">
        <v>200000.0</v>
      </c>
    </row>
    <row r="58">
      <c r="A58" s="1085"/>
      <c r="B58" s="1085"/>
      <c r="C58" s="1085"/>
      <c r="D58" s="1086"/>
      <c r="E58" s="1086"/>
      <c r="F58" s="1087"/>
      <c r="G58" s="1087"/>
      <c r="H58" s="1081"/>
      <c r="I58" s="1085" t="s">
        <v>901</v>
      </c>
      <c r="J58" s="1085" t="s">
        <v>934</v>
      </c>
      <c r="K58" s="1085" t="s">
        <v>935</v>
      </c>
      <c r="L58" s="1086" t="s">
        <v>780</v>
      </c>
      <c r="M58" s="1086">
        <f>IFERROR(VLOOKUP(J58,'TỒN'!A:E,5,false))</f>
        <v>0</v>
      </c>
      <c r="N58" s="1087">
        <v>1.717023E7</v>
      </c>
      <c r="O58" s="1087">
        <v>200000.0</v>
      </c>
    </row>
    <row r="59">
      <c r="A59" s="1085" t="s">
        <v>936</v>
      </c>
      <c r="B59" s="1085" t="s">
        <v>937</v>
      </c>
      <c r="C59" s="1085" t="s">
        <v>938</v>
      </c>
      <c r="D59" s="1086" t="s">
        <v>780</v>
      </c>
      <c r="E59" s="1086">
        <f>IFERROR(VLOOKUP(B59,'TỒN'!A:E,5,false))</f>
        <v>0</v>
      </c>
      <c r="F59" s="1087">
        <v>889700.0</v>
      </c>
      <c r="G59" s="1087">
        <v>20000.0</v>
      </c>
      <c r="H59" s="1081"/>
      <c r="I59" s="1085" t="s">
        <v>901</v>
      </c>
      <c r="J59" s="1085" t="s">
        <v>939</v>
      </c>
      <c r="K59" s="1085" t="s">
        <v>940</v>
      </c>
      <c r="L59" s="1086" t="s">
        <v>780</v>
      </c>
      <c r="M59" s="1086">
        <f>IFERROR(VLOOKUP(J59,'TỒN'!A:E,5,false))</f>
        <v>0</v>
      </c>
      <c r="N59" s="1087">
        <v>1.710093E7</v>
      </c>
      <c r="O59" s="1087">
        <v>200000.0</v>
      </c>
    </row>
    <row r="60">
      <c r="A60" s="1085"/>
      <c r="B60" s="1085"/>
      <c r="C60" s="1085"/>
      <c r="D60" s="1086"/>
      <c r="E60" s="1086"/>
      <c r="F60" s="1087"/>
      <c r="G60" s="1087"/>
      <c r="H60" s="1081"/>
      <c r="I60" s="1085" t="s">
        <v>901</v>
      </c>
      <c r="J60" s="1085" t="s">
        <v>941</v>
      </c>
      <c r="K60" s="1085" t="s">
        <v>942</v>
      </c>
      <c r="L60" s="1086" t="s">
        <v>780</v>
      </c>
      <c r="M60" s="1086">
        <f>IFERROR(VLOOKUP(J60,'TỒN'!A:E,5,false))</f>
        <v>0</v>
      </c>
      <c r="N60" s="1087">
        <v>2.739308E7</v>
      </c>
      <c r="O60" s="1087">
        <v>200000.0</v>
      </c>
    </row>
    <row r="61">
      <c r="A61" s="1085"/>
      <c r="B61" s="1085"/>
      <c r="C61" s="1085"/>
      <c r="D61" s="1086"/>
      <c r="E61" s="1086"/>
      <c r="F61" s="1087"/>
      <c r="G61" s="1087"/>
      <c r="H61" s="1081"/>
      <c r="I61" s="1085" t="s">
        <v>901</v>
      </c>
      <c r="J61" s="1085" t="s">
        <v>943</v>
      </c>
      <c r="K61" s="1085" t="s">
        <v>944</v>
      </c>
      <c r="L61" s="1086" t="s">
        <v>780</v>
      </c>
      <c r="M61" s="1086">
        <f>IFERROR(VLOOKUP(J61,'TỒN'!A:E,5,false))</f>
        <v>0</v>
      </c>
      <c r="N61" s="1087">
        <v>2.657116E7</v>
      </c>
      <c r="O61" s="1087">
        <v>200000.0</v>
      </c>
    </row>
    <row r="62">
      <c r="A62" s="1085"/>
      <c r="B62" s="1085"/>
      <c r="C62" s="1085"/>
      <c r="D62" s="1086"/>
      <c r="E62" s="1086"/>
      <c r="F62" s="1087"/>
      <c r="G62" s="1087"/>
      <c r="H62" s="1081"/>
      <c r="I62" s="1085" t="s">
        <v>901</v>
      </c>
      <c r="J62" s="1085" t="s">
        <v>945</v>
      </c>
      <c r="K62" s="1085" t="s">
        <v>946</v>
      </c>
      <c r="L62" s="1086" t="s">
        <v>780</v>
      </c>
      <c r="M62" s="1086">
        <f>IFERROR(VLOOKUP(J62,'TỒN'!A:E,5,false))</f>
        <v>0</v>
      </c>
      <c r="N62" s="1087">
        <v>2.591116E7</v>
      </c>
      <c r="O62" s="1087">
        <v>200000.0</v>
      </c>
    </row>
    <row r="63">
      <c r="A63" s="1085"/>
      <c r="B63" s="1085"/>
      <c r="C63" s="1085"/>
      <c r="D63" s="1086"/>
      <c r="E63" s="1086"/>
      <c r="F63" s="1087"/>
      <c r="G63" s="1087"/>
      <c r="H63" s="1081"/>
      <c r="I63" s="1085" t="s">
        <v>901</v>
      </c>
      <c r="J63" s="1085" t="s">
        <v>947</v>
      </c>
      <c r="K63" s="1085" t="s">
        <v>948</v>
      </c>
      <c r="L63" s="1086" t="s">
        <v>780</v>
      </c>
      <c r="M63" s="1086">
        <f>IFERROR(VLOOKUP(J63,'TỒN'!A:E,5,false))</f>
        <v>0</v>
      </c>
      <c r="N63" s="1087">
        <v>2.52593E7</v>
      </c>
      <c r="O63" s="1087">
        <v>200000.0</v>
      </c>
    </row>
    <row r="64">
      <c r="A64" s="1085" t="s">
        <v>846</v>
      </c>
      <c r="B64" s="1085" t="s">
        <v>949</v>
      </c>
      <c r="C64" s="1085" t="s">
        <v>950</v>
      </c>
      <c r="D64" s="1086" t="s">
        <v>780</v>
      </c>
      <c r="E64" s="1086">
        <f>IFERROR(VLOOKUP(B64,'TỒN'!A:E,5,false))</f>
        <v>0</v>
      </c>
      <c r="F64" s="1087">
        <v>83400.0</v>
      </c>
      <c r="G64" s="1087">
        <v>5000.0</v>
      </c>
      <c r="H64" s="1081"/>
      <c r="I64" s="1085" t="s">
        <v>901</v>
      </c>
      <c r="J64" s="1085" t="s">
        <v>951</v>
      </c>
      <c r="K64" s="1085" t="s">
        <v>952</v>
      </c>
      <c r="L64" s="1086" t="s">
        <v>780</v>
      </c>
      <c r="M64" s="1086">
        <f>IFERROR(VLOOKUP(J64,'TỒN'!A:E,5,false))</f>
        <v>0</v>
      </c>
      <c r="N64" s="1087">
        <v>2.459721E7</v>
      </c>
      <c r="O64" s="1087">
        <v>200000.0</v>
      </c>
    </row>
    <row r="65">
      <c r="A65" s="1085"/>
      <c r="B65" s="1085"/>
      <c r="C65" s="1085"/>
      <c r="D65" s="1086"/>
      <c r="E65" s="1086"/>
      <c r="F65" s="1087"/>
      <c r="G65" s="1087"/>
      <c r="H65" s="1081"/>
      <c r="I65" s="1085"/>
      <c r="J65" s="1085"/>
      <c r="K65" s="1085"/>
      <c r="L65" s="1086"/>
      <c r="M65" s="1086"/>
      <c r="N65" s="1087"/>
      <c r="O65" s="1087"/>
    </row>
    <row r="66">
      <c r="A66" s="1085"/>
      <c r="B66" s="1085"/>
      <c r="C66" s="1085"/>
      <c r="D66" s="1086"/>
      <c r="E66" s="1086"/>
      <c r="F66" s="1087"/>
      <c r="G66" s="1087"/>
      <c r="H66" s="1081"/>
      <c r="I66" s="1085"/>
      <c r="J66" s="1085"/>
      <c r="K66" s="1085"/>
      <c r="L66" s="1086"/>
      <c r="M66" s="1086"/>
      <c r="N66" s="1087"/>
      <c r="O66" s="1087"/>
    </row>
    <row r="67">
      <c r="A67" s="1085"/>
      <c r="B67" s="1085"/>
      <c r="C67" s="1085"/>
      <c r="D67" s="1086"/>
      <c r="E67" s="1086"/>
      <c r="F67" s="1087"/>
      <c r="G67" s="1087"/>
      <c r="H67" s="1081"/>
      <c r="I67" s="1085" t="s">
        <v>901</v>
      </c>
      <c r="J67" s="1085" t="s">
        <v>953</v>
      </c>
      <c r="K67" s="1085" t="s">
        <v>954</v>
      </c>
      <c r="L67" s="1086" t="s">
        <v>780</v>
      </c>
      <c r="M67" s="1086">
        <f>IFERROR(VLOOKUP(J67,'TỒN'!A:E,5,false))</f>
        <v>0</v>
      </c>
      <c r="N67" s="1087">
        <v>6915700.0</v>
      </c>
      <c r="O67" s="1087">
        <v>200000.0</v>
      </c>
    </row>
    <row r="68">
      <c r="A68" s="1085" t="s">
        <v>851</v>
      </c>
      <c r="B68" s="1085" t="s">
        <v>955</v>
      </c>
      <c r="C68" s="1085" t="s">
        <v>956</v>
      </c>
      <c r="D68" s="1086" t="s">
        <v>780</v>
      </c>
      <c r="E68" s="1086">
        <f>IFERROR(VLOOKUP(B68,'TỒN'!A:E,5,false))</f>
        <v>0</v>
      </c>
      <c r="F68" s="1087">
        <v>37100.0</v>
      </c>
      <c r="G68" s="1087">
        <v>5000.0</v>
      </c>
      <c r="H68" s="1081"/>
      <c r="I68" s="1085"/>
      <c r="J68" s="1085"/>
      <c r="K68" s="1085"/>
      <c r="L68" s="1086"/>
      <c r="M68" s="1086"/>
      <c r="N68" s="1087"/>
      <c r="O68" s="1087"/>
    </row>
    <row r="69">
      <c r="A69" s="1085"/>
      <c r="B69" s="1085"/>
      <c r="C69" s="1085"/>
      <c r="D69" s="1086"/>
      <c r="E69" s="1086"/>
      <c r="F69" s="1087"/>
      <c r="G69" s="1087"/>
      <c r="H69" s="1081"/>
      <c r="I69" s="1085"/>
      <c r="J69" s="1085"/>
      <c r="K69" s="1085"/>
      <c r="L69" s="1086"/>
      <c r="M69" s="1086"/>
      <c r="N69" s="1087"/>
      <c r="O69" s="1087"/>
    </row>
    <row r="70">
      <c r="A70" s="1085" t="s">
        <v>851</v>
      </c>
      <c r="B70" s="1085" t="s">
        <v>957</v>
      </c>
      <c r="C70" s="1085" t="s">
        <v>958</v>
      </c>
      <c r="D70" s="1086" t="s">
        <v>776</v>
      </c>
      <c r="E70" s="1086">
        <f>IFERROR(VLOOKUP(B70,'TỒN'!A:E,5,false))</f>
        <v>0</v>
      </c>
      <c r="F70" s="1087">
        <v>26000.0</v>
      </c>
      <c r="G70" s="1087">
        <v>5000.0</v>
      </c>
      <c r="H70" s="1081"/>
      <c r="I70" s="1085"/>
      <c r="J70" s="1085"/>
      <c r="K70" s="1085"/>
      <c r="L70" s="1086"/>
      <c r="M70" s="1086"/>
      <c r="N70" s="1087"/>
      <c r="O70" s="1087"/>
    </row>
    <row r="71">
      <c r="A71" s="1085" t="s">
        <v>851</v>
      </c>
      <c r="B71" s="1085" t="s">
        <v>959</v>
      </c>
      <c r="C71" s="1085" t="s">
        <v>960</v>
      </c>
      <c r="D71" s="1086" t="s">
        <v>776</v>
      </c>
      <c r="E71" s="1086">
        <f>IFERROR(VLOOKUP(B71,'TỒN'!A:E,5,false))</f>
        <v>0</v>
      </c>
      <c r="F71" s="1087">
        <v>32000.0</v>
      </c>
      <c r="G71" s="1087">
        <v>5000.0</v>
      </c>
      <c r="H71" s="1081"/>
      <c r="I71" s="1085"/>
      <c r="J71" s="1085"/>
      <c r="K71" s="1085"/>
      <c r="L71" s="1086"/>
      <c r="M71" s="1086"/>
      <c r="N71" s="1087"/>
      <c r="O71" s="1087"/>
    </row>
    <row r="72">
      <c r="A72" s="1083" t="s">
        <v>769</v>
      </c>
      <c r="B72" s="1083" t="s">
        <v>427</v>
      </c>
      <c r="C72" s="1083" t="s">
        <v>961</v>
      </c>
      <c r="D72" s="1083" t="s">
        <v>202</v>
      </c>
      <c r="E72" s="1083" t="s">
        <v>771</v>
      </c>
      <c r="F72" s="1084" t="s">
        <v>68</v>
      </c>
      <c r="G72" s="1084" t="s">
        <v>772</v>
      </c>
      <c r="H72" s="1081"/>
      <c r="I72" s="1085" t="s">
        <v>901</v>
      </c>
      <c r="J72" s="1085" t="s">
        <v>962</v>
      </c>
      <c r="K72" s="1085" t="s">
        <v>963</v>
      </c>
      <c r="L72" s="1086" t="s">
        <v>780</v>
      </c>
      <c r="M72" s="1086">
        <f>IFERROR(VLOOKUP(J72,'TỒN'!A:E,5,false))</f>
        <v>0</v>
      </c>
      <c r="N72" s="1087">
        <v>9258370.0</v>
      </c>
      <c r="O72" s="1087">
        <v>200000.0</v>
      </c>
    </row>
    <row r="73">
      <c r="A73" s="17"/>
      <c r="B73" s="17"/>
      <c r="C73" s="17"/>
      <c r="D73" s="17"/>
      <c r="E73" s="17"/>
      <c r="F73" s="17"/>
      <c r="G73" s="17"/>
      <c r="H73" s="1081"/>
      <c r="I73" s="1085" t="s">
        <v>901</v>
      </c>
      <c r="J73" s="1085" t="s">
        <v>964</v>
      </c>
      <c r="K73" s="1085" t="s">
        <v>965</v>
      </c>
      <c r="L73" s="1086" t="s">
        <v>780</v>
      </c>
      <c r="M73" s="1086">
        <f>IFERROR(VLOOKUP(J73,'TỒN'!A:E,5,false))</f>
        <v>0</v>
      </c>
      <c r="N73" s="1087">
        <v>9502790.0</v>
      </c>
      <c r="O73" s="1087">
        <v>200000.0</v>
      </c>
    </row>
    <row r="74">
      <c r="A74" s="1085" t="s">
        <v>851</v>
      </c>
      <c r="B74" s="1085" t="s">
        <v>966</v>
      </c>
      <c r="C74" s="1085" t="s">
        <v>967</v>
      </c>
      <c r="D74" s="1086" t="s">
        <v>780</v>
      </c>
      <c r="E74" s="1086">
        <f>IFERROR(VLOOKUP(B74,'TỒN'!A:E,5,false))</f>
        <v>0</v>
      </c>
      <c r="F74" s="1087">
        <v>27600.0</v>
      </c>
      <c r="G74" s="1087">
        <v>5000.0</v>
      </c>
      <c r="H74" s="1081"/>
      <c r="I74" s="1085" t="s">
        <v>901</v>
      </c>
      <c r="J74" s="1085" t="s">
        <v>968</v>
      </c>
      <c r="K74" s="1085" t="s">
        <v>969</v>
      </c>
      <c r="L74" s="1086" t="s">
        <v>780</v>
      </c>
      <c r="M74" s="1086">
        <f>IFERROR(VLOOKUP(J74,'TỒN'!A:E,5,false))</f>
        <v>0</v>
      </c>
      <c r="N74" s="1087">
        <v>1.024628E7</v>
      </c>
      <c r="O74" s="1087">
        <v>200000.0</v>
      </c>
    </row>
    <row r="75">
      <c r="A75" s="1085" t="s">
        <v>851</v>
      </c>
      <c r="B75" s="1085" t="s">
        <v>970</v>
      </c>
      <c r="C75" s="1085" t="s">
        <v>971</v>
      </c>
      <c r="D75" s="1086" t="s">
        <v>780</v>
      </c>
      <c r="E75" s="1086">
        <f>IFERROR(VLOOKUP(B75,'TỒN'!A:E,5,false))</f>
        <v>0</v>
      </c>
      <c r="F75" s="1087">
        <v>37000.0</v>
      </c>
      <c r="G75" s="1087">
        <v>5000.0</v>
      </c>
      <c r="H75" s="1081"/>
      <c r="I75" s="1085" t="s">
        <v>901</v>
      </c>
      <c r="J75" s="1085" t="s">
        <v>972</v>
      </c>
      <c r="K75" s="1085" t="s">
        <v>973</v>
      </c>
      <c r="L75" s="1086" t="s">
        <v>780</v>
      </c>
      <c r="M75" s="1086">
        <f>IFERROR(VLOOKUP(J75,'TỒN'!A:E,5,false))</f>
        <v>0</v>
      </c>
      <c r="N75" s="1087">
        <v>1.00375E7</v>
      </c>
      <c r="O75" s="1087">
        <v>200000.0</v>
      </c>
    </row>
    <row r="76">
      <c r="A76" s="1085"/>
      <c r="B76" s="1085"/>
      <c r="C76" s="1085"/>
      <c r="D76" s="1086"/>
      <c r="E76" s="1086"/>
      <c r="F76" s="1087"/>
      <c r="G76" s="1087"/>
      <c r="H76" s="1081"/>
      <c r="I76" s="1085" t="s">
        <v>901</v>
      </c>
      <c r="J76" s="1085" t="s">
        <v>974</v>
      </c>
      <c r="K76" s="1085" t="s">
        <v>975</v>
      </c>
      <c r="L76" s="1086" t="s">
        <v>780</v>
      </c>
      <c r="M76" s="1086">
        <f>IFERROR(VLOOKUP(J76,'TỒN'!A:E,5,false))</f>
        <v>0</v>
      </c>
      <c r="N76" s="1087">
        <v>1.242593E7</v>
      </c>
      <c r="O76" s="1087">
        <v>200000.0</v>
      </c>
    </row>
    <row r="77">
      <c r="A77" s="1085" t="s">
        <v>976</v>
      </c>
      <c r="B77" s="1085" t="s">
        <v>977</v>
      </c>
      <c r="C77" s="1085" t="s">
        <v>978</v>
      </c>
      <c r="D77" s="1086" t="s">
        <v>979</v>
      </c>
      <c r="E77" s="1086">
        <f>IFERROR(VLOOKUP(B77,'TỒN'!A:E,5,false))</f>
        <v>0</v>
      </c>
      <c r="F77" s="1087">
        <v>35000.0</v>
      </c>
      <c r="G77" s="1087">
        <v>5000.0</v>
      </c>
      <c r="H77" s="1081"/>
      <c r="I77" s="1085"/>
      <c r="J77" s="1085"/>
      <c r="K77" s="1085"/>
      <c r="L77" s="1086"/>
      <c r="M77" s="1086"/>
      <c r="N77" s="1087"/>
      <c r="O77" s="1087"/>
    </row>
    <row r="78">
      <c r="A78" s="1085"/>
      <c r="B78" s="1085"/>
      <c r="C78" s="1085"/>
      <c r="D78" s="1086"/>
      <c r="E78" s="1086"/>
      <c r="F78" s="1087"/>
      <c r="G78" s="1087"/>
      <c r="H78" s="1081"/>
      <c r="I78" s="1085" t="s">
        <v>901</v>
      </c>
      <c r="J78" s="1085" t="s">
        <v>980</v>
      </c>
      <c r="K78" s="1085" t="s">
        <v>981</v>
      </c>
      <c r="L78" s="1086" t="s">
        <v>780</v>
      </c>
      <c r="M78" s="1086">
        <f>IFERROR(VLOOKUP(J78,'TỒN'!A:E,5,false))</f>
        <v>0</v>
      </c>
      <c r="N78" s="1087">
        <v>1.141558E7</v>
      </c>
      <c r="O78" s="1087">
        <v>200000.0</v>
      </c>
    </row>
    <row r="79">
      <c r="A79" s="1085"/>
      <c r="B79" s="1085"/>
      <c r="C79" s="1085"/>
      <c r="D79" s="1086"/>
      <c r="E79" s="1086"/>
      <c r="F79" s="1087"/>
      <c r="G79" s="1087"/>
      <c r="H79" s="1081"/>
      <c r="I79" s="1085" t="s">
        <v>901</v>
      </c>
      <c r="J79" s="1085" t="s">
        <v>982</v>
      </c>
      <c r="K79" s="1085" t="s">
        <v>983</v>
      </c>
      <c r="L79" s="1086" t="s">
        <v>780</v>
      </c>
      <c r="M79" s="1086">
        <f>IFERROR(VLOOKUP(J79,'TỒN'!A:E,5,false))</f>
        <v>0</v>
      </c>
      <c r="N79" s="1087">
        <v>1.233122E7</v>
      </c>
      <c r="O79" s="1087">
        <v>200000.0</v>
      </c>
    </row>
    <row r="80">
      <c r="A80" s="1085" t="s">
        <v>851</v>
      </c>
      <c r="B80" s="1085" t="s">
        <v>984</v>
      </c>
      <c r="C80" s="1085" t="s">
        <v>985</v>
      </c>
      <c r="D80" s="1086" t="s">
        <v>780</v>
      </c>
      <c r="E80" s="1086">
        <f>IFERROR(VLOOKUP(B80,'TỒN'!A:E,5,false))</f>
        <v>0</v>
      </c>
      <c r="F80" s="1087">
        <v>35000.0</v>
      </c>
      <c r="G80" s="1087">
        <v>5000.0</v>
      </c>
      <c r="H80" s="1081"/>
      <c r="I80" s="1085" t="s">
        <v>901</v>
      </c>
      <c r="J80" s="1085" t="s">
        <v>986</v>
      </c>
      <c r="K80" s="1085" t="s">
        <v>987</v>
      </c>
      <c r="L80" s="1086" t="s">
        <v>780</v>
      </c>
      <c r="M80" s="1086">
        <f>IFERROR(VLOOKUP(J80,'TỒN'!A:E,5,false))</f>
        <v>0</v>
      </c>
      <c r="N80" s="1087">
        <v>1.719157E7</v>
      </c>
      <c r="O80" s="1087">
        <v>200000.0</v>
      </c>
    </row>
    <row r="81">
      <c r="A81" s="1085" t="s">
        <v>851</v>
      </c>
      <c r="B81" s="1085" t="s">
        <v>988</v>
      </c>
      <c r="C81" s="1085" t="s">
        <v>989</v>
      </c>
      <c r="D81" s="1086" t="s">
        <v>780</v>
      </c>
      <c r="E81" s="1086">
        <f>IFERROR(VLOOKUP(B81,'TỒN'!A:E,5,false))</f>
        <v>0</v>
      </c>
      <c r="F81" s="1087">
        <v>17500.0</v>
      </c>
      <c r="G81" s="1087">
        <v>5000.0</v>
      </c>
      <c r="H81" s="1081"/>
      <c r="I81" s="1085" t="s">
        <v>901</v>
      </c>
      <c r="J81" s="1085" t="s">
        <v>990</v>
      </c>
      <c r="K81" s="1085" t="s">
        <v>991</v>
      </c>
      <c r="L81" s="1086" t="s">
        <v>780</v>
      </c>
      <c r="M81" s="1086">
        <f>IFERROR(VLOOKUP(J81,'TỒN'!A:E,5,false))</f>
        <v>0</v>
      </c>
      <c r="N81" s="1087">
        <v>1.517593E7</v>
      </c>
      <c r="O81" s="1087">
        <v>200000.0</v>
      </c>
    </row>
    <row r="82">
      <c r="A82" s="1085" t="s">
        <v>851</v>
      </c>
      <c r="B82" s="1085" t="s">
        <v>992</v>
      </c>
      <c r="C82" s="1085" t="s">
        <v>993</v>
      </c>
      <c r="D82" s="1086" t="s">
        <v>780</v>
      </c>
      <c r="E82" s="1086">
        <f>IFERROR(VLOOKUP(B82,'TỒN'!A:E,5,false))</f>
        <v>0</v>
      </c>
      <c r="F82" s="1087">
        <v>35000.0</v>
      </c>
      <c r="G82" s="1087">
        <v>5000.0</v>
      </c>
      <c r="H82" s="1081"/>
      <c r="I82" s="1085" t="s">
        <v>901</v>
      </c>
      <c r="J82" s="1085" t="s">
        <v>994</v>
      </c>
      <c r="K82" s="1085" t="s">
        <v>995</v>
      </c>
      <c r="L82" s="1086" t="s">
        <v>780</v>
      </c>
      <c r="M82" s="1086">
        <f>IFERROR(VLOOKUP(J82,'TỒN'!A:E,5,false))</f>
        <v>0</v>
      </c>
      <c r="N82" s="1087">
        <v>1.680558E7</v>
      </c>
      <c r="O82" s="1087">
        <v>200000.0</v>
      </c>
    </row>
    <row r="83">
      <c r="A83" s="1085" t="s">
        <v>851</v>
      </c>
      <c r="B83" s="1085" t="s">
        <v>996</v>
      </c>
      <c r="C83" s="1085" t="s">
        <v>997</v>
      </c>
      <c r="D83" s="1086" t="s">
        <v>998</v>
      </c>
      <c r="E83" s="1086">
        <f>IFERROR(VLOOKUP(B83,'TỒN'!A:E,5,false))</f>
        <v>0</v>
      </c>
      <c r="F83" s="1087">
        <v>14500.0</v>
      </c>
      <c r="G83" s="1087">
        <v>5000.0</v>
      </c>
      <c r="H83" s="1081"/>
      <c r="I83" s="1085" t="s">
        <v>901</v>
      </c>
      <c r="J83" s="1085" t="s">
        <v>999</v>
      </c>
      <c r="K83" s="1085" t="s">
        <v>1000</v>
      </c>
      <c r="L83" s="1086" t="s">
        <v>780</v>
      </c>
      <c r="M83" s="1086">
        <f>IFERROR(VLOOKUP(J83,'TỒN'!A:E,5,false))</f>
        <v>0</v>
      </c>
      <c r="N83" s="1087">
        <v>1.639616E7</v>
      </c>
      <c r="O83" s="1087">
        <v>200000.0</v>
      </c>
    </row>
    <row r="84">
      <c r="A84" s="1085" t="s">
        <v>851</v>
      </c>
      <c r="B84" s="1085" t="s">
        <v>1001</v>
      </c>
      <c r="C84" s="1085" t="s">
        <v>1002</v>
      </c>
      <c r="D84" s="1086" t="s">
        <v>780</v>
      </c>
      <c r="E84" s="1086">
        <f>IFERROR(VLOOKUP(B84,'TỒN'!A:E,5,false))</f>
        <v>0</v>
      </c>
      <c r="F84" s="1087">
        <v>6000.0</v>
      </c>
      <c r="G84" s="1087">
        <v>5000.0</v>
      </c>
      <c r="H84" s="1081"/>
      <c r="I84" s="1083" t="s">
        <v>769</v>
      </c>
      <c r="J84" s="1083" t="s">
        <v>427</v>
      </c>
      <c r="K84" s="1083" t="s">
        <v>1003</v>
      </c>
      <c r="L84" s="1083" t="s">
        <v>202</v>
      </c>
      <c r="M84" s="1083" t="s">
        <v>771</v>
      </c>
      <c r="N84" s="1084" t="s">
        <v>68</v>
      </c>
      <c r="O84" s="1084" t="s">
        <v>772</v>
      </c>
    </row>
    <row r="85">
      <c r="A85" s="1085" t="s">
        <v>851</v>
      </c>
      <c r="B85" s="1085" t="s">
        <v>1004</v>
      </c>
      <c r="C85" s="1085" t="s">
        <v>1005</v>
      </c>
      <c r="D85" s="1086" t="s">
        <v>780</v>
      </c>
      <c r="E85" s="1086">
        <f>IFERROR(VLOOKUP(B85,'TỒN'!A:E,5,false))</f>
        <v>0</v>
      </c>
      <c r="F85" s="1087">
        <v>4644400.0</v>
      </c>
      <c r="G85" s="1087">
        <v>43000.0</v>
      </c>
      <c r="H85" s="1081"/>
      <c r="I85" s="17"/>
      <c r="J85" s="17"/>
      <c r="K85" s="17"/>
      <c r="L85" s="17"/>
      <c r="M85" s="17"/>
      <c r="N85" s="17"/>
      <c r="O85" s="17"/>
    </row>
    <row r="86">
      <c r="A86" s="1085"/>
      <c r="B86" s="1085"/>
      <c r="C86" s="1085"/>
      <c r="D86" s="1086"/>
      <c r="E86" s="1086"/>
      <c r="F86" s="1087"/>
      <c r="G86" s="1087"/>
      <c r="H86" s="1081"/>
      <c r="I86" s="1085"/>
      <c r="J86" s="1085"/>
      <c r="K86" s="1085"/>
      <c r="L86" s="1086"/>
      <c r="M86" s="1092"/>
      <c r="N86" s="1087"/>
      <c r="O86" s="1087"/>
    </row>
    <row r="87">
      <c r="A87" s="1085" t="s">
        <v>851</v>
      </c>
      <c r="B87" s="1085" t="s">
        <v>1006</v>
      </c>
      <c r="C87" s="1085" t="s">
        <v>1007</v>
      </c>
      <c r="D87" s="1086" t="s">
        <v>780</v>
      </c>
      <c r="E87" s="1086">
        <f>IFERROR(VLOOKUP(B87,'TỒN'!A:E,5,false))</f>
        <v>0</v>
      </c>
      <c r="F87" s="1087">
        <v>31500.0</v>
      </c>
      <c r="G87" s="1087">
        <v>1000.0</v>
      </c>
      <c r="H87" s="1081"/>
      <c r="I87" s="1085"/>
      <c r="J87" s="1085"/>
      <c r="K87" s="1085"/>
      <c r="L87" s="1086"/>
      <c r="M87" s="1092"/>
      <c r="N87" s="1087"/>
      <c r="O87" s="1087"/>
    </row>
    <row r="88">
      <c r="A88" s="1085" t="s">
        <v>851</v>
      </c>
      <c r="B88" s="1085" t="s">
        <v>1008</v>
      </c>
      <c r="C88" s="1085" t="s">
        <v>1009</v>
      </c>
      <c r="D88" s="1086" t="s">
        <v>780</v>
      </c>
      <c r="E88" s="1086">
        <f>IFERROR(VLOOKUP(B88,'TỒN'!A:E,5,false))</f>
        <v>0</v>
      </c>
      <c r="F88" s="1087">
        <v>52500.0</v>
      </c>
      <c r="G88" s="1087">
        <v>1000.0</v>
      </c>
      <c r="H88" s="1081"/>
      <c r="I88" s="1085" t="s">
        <v>851</v>
      </c>
      <c r="J88" s="1085" t="s">
        <v>1010</v>
      </c>
      <c r="K88" s="1085" t="s">
        <v>1011</v>
      </c>
      <c r="L88" s="1086" t="s">
        <v>780</v>
      </c>
      <c r="M88" s="1092">
        <f>IFERROR(VLOOKUP(J88,'TỒN'!A:E,5,false))</f>
        <v>0</v>
      </c>
      <c r="N88" s="1087">
        <v>178500.0</v>
      </c>
      <c r="O88" s="1087">
        <v>10000.0</v>
      </c>
    </row>
    <row r="89">
      <c r="A89" s="1085"/>
      <c r="B89" s="1085"/>
      <c r="C89" s="1085"/>
      <c r="D89" s="1086"/>
      <c r="E89" s="1086"/>
      <c r="F89" s="1087"/>
      <c r="G89" s="1087"/>
      <c r="H89" s="1081"/>
      <c r="I89" s="1085"/>
      <c r="J89" s="1085"/>
      <c r="K89" s="1085"/>
      <c r="L89" s="1086"/>
      <c r="M89" s="1092"/>
      <c r="N89" s="1087"/>
      <c r="O89" s="1087"/>
    </row>
    <row r="90">
      <c r="A90" s="1085" t="s">
        <v>851</v>
      </c>
      <c r="B90" s="1085" t="s">
        <v>1012</v>
      </c>
      <c r="C90" s="1085" t="s">
        <v>1013</v>
      </c>
      <c r="D90" s="1086" t="s">
        <v>780</v>
      </c>
      <c r="E90" s="1086">
        <f>IFERROR(VLOOKUP(B90,'TỒN'!A:E,5,false))</f>
        <v>0</v>
      </c>
      <c r="F90" s="1087">
        <v>40500.0</v>
      </c>
      <c r="G90" s="1087">
        <v>5000.0</v>
      </c>
      <c r="H90" s="1081"/>
      <c r="I90" s="1085"/>
      <c r="J90" s="1085"/>
      <c r="K90" s="1085"/>
      <c r="L90" s="1086"/>
      <c r="M90" s="1092"/>
      <c r="N90" s="1087"/>
      <c r="O90" s="1087"/>
    </row>
    <row r="91">
      <c r="A91" s="1085" t="s">
        <v>1014</v>
      </c>
      <c r="B91" s="1085" t="s">
        <v>1015</v>
      </c>
      <c r="C91" s="1085" t="s">
        <v>1016</v>
      </c>
      <c r="D91" s="1086" t="s">
        <v>780</v>
      </c>
      <c r="E91" s="1086">
        <f>IFERROR(VLOOKUP(B91,'TỒN'!A:E,5,false))</f>
        <v>0</v>
      </c>
      <c r="F91" s="1087">
        <v>22000.0</v>
      </c>
      <c r="G91" s="1087">
        <v>1000.0</v>
      </c>
      <c r="H91" s="1081"/>
      <c r="I91" s="1085"/>
      <c r="J91" s="1085"/>
      <c r="K91" s="1085"/>
      <c r="L91" s="1086"/>
      <c r="M91" s="1092"/>
      <c r="N91" s="1087"/>
      <c r="O91" s="1087"/>
    </row>
    <row r="92">
      <c r="H92" s="1081"/>
      <c r="I92" s="1085"/>
      <c r="J92" s="1085"/>
      <c r="K92" s="1085"/>
      <c r="L92" s="1086"/>
      <c r="M92" s="1092"/>
      <c r="N92" s="1087"/>
      <c r="O92" s="1087"/>
    </row>
    <row r="93">
      <c r="H93" s="1081"/>
      <c r="I93" s="1085"/>
      <c r="J93" s="1085"/>
      <c r="K93" s="1085"/>
      <c r="L93" s="1086"/>
      <c r="M93" s="1092"/>
      <c r="N93" s="1087"/>
      <c r="O93" s="1087"/>
    </row>
    <row r="94">
      <c r="H94" s="1081"/>
      <c r="I94" s="1085"/>
      <c r="J94" s="1085"/>
      <c r="K94" s="1085"/>
      <c r="L94" s="1086"/>
      <c r="M94" s="1092"/>
      <c r="N94" s="1087"/>
      <c r="O94" s="1087"/>
    </row>
    <row r="95">
      <c r="H95" s="1081"/>
      <c r="I95" s="1085" t="s">
        <v>851</v>
      </c>
      <c r="J95" s="1085" t="s">
        <v>1017</v>
      </c>
      <c r="K95" s="1085" t="s">
        <v>1018</v>
      </c>
      <c r="L95" s="1086" t="s">
        <v>780</v>
      </c>
      <c r="M95" s="1092">
        <f>IFERROR(VLOOKUP(J95,'TỒN'!A:E,5,false))</f>
        <v>0</v>
      </c>
      <c r="N95" s="1087">
        <v>266000.0</v>
      </c>
      <c r="O95" s="1087">
        <v>10000.0</v>
      </c>
    </row>
    <row r="96">
      <c r="H96" s="1081"/>
      <c r="I96" s="1085"/>
      <c r="J96" s="1085"/>
      <c r="K96" s="1085"/>
      <c r="L96" s="1086"/>
      <c r="M96" s="1092"/>
      <c r="N96" s="1087"/>
      <c r="O96" s="1087"/>
    </row>
    <row r="97">
      <c r="H97" s="1081"/>
      <c r="I97" s="1085"/>
      <c r="J97" s="1085"/>
      <c r="K97" s="1085"/>
      <c r="L97" s="1086"/>
      <c r="M97" s="1092"/>
      <c r="N97" s="1087"/>
      <c r="O97" s="1087"/>
    </row>
    <row r="98">
      <c r="H98" s="1081"/>
      <c r="I98" s="1085"/>
      <c r="J98" s="1085"/>
      <c r="K98" s="1085"/>
      <c r="L98" s="1086"/>
      <c r="M98" s="1092"/>
      <c r="N98" s="1087"/>
      <c r="O98" s="1087"/>
    </row>
    <row r="99">
      <c r="H99" s="1081"/>
      <c r="I99" s="1085"/>
      <c r="J99" s="1085"/>
      <c r="K99" s="1085"/>
      <c r="L99" s="1086"/>
      <c r="M99" s="1092"/>
      <c r="N99" s="1087"/>
      <c r="O99" s="1087"/>
    </row>
    <row r="100">
      <c r="H100" s="1081"/>
      <c r="I100" s="1085"/>
      <c r="J100" s="1085"/>
      <c r="K100" s="1085"/>
      <c r="L100" s="1086"/>
      <c r="M100" s="1092"/>
      <c r="N100" s="1087"/>
      <c r="O100" s="1087"/>
    </row>
    <row r="101">
      <c r="H101" s="1081"/>
      <c r="I101" s="1085"/>
      <c r="J101" s="1085"/>
      <c r="K101" s="1085"/>
      <c r="L101" s="1086"/>
      <c r="M101" s="1092"/>
      <c r="N101" s="1087"/>
      <c r="O101" s="1087"/>
    </row>
    <row r="102">
      <c r="H102" s="1081"/>
      <c r="I102" s="1085" t="s">
        <v>851</v>
      </c>
      <c r="J102" s="1085" t="s">
        <v>1019</v>
      </c>
      <c r="K102" s="1085" t="s">
        <v>1020</v>
      </c>
      <c r="L102" s="1086" t="s">
        <v>780</v>
      </c>
      <c r="M102" s="1092">
        <f>IFERROR(VLOOKUP(J102,'TỒN'!A:E,5,false))</f>
        <v>0</v>
      </c>
      <c r="N102" s="1087">
        <v>86500.0</v>
      </c>
      <c r="O102" s="1087">
        <v>10000.0</v>
      </c>
    </row>
    <row r="103">
      <c r="H103" s="1081"/>
      <c r="I103" s="1085"/>
      <c r="J103" s="1085"/>
      <c r="K103" s="1085"/>
      <c r="L103" s="1086"/>
      <c r="M103" s="1092"/>
      <c r="N103" s="1087"/>
      <c r="O103" s="1087"/>
    </row>
    <row r="104">
      <c r="H104" s="1081"/>
      <c r="I104" s="1085"/>
      <c r="J104" s="1085"/>
      <c r="K104" s="1085"/>
      <c r="L104" s="1086"/>
      <c r="M104" s="1092"/>
      <c r="N104" s="1087"/>
      <c r="O104" s="1087"/>
    </row>
    <row r="105">
      <c r="H105" s="1081"/>
      <c r="I105" s="1085"/>
      <c r="J105" s="1085"/>
      <c r="K105" s="1085"/>
      <c r="L105" s="1086"/>
      <c r="M105" s="1092"/>
      <c r="N105" s="1087"/>
      <c r="O105" s="1087"/>
    </row>
    <row r="106">
      <c r="H106" s="1081"/>
      <c r="I106" s="1085" t="s">
        <v>851</v>
      </c>
      <c r="J106" s="1085" t="s">
        <v>1021</v>
      </c>
      <c r="K106" s="1085" t="s">
        <v>1022</v>
      </c>
      <c r="L106" s="1086" t="s">
        <v>780</v>
      </c>
      <c r="M106" s="1092">
        <f>IFERROR(VLOOKUP(J106,'TỒN'!A:E,5,false))</f>
        <v>0</v>
      </c>
      <c r="N106" s="1087">
        <v>127500.0</v>
      </c>
      <c r="O106" s="1087">
        <v>10000.0</v>
      </c>
    </row>
    <row r="107">
      <c r="H107" s="1081"/>
      <c r="I107" s="1085" t="s">
        <v>851</v>
      </c>
      <c r="J107" s="1085" t="s">
        <v>1023</v>
      </c>
      <c r="K107" s="1085" t="s">
        <v>1024</v>
      </c>
      <c r="L107" s="1086" t="s">
        <v>780</v>
      </c>
      <c r="M107" s="1092">
        <f>IFERROR(VLOOKUP(J107,'TỒN'!A:E,5,false))</f>
        <v>0</v>
      </c>
      <c r="N107" s="1087">
        <v>7000.0</v>
      </c>
      <c r="O107" s="1087">
        <v>1000.0</v>
      </c>
    </row>
    <row r="108">
      <c r="H108" s="1081"/>
      <c r="I108" s="1085" t="s">
        <v>851</v>
      </c>
      <c r="J108" s="1085" t="s">
        <v>1025</v>
      </c>
      <c r="K108" s="1085" t="s">
        <v>1026</v>
      </c>
      <c r="L108" s="1086" t="s">
        <v>780</v>
      </c>
      <c r="M108" s="1092">
        <f>IFERROR(VLOOKUP(J108,'TỒN'!A:E,5,false))</f>
        <v>0</v>
      </c>
      <c r="N108" s="1087">
        <v>4900.0</v>
      </c>
      <c r="O108" s="1087">
        <v>1000.0</v>
      </c>
    </row>
    <row r="109">
      <c r="H109" s="1081"/>
      <c r="I109" s="1083" t="s">
        <v>769</v>
      </c>
      <c r="J109" s="1083" t="s">
        <v>427</v>
      </c>
      <c r="K109" s="1083" t="s">
        <v>1027</v>
      </c>
      <c r="L109" s="1083" t="s">
        <v>202</v>
      </c>
      <c r="M109" s="1083" t="s">
        <v>771</v>
      </c>
      <c r="N109" s="1084" t="s">
        <v>68</v>
      </c>
      <c r="O109" s="1084" t="s">
        <v>772</v>
      </c>
    </row>
    <row r="110">
      <c r="H110" s="1081"/>
      <c r="I110" s="17"/>
      <c r="J110" s="17"/>
      <c r="K110" s="17"/>
      <c r="L110" s="17"/>
      <c r="M110" s="17"/>
      <c r="N110" s="17"/>
      <c r="O110" s="17"/>
    </row>
    <row r="111">
      <c r="H111" s="1081"/>
      <c r="I111" s="1085"/>
      <c r="J111" s="1085"/>
      <c r="K111" s="1085"/>
      <c r="L111" s="1086"/>
      <c r="M111" s="1086"/>
      <c r="N111" s="1087"/>
      <c r="O111" s="1087"/>
    </row>
    <row r="112">
      <c r="H112" s="1081"/>
      <c r="I112" s="1085" t="s">
        <v>851</v>
      </c>
      <c r="J112" s="1085" t="s">
        <v>1028</v>
      </c>
      <c r="K112" s="1085" t="s">
        <v>1029</v>
      </c>
      <c r="L112" s="1086" t="s">
        <v>780</v>
      </c>
      <c r="M112" s="1086">
        <f>IFERROR(VLOOKUP(J112,'TỒN'!A:E,5,false))</f>
        <v>0</v>
      </c>
      <c r="N112" s="1087">
        <v>282800.0</v>
      </c>
      <c r="O112" s="1087">
        <v>20000.0</v>
      </c>
    </row>
    <row r="113">
      <c r="H113" s="1081"/>
      <c r="I113" s="1085"/>
      <c r="J113" s="1085"/>
      <c r="K113" s="1085"/>
      <c r="L113" s="1086"/>
      <c r="M113" s="1086"/>
      <c r="N113" s="1087"/>
      <c r="O113" s="1087"/>
    </row>
    <row r="114">
      <c r="H114" s="1081"/>
      <c r="I114" s="1085"/>
      <c r="J114" s="1085"/>
      <c r="K114" s="1085"/>
      <c r="L114" s="1086"/>
      <c r="M114" s="1086"/>
      <c r="N114" s="1087"/>
      <c r="O114" s="1087"/>
    </row>
    <row r="115">
      <c r="H115" s="1081"/>
      <c r="I115" s="1085" t="s">
        <v>851</v>
      </c>
      <c r="J115" s="1085" t="s">
        <v>1030</v>
      </c>
      <c r="K115" s="1085" t="s">
        <v>1031</v>
      </c>
      <c r="L115" s="1086" t="s">
        <v>780</v>
      </c>
      <c r="M115" s="1086">
        <f>IFERROR(VLOOKUP(J115,'TỒN'!A:E,5,false))</f>
        <v>0</v>
      </c>
      <c r="N115" s="1087">
        <v>335000.0</v>
      </c>
      <c r="O115" s="1087">
        <v>20000.0</v>
      </c>
    </row>
    <row r="116">
      <c r="H116" s="1081"/>
      <c r="I116" s="1085" t="s">
        <v>851</v>
      </c>
      <c r="J116" s="1085" t="s">
        <v>1032</v>
      </c>
      <c r="K116" s="1085" t="s">
        <v>1033</v>
      </c>
      <c r="L116" s="1086" t="s">
        <v>780</v>
      </c>
      <c r="M116" s="1086">
        <f>IFERROR(VLOOKUP(J116,'TỒN'!A:E,5,false))</f>
        <v>0</v>
      </c>
      <c r="N116" s="1087">
        <v>150500.0</v>
      </c>
      <c r="O116" s="1087">
        <v>20000.0</v>
      </c>
    </row>
    <row r="117">
      <c r="H117" s="1081"/>
      <c r="I117" s="1085"/>
      <c r="J117" s="1085"/>
      <c r="K117" s="1085"/>
      <c r="L117" s="1086"/>
      <c r="M117" s="1086"/>
      <c r="N117" s="1087"/>
      <c r="O117" s="1087"/>
    </row>
    <row r="118">
      <c r="H118" s="1081"/>
      <c r="I118" s="1085" t="s">
        <v>851</v>
      </c>
      <c r="J118" s="1085" t="s">
        <v>1034</v>
      </c>
      <c r="K118" s="1085" t="s">
        <v>1035</v>
      </c>
      <c r="L118" s="1086" t="s">
        <v>780</v>
      </c>
      <c r="M118" s="1086">
        <f>IFERROR(VLOOKUP(J118,'TỒN'!A:E,5,false))</f>
        <v>0</v>
      </c>
      <c r="N118" s="1087">
        <v>336000.0</v>
      </c>
      <c r="O118" s="1087">
        <v>20000.0</v>
      </c>
    </row>
    <row r="119">
      <c r="H119" s="1081"/>
      <c r="I119" s="1085"/>
      <c r="J119" s="1085"/>
      <c r="K119" s="1085"/>
      <c r="L119" s="1086"/>
      <c r="M119" s="1086"/>
      <c r="N119" s="1087"/>
      <c r="O119" s="1087"/>
    </row>
    <row r="120">
      <c r="H120" s="1081"/>
      <c r="I120" s="1085"/>
      <c r="J120" s="1085"/>
      <c r="K120" s="1085"/>
      <c r="L120" s="1086"/>
      <c r="M120" s="1086"/>
      <c r="N120" s="1087"/>
      <c r="O120" s="1087"/>
    </row>
    <row r="121">
      <c r="H121" s="1081"/>
      <c r="I121" s="1083" t="s">
        <v>769</v>
      </c>
      <c r="J121" s="1083" t="s">
        <v>427</v>
      </c>
      <c r="K121" s="1083" t="s">
        <v>1036</v>
      </c>
      <c r="L121" s="1083" t="s">
        <v>202</v>
      </c>
      <c r="M121" s="1083" t="s">
        <v>771</v>
      </c>
      <c r="N121" s="1084" t="s">
        <v>68</v>
      </c>
      <c r="O121" s="1084" t="s">
        <v>772</v>
      </c>
    </row>
    <row r="122">
      <c r="H122" s="1081"/>
      <c r="I122" s="17"/>
      <c r="J122" s="17"/>
      <c r="K122" s="17"/>
      <c r="L122" s="17"/>
      <c r="M122" s="17"/>
      <c r="N122" s="17"/>
      <c r="O122" s="17"/>
    </row>
    <row r="123">
      <c r="H123" s="1081"/>
      <c r="I123" s="1085" t="s">
        <v>851</v>
      </c>
      <c r="J123" s="1085" t="s">
        <v>1037</v>
      </c>
      <c r="K123" s="1085" t="s">
        <v>1038</v>
      </c>
      <c r="L123" s="1086" t="s">
        <v>780</v>
      </c>
      <c r="M123" s="1086">
        <f>IFERROR(VLOOKUP(J123,'TỒN'!A:E,5,false))</f>
        <v>0</v>
      </c>
      <c r="N123" s="1087">
        <v>352800.0</v>
      </c>
      <c r="O123" s="1087">
        <v>10000.0</v>
      </c>
    </row>
    <row r="124">
      <c r="H124" s="1081"/>
      <c r="I124" s="1085" t="s">
        <v>851</v>
      </c>
      <c r="J124" s="1085" t="s">
        <v>1039</v>
      </c>
      <c r="K124" s="1085" t="s">
        <v>1040</v>
      </c>
      <c r="L124" s="1086" t="s">
        <v>780</v>
      </c>
      <c r="M124" s="1086">
        <f>IFERROR(VLOOKUP(J124,'TỒN'!A:E,5,false))</f>
        <v>0</v>
      </c>
      <c r="N124" s="1087">
        <v>94800.0</v>
      </c>
      <c r="O124" s="1087">
        <v>10000.0</v>
      </c>
    </row>
    <row r="125">
      <c r="H125" s="1081"/>
      <c r="I125" s="1085"/>
      <c r="J125" s="1085"/>
      <c r="K125" s="1085"/>
      <c r="L125" s="1086"/>
      <c r="M125" s="1086"/>
      <c r="N125" s="1087"/>
      <c r="O125" s="1087"/>
    </row>
    <row r="126">
      <c r="H126" s="1081"/>
      <c r="I126" s="1085"/>
      <c r="J126" s="1085"/>
      <c r="K126" s="1085"/>
      <c r="L126" s="1086"/>
      <c r="M126" s="1086"/>
      <c r="N126" s="1087"/>
      <c r="O126" s="1087"/>
    </row>
    <row r="127">
      <c r="H127" s="1081"/>
      <c r="I127" s="1085"/>
      <c r="J127" s="1085"/>
      <c r="K127" s="1085"/>
      <c r="L127" s="1086"/>
      <c r="M127" s="1086"/>
      <c r="N127" s="1087"/>
      <c r="O127" s="1087"/>
    </row>
    <row r="128">
      <c r="H128" s="1081"/>
      <c r="I128" s="1085" t="s">
        <v>851</v>
      </c>
      <c r="J128" s="1085" t="s">
        <v>1041</v>
      </c>
      <c r="K128" s="1085" t="s">
        <v>1042</v>
      </c>
      <c r="L128" s="1086" t="s">
        <v>780</v>
      </c>
      <c r="M128" s="1086">
        <f>IFERROR(VLOOKUP(J128,'TỒN'!A:E,5,false))</f>
        <v>0</v>
      </c>
      <c r="N128" s="1087">
        <v>138600.0</v>
      </c>
      <c r="O128" s="1087">
        <v>10000.0</v>
      </c>
    </row>
    <row r="129">
      <c r="H129" s="1081"/>
      <c r="I129" s="1085" t="s">
        <v>851</v>
      </c>
      <c r="J129" s="1085" t="s">
        <v>1043</v>
      </c>
      <c r="K129" s="1085" t="s">
        <v>1044</v>
      </c>
      <c r="L129" s="1086" t="s">
        <v>780</v>
      </c>
      <c r="M129" s="1086">
        <f>IFERROR(VLOOKUP(J129,'TỒN'!A:E,5,false))</f>
        <v>0</v>
      </c>
      <c r="N129" s="1087">
        <v>302400.0</v>
      </c>
      <c r="O129" s="1087">
        <v>10000.0</v>
      </c>
    </row>
    <row r="130">
      <c r="H130" s="1081"/>
      <c r="I130" s="1083" t="s">
        <v>769</v>
      </c>
      <c r="J130" s="1083" t="s">
        <v>427</v>
      </c>
      <c r="K130" s="1083" t="s">
        <v>1045</v>
      </c>
      <c r="L130" s="1083" t="s">
        <v>202</v>
      </c>
      <c r="M130" s="1083" t="s">
        <v>771</v>
      </c>
      <c r="N130" s="1084" t="s">
        <v>68</v>
      </c>
      <c r="O130" s="1084" t="s">
        <v>772</v>
      </c>
    </row>
    <row r="131">
      <c r="H131" s="1081"/>
      <c r="I131" s="17"/>
      <c r="J131" s="17"/>
      <c r="K131" s="17"/>
      <c r="L131" s="17"/>
      <c r="M131" s="17"/>
      <c r="N131" s="17"/>
      <c r="O131" s="17"/>
    </row>
    <row r="132">
      <c r="H132" s="1081"/>
      <c r="I132" s="1085" t="s">
        <v>851</v>
      </c>
      <c r="J132" s="1085" t="s">
        <v>1046</v>
      </c>
      <c r="K132" s="1085" t="s">
        <v>1047</v>
      </c>
      <c r="L132" s="1086" t="s">
        <v>780</v>
      </c>
      <c r="M132" s="1086">
        <f>IFERROR(VLOOKUP(J132,'TỒN'!A:E,5,false))</f>
        <v>0</v>
      </c>
      <c r="N132" s="1087">
        <v>163800.0</v>
      </c>
      <c r="O132" s="1087">
        <v>10000.0</v>
      </c>
    </row>
    <row r="133">
      <c r="H133" s="1081"/>
      <c r="I133" s="1085" t="s">
        <v>851</v>
      </c>
      <c r="J133" s="1085" t="s">
        <v>1048</v>
      </c>
      <c r="K133" s="1085" t="s">
        <v>1049</v>
      </c>
      <c r="L133" s="1086" t="s">
        <v>780</v>
      </c>
      <c r="M133" s="1086">
        <f>IFERROR(VLOOKUP(J133,'TỒN'!A:E,5,false))</f>
        <v>0</v>
      </c>
      <c r="N133" s="1087">
        <v>96600.0</v>
      </c>
      <c r="O133" s="1087">
        <v>10000.0</v>
      </c>
    </row>
    <row r="134">
      <c r="H134" s="1081"/>
      <c r="I134" s="1085" t="s">
        <v>851</v>
      </c>
      <c r="J134" s="1085" t="s">
        <v>1050</v>
      </c>
      <c r="K134" s="1085" t="s">
        <v>1051</v>
      </c>
      <c r="L134" s="1086" t="s">
        <v>780</v>
      </c>
      <c r="M134" s="1086">
        <f>IFERROR(VLOOKUP(J134,'TỒN'!A:E,5,false))</f>
        <v>0</v>
      </c>
      <c r="N134" s="1087">
        <v>108500.0</v>
      </c>
      <c r="O134" s="1087">
        <v>10000.0</v>
      </c>
    </row>
    <row r="135">
      <c r="H135" s="1081"/>
      <c r="I135" s="1085" t="s">
        <v>851</v>
      </c>
      <c r="J135" s="1085" t="s">
        <v>1052</v>
      </c>
      <c r="K135" s="1085" t="s">
        <v>1053</v>
      </c>
      <c r="L135" s="1086" t="s">
        <v>780</v>
      </c>
      <c r="M135" s="1086">
        <f>IFERROR(VLOOKUP(J135,'TỒN'!A:E,5,false))</f>
        <v>0</v>
      </c>
      <c r="N135" s="1087">
        <v>108500.0</v>
      </c>
      <c r="O135" s="1087">
        <v>10000.0</v>
      </c>
    </row>
    <row r="136">
      <c r="H136" s="1081"/>
      <c r="I136" s="1085" t="s">
        <v>851</v>
      </c>
      <c r="J136" s="1085" t="s">
        <v>1054</v>
      </c>
      <c r="K136" s="1085" t="s">
        <v>1055</v>
      </c>
      <c r="L136" s="1086" t="s">
        <v>780</v>
      </c>
      <c r="M136" s="1086">
        <f>IFERROR(VLOOKUP(J136,'TỒN'!A:E,5,false))</f>
        <v>0</v>
      </c>
      <c r="N136" s="1087">
        <v>108500.0</v>
      </c>
      <c r="O136" s="1087">
        <v>10000.0</v>
      </c>
    </row>
    <row r="137">
      <c r="H137" s="1081"/>
      <c r="I137" s="1089" t="s">
        <v>851</v>
      </c>
      <c r="J137" s="1089" t="s">
        <v>1056</v>
      </c>
      <c r="K137" s="1089" t="s">
        <v>1057</v>
      </c>
      <c r="L137" s="1090" t="s">
        <v>871</v>
      </c>
      <c r="M137" s="1090">
        <f>IFERROR(VLOOKUP(J137,'TỒN'!A:E,5,false))</f>
        <v>0</v>
      </c>
      <c r="N137" s="1091">
        <v>4167619.1999999997</v>
      </c>
      <c r="O137" s="1093">
        <v>1000000.0</v>
      </c>
    </row>
    <row r="138">
      <c r="H138" s="1081"/>
      <c r="I138" s="1083" t="s">
        <v>769</v>
      </c>
      <c r="J138" s="1083" t="s">
        <v>427</v>
      </c>
      <c r="K138" s="1083" t="s">
        <v>1058</v>
      </c>
      <c r="L138" s="1083" t="s">
        <v>202</v>
      </c>
      <c r="M138" s="1083" t="s">
        <v>771</v>
      </c>
      <c r="N138" s="1084" t="s">
        <v>68</v>
      </c>
      <c r="O138" s="1084" t="s">
        <v>772</v>
      </c>
    </row>
    <row r="139">
      <c r="H139" s="1081"/>
      <c r="I139" s="17"/>
      <c r="J139" s="17"/>
      <c r="K139" s="17"/>
      <c r="L139" s="17"/>
      <c r="M139" s="17"/>
      <c r="N139" s="17"/>
      <c r="O139" s="17"/>
    </row>
    <row r="140">
      <c r="H140" s="1081"/>
      <c r="I140" s="1085" t="s">
        <v>1059</v>
      </c>
      <c r="J140" s="1085" t="s">
        <v>1060</v>
      </c>
      <c r="K140" s="1085" t="s">
        <v>1061</v>
      </c>
      <c r="L140" s="1086" t="s">
        <v>780</v>
      </c>
      <c r="M140" s="1092">
        <f>IFERROR(VLOOKUP(J140,'TỒN'!A:E,5,false))</f>
        <v>0</v>
      </c>
      <c r="N140" s="1087">
        <v>32560.0</v>
      </c>
      <c r="O140" s="1087">
        <v>5000.0</v>
      </c>
    </row>
    <row r="141">
      <c r="H141" s="1081"/>
      <c r="I141" s="1085" t="s">
        <v>1059</v>
      </c>
      <c r="J141" s="1085" t="s">
        <v>1062</v>
      </c>
      <c r="K141" s="1085" t="s">
        <v>1063</v>
      </c>
      <c r="L141" s="1086" t="s">
        <v>776</v>
      </c>
      <c r="M141" s="1092">
        <f>IFERROR(VLOOKUP(J141,'TỒN'!A:E,5,false))</f>
        <v>0</v>
      </c>
      <c r="N141" s="1087">
        <v>44770.0</v>
      </c>
      <c r="O141" s="1087">
        <v>5000.0</v>
      </c>
    </row>
    <row r="142">
      <c r="H142" s="1081"/>
      <c r="I142" s="1085"/>
      <c r="J142" s="1085"/>
      <c r="K142" s="1085"/>
      <c r="L142" s="1086"/>
      <c r="M142" s="1092"/>
      <c r="N142" s="1087"/>
      <c r="O142" s="1087"/>
    </row>
    <row r="143">
      <c r="H143" s="1081"/>
      <c r="I143" s="1085" t="s">
        <v>1059</v>
      </c>
      <c r="J143" s="1085" t="s">
        <v>1064</v>
      </c>
      <c r="K143" s="1085" t="s">
        <v>1065</v>
      </c>
      <c r="L143" s="1086" t="s">
        <v>787</v>
      </c>
      <c r="M143" s="1092">
        <f>IFERROR(VLOOKUP(J143,'TỒN'!A:E,5,false))</f>
        <v>0</v>
      </c>
      <c r="N143" s="1087">
        <v>29399.999999999996</v>
      </c>
      <c r="O143" s="1087">
        <v>5000.0</v>
      </c>
    </row>
    <row r="144">
      <c r="H144" s="1081"/>
      <c r="I144" s="1085" t="s">
        <v>1059</v>
      </c>
      <c r="J144" s="1085" t="s">
        <v>1066</v>
      </c>
      <c r="K144" s="1085" t="s">
        <v>1067</v>
      </c>
      <c r="L144" s="1086" t="s">
        <v>787</v>
      </c>
      <c r="M144" s="1092">
        <f>IFERROR(VLOOKUP(J144,'TỒN'!A:E,5,false))</f>
        <v>0</v>
      </c>
      <c r="N144" s="1087">
        <v>35700.0</v>
      </c>
      <c r="O144" s="1087">
        <v>5000.0</v>
      </c>
    </row>
    <row r="145">
      <c r="H145" s="1081"/>
      <c r="I145" s="1085" t="s">
        <v>1059</v>
      </c>
      <c r="J145" s="1085" t="s">
        <v>1068</v>
      </c>
      <c r="K145" s="1085" t="s">
        <v>1069</v>
      </c>
      <c r="L145" s="1086" t="s">
        <v>780</v>
      </c>
      <c r="M145" s="1092">
        <f>IFERROR(VLOOKUP(J145,'TỒN'!A:E,5,false))</f>
        <v>0</v>
      </c>
      <c r="N145" s="1087">
        <v>1778700.0</v>
      </c>
      <c r="O145" s="1087">
        <v>100000.0</v>
      </c>
    </row>
    <row r="146">
      <c r="H146" s="1081"/>
      <c r="I146" s="1085" t="s">
        <v>1059</v>
      </c>
      <c r="J146" s="1085" t="s">
        <v>1070</v>
      </c>
      <c r="K146" s="1085" t="s">
        <v>1071</v>
      </c>
      <c r="L146" s="1086" t="s">
        <v>780</v>
      </c>
      <c r="M146" s="1092">
        <f>IFERROR(VLOOKUP(J146,'TỒN'!A:E,5,false))</f>
        <v>0</v>
      </c>
      <c r="N146" s="1087">
        <v>1859899.9999999998</v>
      </c>
      <c r="O146" s="1087">
        <v>100000.0</v>
      </c>
    </row>
    <row r="147">
      <c r="H147" s="1081"/>
      <c r="I147" s="1085" t="s">
        <v>1059</v>
      </c>
      <c r="J147" s="1085" t="s">
        <v>1072</v>
      </c>
      <c r="K147" s="1085" t="s">
        <v>1073</v>
      </c>
      <c r="L147" s="1086" t="s">
        <v>780</v>
      </c>
      <c r="M147" s="1092">
        <f>IFERROR(VLOOKUP(J147,'TỒN'!A:E,5,false))</f>
        <v>0</v>
      </c>
      <c r="N147" s="1087">
        <v>1859899.9999999998</v>
      </c>
      <c r="O147" s="1087">
        <v>100000.0</v>
      </c>
    </row>
    <row r="148">
      <c r="H148" s="1081"/>
      <c r="I148" s="1085" t="s">
        <v>1059</v>
      </c>
      <c r="J148" s="1085" t="s">
        <v>1074</v>
      </c>
      <c r="K148" s="1085" t="s">
        <v>1075</v>
      </c>
      <c r="L148" s="1086" t="s">
        <v>776</v>
      </c>
      <c r="M148" s="1092">
        <f>IFERROR(VLOOKUP(J148,'TỒN'!A:E,5,false))</f>
        <v>0</v>
      </c>
      <c r="N148" s="1087">
        <v>514499.99999999994</v>
      </c>
      <c r="O148" s="1087">
        <v>100000.0</v>
      </c>
    </row>
    <row r="149">
      <c r="H149" s="1081"/>
      <c r="I149" s="1085" t="s">
        <v>1059</v>
      </c>
      <c r="J149" s="1085" t="s">
        <v>1076</v>
      </c>
      <c r="K149" s="1085" t="s">
        <v>1077</v>
      </c>
      <c r="L149" s="1086" t="s">
        <v>780</v>
      </c>
      <c r="M149" s="1092">
        <f>IFERROR(VLOOKUP(J149,'TỒN'!A:E,5,false))</f>
        <v>0</v>
      </c>
      <c r="N149" s="1087">
        <v>670600.0</v>
      </c>
      <c r="O149" s="1087">
        <v>100000.0</v>
      </c>
    </row>
    <row r="150">
      <c r="H150" s="1081"/>
      <c r="I150" s="1085" t="s">
        <v>1059</v>
      </c>
      <c r="J150" s="1085" t="s">
        <v>1078</v>
      </c>
      <c r="K150" s="1085" t="s">
        <v>1079</v>
      </c>
      <c r="L150" s="1086" t="s">
        <v>780</v>
      </c>
      <c r="M150" s="1092">
        <f>IFERROR(VLOOKUP(J150,'TỒN'!A:E,5,false))</f>
        <v>0</v>
      </c>
      <c r="N150" s="1087">
        <v>517299.99999999994</v>
      </c>
      <c r="O150" s="1087">
        <v>100000.0</v>
      </c>
    </row>
    <row r="151">
      <c r="H151" s="1081"/>
      <c r="I151" s="1085" t="s">
        <v>1059</v>
      </c>
      <c r="J151" s="1085" t="s">
        <v>1080</v>
      </c>
      <c r="K151" s="1085" t="s">
        <v>1081</v>
      </c>
      <c r="L151" s="1086" t="s">
        <v>780</v>
      </c>
      <c r="M151" s="1092">
        <f>IFERROR(VLOOKUP(J151,'TỒN'!A:E,5,false))</f>
        <v>0</v>
      </c>
      <c r="N151" s="1087">
        <v>671300.0</v>
      </c>
      <c r="O151" s="1087">
        <v>100000.0</v>
      </c>
    </row>
    <row r="152">
      <c r="H152" s="1081"/>
      <c r="I152" s="1085" t="s">
        <v>1059</v>
      </c>
      <c r="J152" s="1085" t="s">
        <v>1082</v>
      </c>
      <c r="K152" s="1085" t="s">
        <v>1083</v>
      </c>
      <c r="L152" s="1086" t="s">
        <v>780</v>
      </c>
      <c r="M152" s="1092">
        <f>IFERROR(VLOOKUP(J152,'TỒN'!A:E,5,false))</f>
        <v>0</v>
      </c>
      <c r="N152" s="1087">
        <v>2183300.0</v>
      </c>
      <c r="O152" s="1087">
        <v>100000.0</v>
      </c>
    </row>
    <row r="153">
      <c r="H153" s="1081"/>
      <c r="I153" s="1085" t="s">
        <v>1059</v>
      </c>
      <c r="J153" s="1085" t="s">
        <v>1084</v>
      </c>
      <c r="K153" s="1085" t="s">
        <v>1085</v>
      </c>
      <c r="L153" s="1086" t="s">
        <v>780</v>
      </c>
      <c r="M153" s="1092">
        <f>IFERROR(VLOOKUP(J153,'TỒN'!A:E,5,false))</f>
        <v>0</v>
      </c>
      <c r="N153" s="1087">
        <v>1978800.0</v>
      </c>
      <c r="O153" s="1087">
        <v>100000.0</v>
      </c>
    </row>
    <row r="154">
      <c r="H154" s="1081"/>
      <c r="I154" s="1085"/>
      <c r="J154" s="1085"/>
      <c r="K154" s="1085"/>
      <c r="L154" s="1086"/>
      <c r="M154" s="1092"/>
      <c r="N154" s="1087"/>
      <c r="O154" s="1087"/>
    </row>
    <row r="155">
      <c r="H155" s="1081"/>
      <c r="I155" s="1085" t="s">
        <v>1059</v>
      </c>
      <c r="J155" s="1085" t="s">
        <v>1086</v>
      </c>
      <c r="K155" s="1085" t="s">
        <v>1087</v>
      </c>
      <c r="L155" s="1086" t="s">
        <v>780</v>
      </c>
      <c r="M155" s="1092">
        <f>IFERROR(VLOOKUP(J155,'TỒN'!A:E,5,false))</f>
        <v>0</v>
      </c>
      <c r="N155" s="1087">
        <v>1299000.0</v>
      </c>
      <c r="O155" s="1087">
        <v>100000.0</v>
      </c>
    </row>
    <row r="156">
      <c r="H156" s="1081"/>
      <c r="I156" s="1085" t="s">
        <v>1059</v>
      </c>
      <c r="J156" s="1085" t="s">
        <v>1088</v>
      </c>
      <c r="K156" s="1085" t="s">
        <v>1089</v>
      </c>
      <c r="L156" s="1086" t="s">
        <v>780</v>
      </c>
      <c r="M156" s="1092">
        <f>IFERROR(VLOOKUP(J156,'TỒN'!A:E,5,false))</f>
        <v>0</v>
      </c>
      <c r="N156" s="1087">
        <v>1800000.0</v>
      </c>
      <c r="O156" s="1087">
        <v>100000.0</v>
      </c>
    </row>
    <row r="157">
      <c r="H157" s="1081"/>
      <c r="I157" s="1085" t="s">
        <v>1059</v>
      </c>
      <c r="J157" s="1085" t="s">
        <v>1090</v>
      </c>
      <c r="K157" s="1085" t="s">
        <v>1091</v>
      </c>
      <c r="L157" s="1086" t="s">
        <v>780</v>
      </c>
      <c r="M157" s="1092">
        <f>IFERROR(VLOOKUP(J157,'TỒN'!A:E,5,false))</f>
        <v>0</v>
      </c>
      <c r="N157" s="1087">
        <v>477000.0</v>
      </c>
      <c r="O157" s="1087">
        <v>100000.0</v>
      </c>
    </row>
    <row r="158">
      <c r="H158" s="1081"/>
      <c r="I158" s="1085" t="s">
        <v>1059</v>
      </c>
      <c r="J158" s="1085" t="s">
        <v>1092</v>
      </c>
      <c r="K158" s="1085" t="s">
        <v>1093</v>
      </c>
      <c r="L158" s="1086" t="s">
        <v>780</v>
      </c>
      <c r="M158" s="1092">
        <f>IFERROR(VLOOKUP(J158,'TỒN'!A:E,5,false))</f>
        <v>0</v>
      </c>
      <c r="N158" s="1087">
        <v>748800.0</v>
      </c>
      <c r="O158" s="1087">
        <v>100000.0</v>
      </c>
    </row>
    <row r="159">
      <c r="H159" s="1081"/>
      <c r="I159" s="1085" t="s">
        <v>1059</v>
      </c>
      <c r="J159" s="1085" t="s">
        <v>1094</v>
      </c>
      <c r="K159" s="1085" t="s">
        <v>1095</v>
      </c>
      <c r="L159" s="1086" t="s">
        <v>776</v>
      </c>
      <c r="M159" s="1092">
        <f>IFERROR(VLOOKUP(J159,'TỒN'!A:E,5,false))</f>
        <v>0</v>
      </c>
      <c r="N159" s="1087">
        <v>1347600.0</v>
      </c>
      <c r="O159" s="1087">
        <v>100000.0</v>
      </c>
    </row>
    <row r="160">
      <c r="H160" s="1081"/>
      <c r="I160" s="1085" t="s">
        <v>1059</v>
      </c>
      <c r="J160" s="1085" t="s">
        <v>1096</v>
      </c>
      <c r="K160" s="1085" t="s">
        <v>1097</v>
      </c>
      <c r="L160" s="1086" t="s">
        <v>780</v>
      </c>
      <c r="M160" s="1092">
        <f>IFERROR(VLOOKUP(J160,'TỒN'!A:E,5,false))</f>
        <v>0</v>
      </c>
      <c r="N160" s="1087">
        <v>1536000.0</v>
      </c>
      <c r="O160" s="1087">
        <v>100000.0</v>
      </c>
    </row>
    <row r="161">
      <c r="H161" s="1081"/>
      <c r="I161" s="1083" t="s">
        <v>769</v>
      </c>
      <c r="J161" s="1083" t="s">
        <v>427</v>
      </c>
      <c r="K161" s="1083" t="s">
        <v>1098</v>
      </c>
      <c r="L161" s="1083" t="s">
        <v>202</v>
      </c>
      <c r="M161" s="1083" t="s">
        <v>771</v>
      </c>
      <c r="N161" s="1084" t="s">
        <v>68</v>
      </c>
      <c r="O161" s="1084" t="s">
        <v>772</v>
      </c>
    </row>
    <row r="162">
      <c r="H162" s="1081"/>
      <c r="I162" s="17"/>
      <c r="J162" s="17"/>
      <c r="K162" s="17"/>
      <c r="L162" s="17"/>
      <c r="M162" s="17"/>
      <c r="N162" s="17"/>
      <c r="O162" s="17"/>
    </row>
    <row r="163">
      <c r="H163" s="1081"/>
      <c r="I163" s="1085"/>
      <c r="J163" s="1085"/>
      <c r="K163" s="1085"/>
      <c r="L163" s="1086"/>
      <c r="M163" s="1092"/>
      <c r="N163" s="1087"/>
      <c r="O163" s="1087"/>
    </row>
    <row r="164">
      <c r="H164" s="1081"/>
      <c r="I164" s="1085"/>
      <c r="J164" s="1085"/>
      <c r="K164" s="1085"/>
      <c r="L164" s="1086"/>
      <c r="M164" s="1092"/>
      <c r="N164" s="1087"/>
      <c r="O164" s="1087"/>
    </row>
    <row r="165">
      <c r="H165" s="1081"/>
      <c r="I165" s="1085" t="s">
        <v>851</v>
      </c>
      <c r="J165" s="1085" t="s">
        <v>1099</v>
      </c>
      <c r="K165" s="1085" t="s">
        <v>1100</v>
      </c>
      <c r="L165" s="1086" t="s">
        <v>780</v>
      </c>
      <c r="M165" s="1092">
        <f>IFERROR(VLOOKUP(J165,'TỒN'!A:E,5,false))</f>
        <v>0</v>
      </c>
      <c r="N165" s="1087">
        <v>60000.0</v>
      </c>
      <c r="O165" s="1087">
        <v>5000.0</v>
      </c>
    </row>
    <row r="166">
      <c r="H166" s="1081"/>
      <c r="I166" s="1085" t="s">
        <v>851</v>
      </c>
      <c r="J166" s="1085" t="s">
        <v>1101</v>
      </c>
      <c r="K166" s="1085" t="s">
        <v>1102</v>
      </c>
      <c r="L166" s="1086" t="s">
        <v>780</v>
      </c>
      <c r="M166" s="1086">
        <f>IFERROR(VLOOKUP(J166,'TỒN'!A:E,5,false))</f>
        <v>0</v>
      </c>
      <c r="N166" s="1087">
        <v>79000.0</v>
      </c>
      <c r="O166" s="1087">
        <v>2000.0</v>
      </c>
    </row>
    <row r="167">
      <c r="H167" s="1081"/>
      <c r="I167" s="1085" t="s">
        <v>851</v>
      </c>
      <c r="J167" s="1085" t="s">
        <v>1103</v>
      </c>
      <c r="K167" s="1085" t="s">
        <v>1104</v>
      </c>
      <c r="L167" s="1086" t="s">
        <v>780</v>
      </c>
      <c r="M167" s="1092">
        <f>IFERROR(VLOOKUP(J167,'TỒN'!A:E,5,false))</f>
        <v>0</v>
      </c>
      <c r="N167" s="1087">
        <v>24500.0</v>
      </c>
      <c r="O167" s="1087">
        <v>5000.0</v>
      </c>
    </row>
    <row r="168">
      <c r="H168" s="1081"/>
      <c r="I168" s="1085" t="s">
        <v>851</v>
      </c>
      <c r="J168" s="1085" t="s">
        <v>1105</v>
      </c>
      <c r="K168" s="1085" t="s">
        <v>1106</v>
      </c>
      <c r="L168" s="1086" t="s">
        <v>780</v>
      </c>
      <c r="M168" s="1092">
        <f>IFERROR(VLOOKUP(J168,'TỒN'!A:E,5,false))</f>
        <v>0</v>
      </c>
      <c r="N168" s="1087">
        <v>22400.0</v>
      </c>
      <c r="O168" s="1087">
        <v>5000.0</v>
      </c>
    </row>
    <row r="169">
      <c r="H169" s="1081"/>
      <c r="I169" s="1085" t="s">
        <v>851</v>
      </c>
      <c r="J169" s="1085" t="s">
        <v>1107</v>
      </c>
      <c r="K169" s="1085" t="s">
        <v>1108</v>
      </c>
      <c r="L169" s="1086" t="s">
        <v>780</v>
      </c>
      <c r="M169" s="1092">
        <f>IFERROR(VLOOKUP(J169,'TỒN'!A:E,5,false))</f>
        <v>0</v>
      </c>
      <c r="N169" s="1087">
        <v>22400.0</v>
      </c>
      <c r="O169" s="1087">
        <v>5000.0</v>
      </c>
    </row>
    <row r="170">
      <c r="H170" s="1081"/>
      <c r="I170" s="1094" t="s">
        <v>851</v>
      </c>
      <c r="J170" s="1089" t="s">
        <v>1109</v>
      </c>
      <c r="K170" s="1089" t="s">
        <v>1110</v>
      </c>
      <c r="L170" s="1090" t="s">
        <v>780</v>
      </c>
      <c r="M170" s="1090">
        <f>IFERROR(VLOOKUP(J170,'TỒN'!A:E,5,false))</f>
        <v>0</v>
      </c>
      <c r="N170" s="1091">
        <v>40950.0</v>
      </c>
      <c r="O170" s="1095">
        <v>5000.0</v>
      </c>
    </row>
    <row r="171">
      <c r="H171" s="1081"/>
      <c r="I171" s="1094"/>
      <c r="J171" s="1089"/>
      <c r="K171" s="1089"/>
      <c r="L171" s="1090"/>
      <c r="M171" s="1090"/>
      <c r="N171" s="1091"/>
      <c r="O171" s="1095"/>
    </row>
    <row r="172">
      <c r="H172" s="1081"/>
      <c r="I172" s="1083" t="s">
        <v>769</v>
      </c>
      <c r="J172" s="1083" t="s">
        <v>427</v>
      </c>
      <c r="K172" s="1083" t="s">
        <v>1111</v>
      </c>
      <c r="L172" s="1083" t="s">
        <v>202</v>
      </c>
      <c r="M172" s="1083" t="s">
        <v>771</v>
      </c>
      <c r="N172" s="1084" t="s">
        <v>68</v>
      </c>
      <c r="O172" s="1084" t="s">
        <v>772</v>
      </c>
    </row>
    <row r="173">
      <c r="H173" s="1081"/>
      <c r="I173" s="17"/>
      <c r="J173" s="17"/>
      <c r="K173" s="17"/>
      <c r="L173" s="17"/>
      <c r="M173" s="17"/>
      <c r="N173" s="17"/>
      <c r="O173" s="17"/>
    </row>
    <row r="174">
      <c r="H174" s="1081"/>
      <c r="I174" s="1085" t="s">
        <v>851</v>
      </c>
      <c r="J174" s="1085" t="s">
        <v>1112</v>
      </c>
      <c r="K174" s="1085" t="s">
        <v>1113</v>
      </c>
      <c r="L174" s="1086" t="s">
        <v>780</v>
      </c>
      <c r="M174" s="1086">
        <f>IFERROR(VLOOKUP(J174,'TỒN'!A:E,5,false))</f>
        <v>5</v>
      </c>
      <c r="N174" s="1087">
        <v>12600.0</v>
      </c>
      <c r="O174" s="1087">
        <v>10000.0</v>
      </c>
    </row>
    <row r="175">
      <c r="H175" s="1081"/>
      <c r="I175" s="1085"/>
      <c r="J175" s="1085"/>
      <c r="K175" s="1085"/>
      <c r="L175" s="1086"/>
      <c r="M175" s="1086"/>
      <c r="N175" s="1087"/>
      <c r="O175" s="1087"/>
    </row>
    <row r="176">
      <c r="H176" s="1081"/>
      <c r="I176" s="1085"/>
      <c r="J176" s="1085"/>
      <c r="K176" s="1085"/>
      <c r="L176" s="1086"/>
      <c r="M176" s="1086"/>
      <c r="N176" s="1087"/>
      <c r="O176" s="1087"/>
    </row>
    <row r="177">
      <c r="H177" s="1081"/>
      <c r="I177" s="1085"/>
      <c r="J177" s="1085"/>
      <c r="K177" s="1085"/>
      <c r="L177" s="1086"/>
      <c r="M177" s="1086"/>
      <c r="N177" s="1087"/>
      <c r="O177" s="1087"/>
    </row>
    <row r="178">
      <c r="H178" s="1081"/>
      <c r="I178" s="1085"/>
      <c r="J178" s="1085"/>
      <c r="K178" s="1085"/>
      <c r="L178" s="1086"/>
      <c r="M178" s="1086"/>
      <c r="N178" s="1087"/>
      <c r="O178" s="1087"/>
    </row>
    <row r="179">
      <c r="H179" s="1081"/>
      <c r="I179" s="1085" t="s">
        <v>851</v>
      </c>
      <c r="J179" s="1085" t="s">
        <v>1114</v>
      </c>
      <c r="K179" s="1085" t="s">
        <v>1114</v>
      </c>
      <c r="L179" s="1086" t="s">
        <v>780</v>
      </c>
      <c r="M179" s="1086">
        <f>IFERROR(VLOOKUP(J179,'TỒN'!A:E,5,false))</f>
        <v>0</v>
      </c>
      <c r="N179" s="1087">
        <v>4900.0</v>
      </c>
      <c r="O179" s="1087">
        <v>5000.0</v>
      </c>
    </row>
    <row r="180">
      <c r="H180" s="1081"/>
      <c r="I180" s="1085"/>
      <c r="J180" s="1085"/>
      <c r="K180" s="1085"/>
      <c r="L180" s="1086"/>
      <c r="M180" s="1086"/>
      <c r="N180" s="1087"/>
      <c r="O180" s="1087"/>
    </row>
    <row r="181">
      <c r="H181" s="1081"/>
      <c r="I181" s="1085" t="s">
        <v>851</v>
      </c>
      <c r="J181" s="1085" t="s">
        <v>1115</v>
      </c>
      <c r="K181" s="1085" t="s">
        <v>1116</v>
      </c>
      <c r="L181" s="1086" t="s">
        <v>780</v>
      </c>
      <c r="M181" s="1086">
        <f>IFERROR(VLOOKUP(J181,'TỒN'!A:E,5,false))</f>
        <v>0</v>
      </c>
      <c r="N181" s="1087">
        <v>58099.99999999999</v>
      </c>
      <c r="O181" s="1087">
        <v>5000.0</v>
      </c>
    </row>
    <row r="182">
      <c r="H182" s="1081"/>
      <c r="I182" s="1085" t="s">
        <v>851</v>
      </c>
      <c r="J182" s="1085" t="s">
        <v>1117</v>
      </c>
      <c r="K182" s="1085" t="s">
        <v>1118</v>
      </c>
      <c r="L182" s="1086" t="s">
        <v>780</v>
      </c>
      <c r="M182" s="1086">
        <f>IFERROR(VLOOKUP(J182,'TỒN'!A:E,5,false))</f>
        <v>0</v>
      </c>
      <c r="N182" s="1087">
        <v>158200.0</v>
      </c>
      <c r="O182" s="1087">
        <v>5000.0</v>
      </c>
    </row>
    <row r="183">
      <c r="H183" s="1081"/>
      <c r="I183" s="1085"/>
      <c r="J183" s="1085"/>
      <c r="K183" s="1085"/>
      <c r="L183" s="1086"/>
      <c r="M183" s="1086"/>
      <c r="N183" s="1087"/>
      <c r="O183" s="1087"/>
    </row>
    <row r="184">
      <c r="H184" s="1081"/>
      <c r="I184" s="1085" t="s">
        <v>851</v>
      </c>
      <c r="J184" s="1085" t="s">
        <v>1119</v>
      </c>
      <c r="K184" s="1085" t="s">
        <v>1120</v>
      </c>
      <c r="L184" s="1086" t="s">
        <v>780</v>
      </c>
      <c r="M184" s="1086">
        <f>IFERROR(VLOOKUP(J184,'TỒN'!A:E,5,false))</f>
        <v>0</v>
      </c>
      <c r="N184" s="1087">
        <v>191800.0</v>
      </c>
      <c r="O184" s="1087">
        <v>5000.0</v>
      </c>
    </row>
    <row r="185">
      <c r="H185" s="1081"/>
      <c r="I185" s="1085" t="s">
        <v>851</v>
      </c>
      <c r="J185" s="1085" t="s">
        <v>1121</v>
      </c>
      <c r="K185" s="1085" t="s">
        <v>1122</v>
      </c>
      <c r="L185" s="1086" t="s">
        <v>780</v>
      </c>
      <c r="M185" s="1086">
        <f>IFERROR(VLOOKUP(J185,'TỒN'!A:E,5,false))</f>
        <v>0</v>
      </c>
      <c r="N185" s="1087">
        <v>198800.0</v>
      </c>
      <c r="O185" s="1087">
        <v>5000.0</v>
      </c>
    </row>
    <row r="186">
      <c r="H186" s="1081"/>
      <c r="I186" s="1085"/>
      <c r="J186" s="1085"/>
      <c r="K186" s="1085"/>
      <c r="L186" s="1086"/>
      <c r="M186" s="1086"/>
      <c r="N186" s="1087"/>
      <c r="O186" s="1087"/>
    </row>
    <row r="187">
      <c r="H187" s="1081"/>
      <c r="I187" s="1085"/>
      <c r="J187" s="1085"/>
      <c r="K187" s="1085"/>
      <c r="L187" s="1086"/>
      <c r="M187" s="1086"/>
      <c r="N187" s="1087"/>
      <c r="O187" s="1087"/>
    </row>
    <row r="188">
      <c r="H188" s="1081"/>
      <c r="I188" s="1085"/>
      <c r="J188" s="1085"/>
      <c r="K188" s="1085"/>
      <c r="L188" s="1086"/>
      <c r="M188" s="1086"/>
      <c r="N188" s="1087"/>
      <c r="O188" s="1087"/>
    </row>
    <row r="189">
      <c r="H189" s="1081"/>
      <c r="I189" s="1085"/>
      <c r="J189" s="1085"/>
      <c r="K189" s="1085"/>
      <c r="L189" s="1086"/>
      <c r="M189" s="1086"/>
      <c r="N189" s="1087"/>
      <c r="O189" s="1087"/>
    </row>
    <row r="190">
      <c r="H190" s="1081"/>
      <c r="I190" s="1085"/>
      <c r="J190" s="1085"/>
      <c r="K190" s="1085"/>
      <c r="L190" s="1086"/>
      <c r="M190" s="1086"/>
      <c r="N190" s="1087"/>
      <c r="O190" s="1087"/>
    </row>
    <row r="191">
      <c r="H191" s="1081"/>
      <c r="I191" s="1085"/>
      <c r="J191" s="1085"/>
      <c r="K191" s="1085"/>
      <c r="L191" s="1086"/>
      <c r="M191" s="1086"/>
      <c r="N191" s="1087"/>
      <c r="O191" s="1087"/>
    </row>
    <row r="192">
      <c r="H192" s="1081"/>
      <c r="I192" s="1085" t="s">
        <v>851</v>
      </c>
      <c r="J192" s="1085" t="s">
        <v>1123</v>
      </c>
      <c r="K192" s="1085" t="s">
        <v>1124</v>
      </c>
      <c r="L192" s="1086" t="s">
        <v>780</v>
      </c>
      <c r="M192" s="1086">
        <f>IFERROR(VLOOKUP(J192,'TỒN'!A:E,5,false))</f>
        <v>0</v>
      </c>
      <c r="N192" s="1087">
        <v>41000.0</v>
      </c>
      <c r="O192" s="1087">
        <v>5000.0</v>
      </c>
    </row>
    <row r="193">
      <c r="H193" s="1081"/>
      <c r="I193" s="1088"/>
      <c r="J193" s="1089" t="s">
        <v>1125</v>
      </c>
      <c r="K193" s="1089" t="s">
        <v>1126</v>
      </c>
      <c r="L193" s="1090" t="s">
        <v>780</v>
      </c>
      <c r="M193" s="1090">
        <f>IFERROR(VLOOKUP(J193,'TỒN'!A:E,5,false))</f>
        <v>0</v>
      </c>
      <c r="N193" s="1091">
        <v>186670.0</v>
      </c>
      <c r="O193" s="1095"/>
    </row>
    <row r="194">
      <c r="H194" s="1081"/>
      <c r="I194" s="1088"/>
      <c r="J194" s="1089" t="s">
        <v>1127</v>
      </c>
      <c r="K194" s="1089" t="s">
        <v>1128</v>
      </c>
      <c r="L194" s="1090" t="s">
        <v>776</v>
      </c>
      <c r="M194" s="1090">
        <f>IFERROR(VLOOKUP(J194,'TỒN'!A:E,5,false))</f>
        <v>0</v>
      </c>
      <c r="N194" s="1091">
        <v>30450.0</v>
      </c>
      <c r="O194" s="1095"/>
    </row>
  </sheetData>
  <mergeCells count="85">
    <mergeCell ref="I121:I122"/>
    <mergeCell ref="J121:J122"/>
    <mergeCell ref="K121:K122"/>
    <mergeCell ref="L121:L122"/>
    <mergeCell ref="M121:M122"/>
    <mergeCell ref="N121:N122"/>
    <mergeCell ref="O121:O122"/>
    <mergeCell ref="I130:I131"/>
    <mergeCell ref="J130:J131"/>
    <mergeCell ref="K130:K131"/>
    <mergeCell ref="L130:L131"/>
    <mergeCell ref="M130:M131"/>
    <mergeCell ref="N130:N131"/>
    <mergeCell ref="O130:O131"/>
    <mergeCell ref="I138:I139"/>
    <mergeCell ref="J138:J139"/>
    <mergeCell ref="K138:K139"/>
    <mergeCell ref="L138:L139"/>
    <mergeCell ref="M138:M139"/>
    <mergeCell ref="N138:N139"/>
    <mergeCell ref="O138:O139"/>
    <mergeCell ref="I172:I173"/>
    <mergeCell ref="J172:J173"/>
    <mergeCell ref="K172:K173"/>
    <mergeCell ref="L172:L173"/>
    <mergeCell ref="M172:M173"/>
    <mergeCell ref="N172:N173"/>
    <mergeCell ref="O172:O173"/>
    <mergeCell ref="I161:I162"/>
    <mergeCell ref="J161:J162"/>
    <mergeCell ref="K161:K162"/>
    <mergeCell ref="L161:L162"/>
    <mergeCell ref="M161:M162"/>
    <mergeCell ref="N161:N162"/>
    <mergeCell ref="O161:O162"/>
    <mergeCell ref="G5:G6"/>
    <mergeCell ref="I5:I6"/>
    <mergeCell ref="J5:J6"/>
    <mergeCell ref="K5:K6"/>
    <mergeCell ref="L5:L6"/>
    <mergeCell ref="M5:M6"/>
    <mergeCell ref="N5:N6"/>
    <mergeCell ref="O5:O6"/>
    <mergeCell ref="C2:G3"/>
    <mergeCell ref="A5:A6"/>
    <mergeCell ref="B5:B6"/>
    <mergeCell ref="C5:C6"/>
    <mergeCell ref="D5:D6"/>
    <mergeCell ref="E5:E6"/>
    <mergeCell ref="F5:F6"/>
    <mergeCell ref="A29:A30"/>
    <mergeCell ref="B29:B30"/>
    <mergeCell ref="C29:C30"/>
    <mergeCell ref="D29:D30"/>
    <mergeCell ref="E29:E30"/>
    <mergeCell ref="F29:F30"/>
    <mergeCell ref="G29:G30"/>
    <mergeCell ref="A43:A44"/>
    <mergeCell ref="B43:B44"/>
    <mergeCell ref="C43:C44"/>
    <mergeCell ref="D43:D44"/>
    <mergeCell ref="E43:E44"/>
    <mergeCell ref="F43:F44"/>
    <mergeCell ref="G43:G44"/>
    <mergeCell ref="A72:A73"/>
    <mergeCell ref="B72:B73"/>
    <mergeCell ref="C72:C73"/>
    <mergeCell ref="D72:D73"/>
    <mergeCell ref="E72:E73"/>
    <mergeCell ref="F72:F73"/>
    <mergeCell ref="G72:G73"/>
    <mergeCell ref="I84:I85"/>
    <mergeCell ref="J84:J85"/>
    <mergeCell ref="K84:K85"/>
    <mergeCell ref="L84:L85"/>
    <mergeCell ref="M84:M85"/>
    <mergeCell ref="N84:N85"/>
    <mergeCell ref="O84:O85"/>
    <mergeCell ref="I109:I110"/>
    <mergeCell ref="J109:J110"/>
    <mergeCell ref="K109:K110"/>
    <mergeCell ref="L109:L110"/>
    <mergeCell ref="M109:M110"/>
    <mergeCell ref="N109:N110"/>
    <mergeCell ref="O109:O1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3" max="3" width="54.63"/>
    <col customWidth="1" min="4" max="4" width="10.13"/>
    <col customWidth="1" min="5" max="5" width="9.25"/>
    <col customWidth="1" min="8" max="8" width="6.0"/>
    <col customWidth="1" min="11" max="11" width="43.88"/>
    <col customWidth="1" min="12" max="13" width="9.13"/>
  </cols>
  <sheetData>
    <row r="1">
      <c r="A1" s="1081"/>
      <c r="B1" s="1081"/>
      <c r="C1" s="1081"/>
      <c r="D1" s="1081"/>
      <c r="E1" s="1081"/>
      <c r="F1" s="1081"/>
      <c r="G1" s="1081"/>
      <c r="I1" s="1081"/>
      <c r="J1" s="1081"/>
      <c r="K1" s="1081"/>
      <c r="L1" s="1081"/>
      <c r="M1" s="1081"/>
      <c r="N1" s="1081"/>
      <c r="O1" s="1081"/>
    </row>
    <row r="2">
      <c r="A2" s="1081"/>
      <c r="C2" s="1082" t="s">
        <v>1129</v>
      </c>
      <c r="K2" s="1081"/>
      <c r="L2" s="1081"/>
      <c r="M2" s="1081"/>
      <c r="N2" s="1081"/>
      <c r="O2" s="1081"/>
    </row>
    <row r="3">
      <c r="A3" s="1081"/>
      <c r="K3" s="1081"/>
      <c r="L3" s="1081"/>
      <c r="M3" s="1081"/>
      <c r="N3" s="1081"/>
      <c r="O3" s="1081"/>
    </row>
    <row r="4">
      <c r="A4" s="1081"/>
      <c r="B4" s="1081"/>
      <c r="C4" s="1081"/>
      <c r="D4" s="1081"/>
      <c r="E4" s="1081"/>
      <c r="F4" s="1081"/>
      <c r="G4" s="1081"/>
      <c r="I4" s="1081"/>
      <c r="J4" s="1081"/>
      <c r="K4" s="1081"/>
      <c r="L4" s="1081"/>
      <c r="M4" s="1081"/>
      <c r="N4" s="1081"/>
      <c r="O4" s="1081"/>
    </row>
    <row r="5">
      <c r="A5" s="1083" t="s">
        <v>769</v>
      </c>
      <c r="B5" s="1083" t="s">
        <v>427</v>
      </c>
      <c r="C5" s="1083" t="s">
        <v>1130</v>
      </c>
      <c r="D5" s="1083" t="s">
        <v>202</v>
      </c>
      <c r="E5" s="1083" t="s">
        <v>771</v>
      </c>
      <c r="F5" s="1096" t="s">
        <v>1131</v>
      </c>
      <c r="G5" s="1096" t="s">
        <v>772</v>
      </c>
      <c r="H5" s="50"/>
      <c r="I5" s="1083" t="s">
        <v>769</v>
      </c>
      <c r="J5" s="1083" t="s">
        <v>427</v>
      </c>
      <c r="K5" s="1083" t="s">
        <v>1132</v>
      </c>
      <c r="L5" s="1083" t="s">
        <v>202</v>
      </c>
      <c r="M5" s="1083" t="s">
        <v>771</v>
      </c>
      <c r="N5" s="1096" t="s">
        <v>1131</v>
      </c>
      <c r="O5" s="1096" t="s">
        <v>772</v>
      </c>
    </row>
    <row r="6">
      <c r="A6" s="17"/>
      <c r="B6" s="17"/>
      <c r="C6" s="17"/>
      <c r="D6" s="17"/>
      <c r="E6" s="17"/>
      <c r="F6" s="17"/>
      <c r="G6" s="17"/>
      <c r="H6" s="50"/>
      <c r="I6" s="17"/>
      <c r="J6" s="17"/>
      <c r="K6" s="17"/>
      <c r="L6" s="17"/>
      <c r="M6" s="17"/>
      <c r="N6" s="17"/>
      <c r="O6" s="17"/>
    </row>
    <row r="7">
      <c r="A7" s="1097"/>
      <c r="B7" s="1085" t="s">
        <v>1133</v>
      </c>
      <c r="C7" s="1085" t="s">
        <v>1134</v>
      </c>
      <c r="D7" s="1086" t="s">
        <v>1135</v>
      </c>
      <c r="E7" s="1086">
        <f>IFERROR(VLOOKUP(B7,'TỒN'!A:E,5,false))</f>
        <v>0</v>
      </c>
      <c r="F7" s="1098">
        <v>1.0E7</v>
      </c>
      <c r="G7" s="1098">
        <v>200000.0</v>
      </c>
      <c r="H7" s="63"/>
      <c r="I7" s="1085" t="s">
        <v>1136</v>
      </c>
      <c r="J7" s="1085" t="s">
        <v>1137</v>
      </c>
      <c r="K7" s="1085" t="s">
        <v>1138</v>
      </c>
      <c r="L7" s="1086" t="s">
        <v>1139</v>
      </c>
      <c r="M7" s="1086">
        <f>IFERROR(VLOOKUP(J7,'TỒN'!A:E,5,false))</f>
        <v>0</v>
      </c>
      <c r="N7" s="1098">
        <v>45300.0</v>
      </c>
      <c r="O7" s="1098">
        <v>5000.0</v>
      </c>
    </row>
    <row r="8">
      <c r="A8" s="1097"/>
      <c r="B8" s="1085"/>
      <c r="C8" s="1085"/>
      <c r="D8" s="1086"/>
      <c r="E8" s="1086"/>
      <c r="F8" s="1099"/>
      <c r="G8" s="1098"/>
      <c r="H8" s="63"/>
      <c r="I8" s="1085" t="s">
        <v>1136</v>
      </c>
      <c r="J8" s="1085" t="s">
        <v>1140</v>
      </c>
      <c r="K8" s="1085" t="s">
        <v>1141</v>
      </c>
      <c r="L8" s="1086" t="s">
        <v>1139</v>
      </c>
      <c r="M8" s="1086">
        <f>IFERROR(VLOOKUP(J8,'TỒN'!A:E,5,false))</f>
        <v>0</v>
      </c>
      <c r="N8" s="1098">
        <v>59100.0</v>
      </c>
      <c r="O8" s="1098">
        <v>5000.0</v>
      </c>
    </row>
    <row r="9">
      <c r="A9" s="1097"/>
      <c r="B9" s="1085" t="s">
        <v>1142</v>
      </c>
      <c r="C9" s="1085" t="s">
        <v>1143</v>
      </c>
      <c r="D9" s="1086" t="s">
        <v>1144</v>
      </c>
      <c r="E9" s="1086">
        <f>IFERROR(VLOOKUP(B9,'TỒN'!A:E,5,false))</f>
        <v>0</v>
      </c>
      <c r="F9" s="1099">
        <v>13200.0</v>
      </c>
      <c r="G9" s="1098">
        <v>1000.0</v>
      </c>
      <c r="H9" s="63"/>
      <c r="I9" s="1085" t="s">
        <v>1145</v>
      </c>
      <c r="J9" s="1085" t="s">
        <v>1146</v>
      </c>
      <c r="K9" s="1085" t="s">
        <v>1147</v>
      </c>
      <c r="L9" s="1086" t="s">
        <v>1148</v>
      </c>
      <c r="M9" s="1086">
        <f>IFERROR(VLOOKUP(J9,'TỒN'!A:E,5,false))</f>
        <v>0</v>
      </c>
      <c r="N9" s="1087">
        <v>20350.0</v>
      </c>
      <c r="O9" s="1098">
        <v>5000.0</v>
      </c>
    </row>
    <row r="10">
      <c r="A10" s="1097"/>
      <c r="B10" s="1085" t="s">
        <v>1149</v>
      </c>
      <c r="C10" s="1085" t="s">
        <v>1150</v>
      </c>
      <c r="D10" s="1086" t="s">
        <v>1144</v>
      </c>
      <c r="E10" s="1086">
        <f>IFERROR(VLOOKUP(B10,'TỒN'!A:E,5,false))</f>
        <v>0</v>
      </c>
      <c r="F10" s="1099">
        <v>24400.0</v>
      </c>
      <c r="G10" s="1098">
        <v>1000.0</v>
      </c>
      <c r="H10" s="63"/>
      <c r="I10" s="1085" t="s">
        <v>1136</v>
      </c>
      <c r="J10" s="1085" t="s">
        <v>1151</v>
      </c>
      <c r="K10" s="1085" t="s">
        <v>1152</v>
      </c>
      <c r="L10" s="1086" t="s">
        <v>1139</v>
      </c>
      <c r="M10" s="1086">
        <f>IFERROR(VLOOKUP(J10,'TỒN'!A:E,5,false))</f>
        <v>0</v>
      </c>
      <c r="N10" s="1098">
        <v>19900.0</v>
      </c>
      <c r="O10" s="1098">
        <v>5000.0</v>
      </c>
    </row>
    <row r="11">
      <c r="A11" s="1097"/>
      <c r="B11" s="1100"/>
      <c r="C11" s="1101"/>
      <c r="D11" s="1086"/>
      <c r="E11" s="1086"/>
      <c r="F11" s="1099"/>
      <c r="G11" s="1098"/>
      <c r="H11" s="63"/>
      <c r="I11" s="1083" t="s">
        <v>769</v>
      </c>
      <c r="J11" s="1083" t="s">
        <v>427</v>
      </c>
      <c r="K11" s="1083" t="s">
        <v>1153</v>
      </c>
      <c r="L11" s="1083" t="s">
        <v>202</v>
      </c>
      <c r="M11" s="1083" t="s">
        <v>771</v>
      </c>
      <c r="N11" s="1096" t="s">
        <v>1131</v>
      </c>
      <c r="O11" s="1096" t="s">
        <v>772</v>
      </c>
    </row>
    <row r="12">
      <c r="A12" s="1097"/>
      <c r="B12" s="1085" t="s">
        <v>1154</v>
      </c>
      <c r="C12" s="1085" t="s">
        <v>1155</v>
      </c>
      <c r="D12" s="1086" t="s">
        <v>1144</v>
      </c>
      <c r="E12" s="1086">
        <f>IFERROR(VLOOKUP(B12,'TỒN'!A:E,5,false))</f>
        <v>24</v>
      </c>
      <c r="F12" s="1099">
        <v>24400.0</v>
      </c>
      <c r="G12" s="1098">
        <v>1000.0</v>
      </c>
      <c r="H12" s="63"/>
      <c r="I12" s="17"/>
      <c r="J12" s="17"/>
      <c r="K12" s="17"/>
      <c r="L12" s="17"/>
      <c r="M12" s="17"/>
      <c r="N12" s="17"/>
      <c r="O12" s="17"/>
    </row>
    <row r="13">
      <c r="A13" s="1097"/>
      <c r="B13" s="1085"/>
      <c r="C13" s="1085"/>
      <c r="D13" s="1086"/>
      <c r="E13" s="1086"/>
      <c r="F13" s="1099"/>
      <c r="G13" s="1098"/>
      <c r="H13" s="63"/>
      <c r="I13" s="1097"/>
      <c r="J13" s="1085" t="s">
        <v>1156</v>
      </c>
      <c r="K13" s="1085" t="s">
        <v>1157</v>
      </c>
      <c r="L13" s="1086" t="s">
        <v>1144</v>
      </c>
      <c r="M13" s="1086">
        <f>IFERROR(VLOOKUP(J13,'TỒN'!A:E,5,false))</f>
        <v>0</v>
      </c>
      <c r="N13" s="1098">
        <v>20000.0</v>
      </c>
      <c r="O13" s="1098">
        <v>1000.0</v>
      </c>
    </row>
    <row r="14">
      <c r="A14" s="1097"/>
      <c r="B14" s="1085" t="s">
        <v>1158</v>
      </c>
      <c r="C14" s="1085" t="s">
        <v>1159</v>
      </c>
      <c r="D14" s="1086" t="s">
        <v>1144</v>
      </c>
      <c r="E14" s="1086">
        <f>IFERROR(VLOOKUP(B14,'TỒN'!A:E,5,false))</f>
        <v>0</v>
      </c>
      <c r="F14" s="1099">
        <v>18400.0</v>
      </c>
      <c r="G14" s="1098">
        <v>1000.0</v>
      </c>
      <c r="H14" s="63"/>
      <c r="I14" s="1097"/>
      <c r="J14" s="1085" t="s">
        <v>1160</v>
      </c>
      <c r="K14" s="1085" t="s">
        <v>1161</v>
      </c>
      <c r="L14" s="1086" t="s">
        <v>1144</v>
      </c>
      <c r="M14" s="1086">
        <f>IFERROR(VLOOKUP(J14,'TỒN'!A:E,5,false))</f>
        <v>0</v>
      </c>
      <c r="N14" s="1098">
        <v>20000.0</v>
      </c>
      <c r="O14" s="1098">
        <v>1000.0</v>
      </c>
    </row>
    <row r="15">
      <c r="A15" s="1097"/>
      <c r="B15" s="1085" t="s">
        <v>1162</v>
      </c>
      <c r="C15" s="1085" t="s">
        <v>1163</v>
      </c>
      <c r="D15" s="1086" t="s">
        <v>1144</v>
      </c>
      <c r="E15" s="1086">
        <f>IFERROR(VLOOKUP(B15,'TỒN'!A:E,5,false))</f>
        <v>99</v>
      </c>
      <c r="F15" s="1099">
        <v>30600.0</v>
      </c>
      <c r="G15" s="1098">
        <v>1000.0</v>
      </c>
      <c r="H15" s="63"/>
      <c r="I15" s="1097"/>
      <c r="J15" s="1085" t="s">
        <v>1164</v>
      </c>
      <c r="K15" s="1085" t="s">
        <v>1165</v>
      </c>
      <c r="L15" s="1086" t="s">
        <v>1144</v>
      </c>
      <c r="M15" s="1086">
        <f>IFERROR(VLOOKUP(J15,'TỒN'!A:E,5,false))</f>
        <v>0</v>
      </c>
      <c r="N15" s="1098">
        <v>4000.0</v>
      </c>
      <c r="O15" s="1098">
        <v>1000.0</v>
      </c>
    </row>
    <row r="16">
      <c r="A16" s="1097"/>
      <c r="B16" s="1085" t="s">
        <v>1166</v>
      </c>
      <c r="C16" s="1085" t="s">
        <v>1167</v>
      </c>
      <c r="D16" s="1086" t="s">
        <v>1144</v>
      </c>
      <c r="E16" s="1086">
        <f>IFERROR(VLOOKUP(B16,'TỒN'!A:E,5,false))</f>
        <v>0</v>
      </c>
      <c r="F16" s="1099">
        <v>33700.0</v>
      </c>
      <c r="G16" s="1098">
        <v>1000.0</v>
      </c>
      <c r="H16" s="63"/>
      <c r="I16" s="1097"/>
      <c r="J16" s="1085" t="s">
        <v>1168</v>
      </c>
      <c r="K16" s="1085" t="s">
        <v>1169</v>
      </c>
      <c r="L16" s="1086" t="s">
        <v>1144</v>
      </c>
      <c r="M16" s="1086">
        <f>IFERROR(VLOOKUP(J16,'TỒN'!A:E,5,false))</f>
        <v>0</v>
      </c>
      <c r="N16" s="1098">
        <v>5000.0</v>
      </c>
      <c r="O16" s="1098">
        <v>1000.0</v>
      </c>
    </row>
    <row r="17">
      <c r="A17" s="1097"/>
      <c r="B17" s="1085" t="s">
        <v>1170</v>
      </c>
      <c r="C17" s="1085" t="s">
        <v>1171</v>
      </c>
      <c r="D17" s="1086" t="s">
        <v>1144</v>
      </c>
      <c r="E17" s="1086">
        <f>IFERROR(VLOOKUP(B17,'TỒN'!A:E,5,false))</f>
        <v>0</v>
      </c>
      <c r="F17" s="1099">
        <v>23400.0</v>
      </c>
      <c r="G17" s="1098">
        <v>1000.0</v>
      </c>
      <c r="H17" s="63"/>
      <c r="I17" s="1097"/>
      <c r="J17" s="1085" t="s">
        <v>1172</v>
      </c>
      <c r="K17" s="1085" t="s">
        <v>1173</v>
      </c>
      <c r="L17" s="1086" t="s">
        <v>1144</v>
      </c>
      <c r="M17" s="1086">
        <f>IFERROR(VLOOKUP(J17,'TỒN'!A:E,5,false))</f>
        <v>0</v>
      </c>
      <c r="N17" s="1098">
        <v>6000.0</v>
      </c>
      <c r="O17" s="1098">
        <v>1000.0</v>
      </c>
    </row>
    <row r="18">
      <c r="A18" s="1097"/>
      <c r="B18" s="1085" t="s">
        <v>1174</v>
      </c>
      <c r="C18" s="1085" t="s">
        <v>1175</v>
      </c>
      <c r="D18" s="1086" t="s">
        <v>1144</v>
      </c>
      <c r="E18" s="1086" t="str">
        <f>IFERROR(VLOOKUP(B18,'TỒN'!A:E,5,false))</f>
        <v/>
      </c>
      <c r="F18" s="1099">
        <v>25400.0</v>
      </c>
      <c r="G18" s="1098">
        <v>1000.0</v>
      </c>
      <c r="H18" s="63"/>
      <c r="I18" s="1083" t="s">
        <v>769</v>
      </c>
      <c r="J18" s="1083" t="s">
        <v>427</v>
      </c>
      <c r="K18" s="1083" t="s">
        <v>1176</v>
      </c>
      <c r="L18" s="1083" t="s">
        <v>202</v>
      </c>
      <c r="M18" s="1083" t="s">
        <v>771</v>
      </c>
      <c r="N18" s="1096" t="s">
        <v>1131</v>
      </c>
      <c r="O18" s="1096" t="s">
        <v>772</v>
      </c>
    </row>
    <row r="19">
      <c r="A19" s="1097"/>
      <c r="B19" s="1085" t="s">
        <v>1177</v>
      </c>
      <c r="C19" s="1085" t="s">
        <v>1178</v>
      </c>
      <c r="D19" s="1086" t="s">
        <v>1144</v>
      </c>
      <c r="E19" s="1086">
        <f>IFERROR(VLOOKUP(B19,'TỒN'!A:E,5,false))</f>
        <v>0</v>
      </c>
      <c r="F19" s="1099">
        <v>41800.0</v>
      </c>
      <c r="G19" s="1098">
        <v>1000.0</v>
      </c>
      <c r="H19" s="63"/>
      <c r="I19" s="17"/>
      <c r="J19" s="17"/>
      <c r="K19" s="17"/>
      <c r="L19" s="17"/>
      <c r="M19" s="17"/>
      <c r="N19" s="17"/>
      <c r="O19" s="17"/>
    </row>
    <row r="20">
      <c r="A20" s="1097"/>
      <c r="B20" s="1085" t="s">
        <v>1179</v>
      </c>
      <c r="C20" s="1085" t="s">
        <v>1180</v>
      </c>
      <c r="D20" s="1086" t="s">
        <v>1144</v>
      </c>
      <c r="E20" s="1086">
        <f>IFERROR(VLOOKUP(B20,'TỒN'!A:E,5,false))</f>
        <v>494</v>
      </c>
      <c r="F20" s="1099">
        <v>41800.0</v>
      </c>
      <c r="G20" s="1098">
        <v>1000.0</v>
      </c>
      <c r="H20" s="63"/>
      <c r="I20" s="1088"/>
      <c r="J20" s="1089" t="s">
        <v>1181</v>
      </c>
      <c r="K20" s="1089" t="s">
        <v>1182</v>
      </c>
      <c r="L20" s="1090" t="s">
        <v>636</v>
      </c>
      <c r="M20" s="1090" t="str">
        <f>IFERROR(VLOOKUP(J20,'TỒN'!A:E,5,false))</f>
        <v/>
      </c>
      <c r="N20" s="1093">
        <v>67809.0</v>
      </c>
      <c r="O20" s="1095"/>
    </row>
    <row r="21">
      <c r="A21" s="1097"/>
      <c r="B21" s="1085" t="s">
        <v>1183</v>
      </c>
      <c r="C21" s="1085" t="s">
        <v>1184</v>
      </c>
      <c r="D21" s="1086" t="s">
        <v>1144</v>
      </c>
      <c r="E21" s="1086">
        <f>IFERROR(VLOOKUP(B21,'TỒN'!A:E,5,false))</f>
        <v>0</v>
      </c>
      <c r="F21" s="1099">
        <v>61200.0</v>
      </c>
      <c r="G21" s="1098">
        <v>1000.0</v>
      </c>
      <c r="H21" s="63"/>
      <c r="I21" s="1088"/>
      <c r="J21" s="1089" t="s">
        <v>1185</v>
      </c>
      <c r="K21" s="1089" t="s">
        <v>1186</v>
      </c>
      <c r="L21" s="1090" t="s">
        <v>780</v>
      </c>
      <c r="M21" s="1090">
        <f>IFERROR(VLOOKUP(J21,'TỒN'!A:E,5,false))</f>
        <v>0</v>
      </c>
      <c r="N21" s="1093">
        <v>84126.0</v>
      </c>
      <c r="O21" s="1095"/>
    </row>
    <row r="22">
      <c r="A22" s="1097"/>
      <c r="B22" s="1085" t="s">
        <v>1187</v>
      </c>
      <c r="C22" s="1085" t="s">
        <v>1188</v>
      </c>
      <c r="D22" s="1086" t="s">
        <v>1144</v>
      </c>
      <c r="E22" s="1086">
        <f>IFERROR(VLOOKUP(B22,'TỒN'!A:E,5,false))</f>
        <v>0</v>
      </c>
      <c r="F22" s="1099">
        <v>129400.0</v>
      </c>
      <c r="G22" s="1098">
        <v>1000.0</v>
      </c>
      <c r="H22" s="63"/>
      <c r="I22" s="1088"/>
      <c r="J22" s="1089"/>
      <c r="K22" s="1089"/>
      <c r="L22" s="1090"/>
      <c r="M22" s="1090"/>
      <c r="N22" s="1093"/>
      <c r="O22" s="1095"/>
    </row>
    <row r="23">
      <c r="A23" s="1097"/>
      <c r="B23" s="1085" t="s">
        <v>1189</v>
      </c>
      <c r="C23" s="1085" t="s">
        <v>1190</v>
      </c>
      <c r="D23" s="1086" t="s">
        <v>1144</v>
      </c>
      <c r="E23" s="1086">
        <f>IFERROR(VLOOKUP(B23,'TỒN'!A:E,5,false))</f>
        <v>0</v>
      </c>
      <c r="F23" s="1099">
        <v>17300.0</v>
      </c>
      <c r="G23" s="1098">
        <v>1000.0</v>
      </c>
      <c r="H23" s="63"/>
      <c r="I23" s="1088"/>
      <c r="J23" s="1089" t="s">
        <v>541</v>
      </c>
      <c r="K23" s="1089" t="s">
        <v>542</v>
      </c>
      <c r="L23" s="1090" t="s">
        <v>636</v>
      </c>
      <c r="M23" s="1090">
        <f>IFERROR(VLOOKUP(J23,'TỒN'!A:E,5,false))</f>
        <v>72</v>
      </c>
      <c r="N23" s="1093">
        <v>19672.0</v>
      </c>
      <c r="O23" s="1095"/>
    </row>
    <row r="24">
      <c r="A24" s="1097"/>
      <c r="B24" s="1085"/>
      <c r="C24" s="1085"/>
      <c r="D24" s="1086"/>
      <c r="E24" s="1086"/>
      <c r="F24" s="1099"/>
      <c r="G24" s="1098"/>
      <c r="H24" s="63"/>
      <c r="I24" s="1088"/>
      <c r="J24" s="1089" t="s">
        <v>539</v>
      </c>
      <c r="K24" s="1089" t="s">
        <v>540</v>
      </c>
      <c r="L24" s="1090" t="s">
        <v>636</v>
      </c>
      <c r="M24" s="1090">
        <f>IFERROR(VLOOKUP(J24,'TỒN'!A:E,5,false))</f>
        <v>0</v>
      </c>
      <c r="N24" s="1093">
        <v>33496.0</v>
      </c>
      <c r="O24" s="1095"/>
    </row>
    <row r="25">
      <c r="A25" s="1097"/>
      <c r="B25" s="1085" t="s">
        <v>1191</v>
      </c>
      <c r="C25" s="1085" t="s">
        <v>1192</v>
      </c>
      <c r="D25" s="1086" t="s">
        <v>1144</v>
      </c>
      <c r="E25" s="1086">
        <f>IFERROR(VLOOKUP(B25,'TỒN'!A:E,5,false))</f>
        <v>0</v>
      </c>
      <c r="F25" s="1099">
        <v>44800.0</v>
      </c>
      <c r="G25" s="1098">
        <v>1000.0</v>
      </c>
      <c r="H25" s="63"/>
      <c r="I25" s="1083" t="s">
        <v>769</v>
      </c>
      <c r="J25" s="1083" t="s">
        <v>427</v>
      </c>
      <c r="K25" s="1083" t="s">
        <v>1193</v>
      </c>
      <c r="L25" s="1083" t="s">
        <v>202</v>
      </c>
      <c r="M25" s="1083" t="s">
        <v>771</v>
      </c>
      <c r="N25" s="1096" t="s">
        <v>1131</v>
      </c>
      <c r="O25" s="1096" t="s">
        <v>772</v>
      </c>
    </row>
    <row r="26">
      <c r="A26" s="1097"/>
      <c r="B26" s="1085"/>
      <c r="C26" s="1085"/>
      <c r="D26" s="1086"/>
      <c r="E26" s="1086"/>
      <c r="F26" s="1099"/>
      <c r="G26" s="1098"/>
      <c r="H26" s="63"/>
      <c r="I26" s="17"/>
      <c r="J26" s="17"/>
      <c r="K26" s="17"/>
      <c r="L26" s="17"/>
      <c r="M26" s="17"/>
      <c r="N26" s="17"/>
      <c r="O26" s="17"/>
    </row>
    <row r="27">
      <c r="A27" s="1097"/>
      <c r="B27" s="1085" t="s">
        <v>1194</v>
      </c>
      <c r="C27" s="1085" t="s">
        <v>1195</v>
      </c>
      <c r="D27" s="1086" t="s">
        <v>1144</v>
      </c>
      <c r="E27" s="1086">
        <f>IFERROR(VLOOKUP(B27,'TỒN'!A:E,5,false))</f>
        <v>0</v>
      </c>
      <c r="F27" s="1099">
        <v>29600.0</v>
      </c>
      <c r="G27" s="1098">
        <v>1000.0</v>
      </c>
      <c r="H27" s="63"/>
      <c r="I27" s="1088"/>
      <c r="J27" s="1089" t="s">
        <v>1196</v>
      </c>
      <c r="K27" s="1089"/>
      <c r="L27" s="1090"/>
      <c r="M27" s="1090"/>
      <c r="N27" s="1093"/>
      <c r="O27" s="1095"/>
    </row>
    <row r="28">
      <c r="A28" s="1097"/>
      <c r="B28" s="1085" t="s">
        <v>1197</v>
      </c>
      <c r="C28" s="1085" t="s">
        <v>1198</v>
      </c>
      <c r="D28" s="1086" t="s">
        <v>1144</v>
      </c>
      <c r="E28" s="1086">
        <f>IFERROR(VLOOKUP(B28,'TỒN'!A:E,5,false))</f>
        <v>47</v>
      </c>
      <c r="F28" s="1099">
        <v>29600.0</v>
      </c>
      <c r="G28" s="1098">
        <v>1000.0</v>
      </c>
      <c r="H28" s="63"/>
      <c r="I28" s="1088"/>
      <c r="J28" s="1089" t="s">
        <v>1199</v>
      </c>
      <c r="K28" s="1089" t="s">
        <v>1200</v>
      </c>
      <c r="L28" s="1090" t="s">
        <v>1201</v>
      </c>
      <c r="M28" s="1090" t="str">
        <f>IFERROR(VLOOKUP(J28,'TỒN'!A:E,5,false))</f>
        <v/>
      </c>
      <c r="N28" s="1091">
        <v>349030.0</v>
      </c>
      <c r="O28" s="1095"/>
    </row>
    <row r="29">
      <c r="A29" s="1097"/>
      <c r="B29" s="1085" t="s">
        <v>1202</v>
      </c>
      <c r="C29" s="1085" t="s">
        <v>1203</v>
      </c>
      <c r="D29" s="1086" t="s">
        <v>1144</v>
      </c>
      <c r="E29" s="1086">
        <f>IFERROR(VLOOKUP(B29,'TỒN'!A:E,5,false))</f>
        <v>0</v>
      </c>
      <c r="F29" s="1099">
        <v>72300.0</v>
      </c>
      <c r="G29" s="1098">
        <v>1000.0</v>
      </c>
      <c r="H29" s="63"/>
      <c r="I29" s="1088"/>
      <c r="J29" s="1089" t="s">
        <v>1204</v>
      </c>
      <c r="K29" s="1089" t="s">
        <v>1205</v>
      </c>
      <c r="L29" s="1090" t="s">
        <v>780</v>
      </c>
      <c r="M29" s="1090">
        <f>IFERROR(VLOOKUP(J29,'TỒN'!A:E,5,false))</f>
        <v>0</v>
      </c>
      <c r="N29" s="1091">
        <v>409500.0</v>
      </c>
      <c r="O29" s="1095">
        <v>20000.0</v>
      </c>
    </row>
    <row r="30">
      <c r="A30" s="1097"/>
      <c r="B30" s="1085" t="s">
        <v>1206</v>
      </c>
      <c r="C30" s="1085" t="s">
        <v>1207</v>
      </c>
      <c r="D30" s="1086" t="s">
        <v>1144</v>
      </c>
      <c r="E30" s="1086">
        <f>IFERROR(VLOOKUP(B30,'TỒN'!A:E,5,false))</f>
        <v>0</v>
      </c>
      <c r="F30" s="1099">
        <v>207800.0</v>
      </c>
      <c r="G30" s="1098">
        <v>1000.0</v>
      </c>
      <c r="H30" s="63"/>
      <c r="I30" s="1102"/>
      <c r="J30" s="1102"/>
      <c r="K30" s="1102"/>
      <c r="L30" s="1102"/>
      <c r="M30" s="1102"/>
      <c r="N30" s="1102"/>
      <c r="O30" s="1102"/>
    </row>
    <row r="31">
      <c r="A31" s="1097"/>
      <c r="B31" s="1085" t="s">
        <v>1208</v>
      </c>
      <c r="C31" s="1085" t="s">
        <v>1209</v>
      </c>
      <c r="D31" s="1086" t="s">
        <v>1144</v>
      </c>
      <c r="E31" s="1086">
        <f>IFERROR(VLOOKUP(B31,'TỒN'!A:E,5,false))</f>
        <v>0</v>
      </c>
      <c r="F31" s="1099">
        <v>23400.0</v>
      </c>
      <c r="G31" s="1098">
        <v>1000.0</v>
      </c>
      <c r="H31" s="63"/>
      <c r="I31" s="1102"/>
      <c r="J31" s="1102"/>
      <c r="K31" s="1102"/>
      <c r="L31" s="1102"/>
      <c r="M31" s="1102"/>
      <c r="N31" s="1102"/>
      <c r="O31" s="1102"/>
    </row>
    <row r="32">
      <c r="A32" s="1097"/>
      <c r="B32" s="1085" t="s">
        <v>1210</v>
      </c>
      <c r="C32" s="1085" t="s">
        <v>1211</v>
      </c>
      <c r="D32" s="1086" t="s">
        <v>1144</v>
      </c>
      <c r="E32" s="1086">
        <f>IFERROR(VLOOKUP(B32,'TỒN'!A:E,5,false))</f>
        <v>0</v>
      </c>
      <c r="F32" s="1099">
        <v>34700.0</v>
      </c>
      <c r="G32" s="1098">
        <v>1000.0</v>
      </c>
      <c r="H32" s="63"/>
      <c r="I32" s="1102"/>
      <c r="J32" s="1102"/>
      <c r="K32" s="1102"/>
      <c r="L32" s="1102"/>
      <c r="M32" s="1102"/>
      <c r="N32" s="1102"/>
      <c r="O32" s="1102"/>
    </row>
    <row r="33">
      <c r="A33" s="1097"/>
      <c r="B33" s="1085"/>
      <c r="C33" s="1085"/>
      <c r="D33" s="1086"/>
      <c r="E33" s="1086"/>
      <c r="F33" s="1099"/>
      <c r="G33" s="1098"/>
      <c r="H33" s="63"/>
      <c r="I33" s="1102"/>
      <c r="J33" s="1102"/>
      <c r="K33" s="1102"/>
      <c r="L33" s="1102"/>
      <c r="M33" s="1102"/>
      <c r="N33" s="1102"/>
      <c r="O33" s="1102"/>
    </row>
    <row r="34">
      <c r="A34" s="1097"/>
      <c r="B34" s="1085"/>
      <c r="C34" s="1085"/>
      <c r="D34" s="1086"/>
      <c r="E34" s="1086"/>
      <c r="F34" s="1099"/>
      <c r="G34" s="1098"/>
      <c r="H34" s="63"/>
      <c r="I34" s="1102"/>
      <c r="J34" s="1102"/>
      <c r="K34" s="1102"/>
      <c r="L34" s="1102"/>
      <c r="M34" s="1102"/>
      <c r="N34" s="1102"/>
      <c r="O34" s="1102"/>
    </row>
    <row r="35">
      <c r="A35" s="1097"/>
      <c r="B35" s="1085"/>
      <c r="C35" s="1085"/>
      <c r="D35" s="1086"/>
      <c r="E35" s="1086"/>
      <c r="F35" s="1099"/>
      <c r="G35" s="1098"/>
      <c r="H35" s="63"/>
      <c r="I35" s="1102"/>
      <c r="J35" s="1102"/>
      <c r="K35" s="1102"/>
      <c r="L35" s="1102"/>
      <c r="M35" s="1102"/>
      <c r="N35" s="1102"/>
      <c r="O35" s="1102"/>
    </row>
    <row r="36">
      <c r="A36" s="1097"/>
      <c r="B36" s="1085"/>
      <c r="C36" s="1085"/>
      <c r="D36" s="1086"/>
      <c r="E36" s="1086"/>
      <c r="F36" s="1099"/>
      <c r="G36" s="1098"/>
      <c r="H36" s="63"/>
      <c r="I36" s="1102"/>
      <c r="J36" s="1102"/>
      <c r="K36" s="1102"/>
      <c r="L36" s="1102"/>
      <c r="M36" s="1102"/>
      <c r="N36" s="1102"/>
      <c r="O36" s="1102"/>
    </row>
    <row r="37">
      <c r="A37" s="1097"/>
      <c r="B37" s="1085" t="s">
        <v>1212</v>
      </c>
      <c r="C37" s="1085" t="s">
        <v>1213</v>
      </c>
      <c r="D37" s="1086" t="s">
        <v>1144</v>
      </c>
      <c r="E37" s="1086">
        <f>IFERROR(VLOOKUP(B37,'TỒN'!A:E,5,false))</f>
        <v>0</v>
      </c>
      <c r="F37" s="1099">
        <v>267900.0</v>
      </c>
      <c r="G37" s="1098">
        <v>1000.0</v>
      </c>
      <c r="H37" s="63"/>
      <c r="I37" s="1102"/>
      <c r="J37" s="1102"/>
      <c r="K37" s="1102"/>
      <c r="L37" s="1102"/>
      <c r="M37" s="1102"/>
      <c r="N37" s="1102"/>
      <c r="O37" s="1102"/>
    </row>
    <row r="38">
      <c r="A38" s="1097"/>
      <c r="B38" s="1085" t="s">
        <v>1214</v>
      </c>
      <c r="C38" s="1085" t="s">
        <v>1215</v>
      </c>
      <c r="D38" s="1086" t="s">
        <v>1144</v>
      </c>
      <c r="E38" s="1086">
        <f>IFERROR(VLOOKUP(B38,'TỒN'!A:E,5,false))</f>
        <v>0</v>
      </c>
      <c r="F38" s="1099">
        <v>50900.0</v>
      </c>
      <c r="G38" s="1098">
        <v>1000.0</v>
      </c>
      <c r="H38" s="63"/>
      <c r="I38" s="1102"/>
      <c r="J38" s="1102"/>
      <c r="K38" s="1102"/>
      <c r="L38" s="1102"/>
      <c r="M38" s="1102"/>
      <c r="N38" s="1102"/>
      <c r="O38" s="1102"/>
    </row>
    <row r="39">
      <c r="A39" s="1097"/>
      <c r="B39" s="1085" t="s">
        <v>1216</v>
      </c>
      <c r="C39" s="1085" t="s">
        <v>1217</v>
      </c>
      <c r="D39" s="1086" t="s">
        <v>1144</v>
      </c>
      <c r="E39" s="1086">
        <f>IFERROR(VLOOKUP(B39,'TỒN'!A:E,5,false))</f>
        <v>0</v>
      </c>
      <c r="F39" s="1099">
        <v>50900.0</v>
      </c>
      <c r="G39" s="1098">
        <v>1000.0</v>
      </c>
      <c r="H39" s="63"/>
      <c r="I39" s="1102"/>
      <c r="J39" s="1102"/>
      <c r="K39" s="1102"/>
      <c r="L39" s="1102"/>
      <c r="M39" s="1102"/>
      <c r="N39" s="1102"/>
      <c r="O39" s="1102"/>
    </row>
    <row r="40">
      <c r="A40" s="1097"/>
      <c r="B40" s="1085" t="s">
        <v>1218</v>
      </c>
      <c r="C40" s="1085" t="s">
        <v>1219</v>
      </c>
      <c r="D40" s="1086" t="s">
        <v>1144</v>
      </c>
      <c r="E40" s="1086">
        <f>IFERROR(VLOOKUP(B40,'TỒN'!A:E,5,false))</f>
        <v>0</v>
      </c>
      <c r="F40" s="1099">
        <v>385000.0</v>
      </c>
      <c r="G40" s="1098">
        <v>1000.0</v>
      </c>
      <c r="H40" s="63"/>
      <c r="I40" s="1102"/>
      <c r="J40" s="1102"/>
      <c r="K40" s="1102"/>
      <c r="L40" s="1102"/>
      <c r="M40" s="1102"/>
      <c r="N40" s="1102"/>
      <c r="O40" s="1102"/>
    </row>
    <row r="41">
      <c r="A41" s="1097"/>
      <c r="B41" s="1085" t="s">
        <v>1220</v>
      </c>
      <c r="C41" s="1085" t="s">
        <v>1221</v>
      </c>
      <c r="D41" s="1086" t="s">
        <v>1144</v>
      </c>
      <c r="E41" s="1086">
        <f>IFERROR(VLOOKUP(B41,'TỒN'!A:E,5,false))</f>
        <v>0</v>
      </c>
      <c r="F41" s="1099">
        <v>385000.0</v>
      </c>
      <c r="G41" s="1098">
        <v>1000.0</v>
      </c>
      <c r="H41" s="63"/>
      <c r="I41" s="1102"/>
      <c r="J41" s="1102"/>
      <c r="K41" s="1102"/>
      <c r="L41" s="1102"/>
      <c r="M41" s="1102"/>
      <c r="N41" s="1102"/>
      <c r="O41" s="1102"/>
    </row>
    <row r="42">
      <c r="A42" s="1097"/>
      <c r="B42" s="1085" t="s">
        <v>1222</v>
      </c>
      <c r="C42" s="1085" t="s">
        <v>1223</v>
      </c>
      <c r="D42" s="1086" t="s">
        <v>1144</v>
      </c>
      <c r="E42" s="1086">
        <f>IFERROR(VLOOKUP(B42,'TỒN'!A:E,5,false))</f>
        <v>0</v>
      </c>
      <c r="F42" s="1099">
        <v>528000.0</v>
      </c>
      <c r="G42" s="1098">
        <v>1000.0</v>
      </c>
      <c r="H42" s="63"/>
      <c r="I42" s="1102"/>
      <c r="J42" s="1102"/>
      <c r="K42" s="1102"/>
      <c r="L42" s="1102"/>
      <c r="M42" s="1102"/>
      <c r="N42" s="1102"/>
      <c r="O42" s="1102"/>
    </row>
    <row r="43">
      <c r="A43" s="1097"/>
      <c r="B43" s="1085" t="s">
        <v>1224</v>
      </c>
      <c r="C43" s="1085" t="s">
        <v>1225</v>
      </c>
      <c r="D43" s="1086" t="s">
        <v>1144</v>
      </c>
      <c r="E43" s="1086">
        <f>IFERROR(VLOOKUP(B43,'TỒN'!A:E,5,false))</f>
        <v>119</v>
      </c>
      <c r="F43" s="1099">
        <v>77400.0</v>
      </c>
      <c r="G43" s="1098">
        <v>1000.0</v>
      </c>
      <c r="H43" s="63"/>
      <c r="I43" s="1102"/>
      <c r="J43" s="1102"/>
      <c r="K43" s="1102"/>
      <c r="L43" s="1102"/>
      <c r="M43" s="1102"/>
      <c r="N43" s="1102"/>
      <c r="O43" s="1102"/>
    </row>
    <row r="44">
      <c r="A44" s="1097"/>
      <c r="B44" s="1085" t="s">
        <v>1226</v>
      </c>
      <c r="C44" s="1085" t="s">
        <v>1227</v>
      </c>
      <c r="D44" s="1086" t="s">
        <v>1144</v>
      </c>
      <c r="E44" s="1086">
        <f>IFERROR(VLOOKUP(B44,'TỒN'!A:E,5,false))</f>
        <v>0</v>
      </c>
      <c r="F44" s="1099">
        <v>162900.0</v>
      </c>
      <c r="G44" s="1098">
        <v>1000.0</v>
      </c>
      <c r="H44" s="63"/>
      <c r="I44" s="1102"/>
      <c r="J44" s="1102"/>
      <c r="K44" s="1102"/>
      <c r="L44" s="1102"/>
      <c r="M44" s="1102"/>
      <c r="N44" s="1102"/>
      <c r="O44" s="1102"/>
    </row>
    <row r="45">
      <c r="A45" s="1097"/>
      <c r="B45" s="1085" t="s">
        <v>1228</v>
      </c>
      <c r="C45" s="1085" t="s">
        <v>1229</v>
      </c>
      <c r="D45" s="1086" t="s">
        <v>1144</v>
      </c>
      <c r="E45" s="1086">
        <f>IFERROR(VLOOKUP(B45,'TỒN'!A:E,5,false))</f>
        <v>0</v>
      </c>
      <c r="F45" s="1099">
        <v>426900.0</v>
      </c>
      <c r="G45" s="1098">
        <v>1000.0</v>
      </c>
      <c r="H45" s="63"/>
      <c r="I45" s="1102"/>
      <c r="J45" s="1102"/>
      <c r="K45" s="1102"/>
      <c r="L45" s="1102"/>
      <c r="M45" s="1102"/>
      <c r="N45" s="1102"/>
      <c r="O45" s="1102"/>
    </row>
    <row r="46">
      <c r="A46" s="1097"/>
      <c r="B46" s="1085" t="s">
        <v>1230</v>
      </c>
      <c r="C46" s="1085" t="s">
        <v>1231</v>
      </c>
      <c r="D46" s="1086" t="s">
        <v>1144</v>
      </c>
      <c r="E46" s="1086">
        <f>IFERROR(VLOOKUP(B46,'TỒN'!A:E,5,false))</f>
        <v>0</v>
      </c>
      <c r="F46" s="1099">
        <v>476300.0</v>
      </c>
      <c r="G46" s="1098">
        <v>1000.0</v>
      </c>
      <c r="H46" s="63"/>
      <c r="I46" s="1102"/>
      <c r="J46" s="1102"/>
      <c r="K46" s="1102"/>
      <c r="L46" s="1102"/>
      <c r="M46" s="1102"/>
      <c r="N46" s="1102"/>
      <c r="O46" s="1102"/>
    </row>
    <row r="47">
      <c r="A47" s="1097"/>
      <c r="B47" s="1085" t="s">
        <v>1232</v>
      </c>
      <c r="C47" s="1085" t="s">
        <v>1233</v>
      </c>
      <c r="D47" s="1086" t="s">
        <v>1144</v>
      </c>
      <c r="E47" s="1086">
        <f>IFERROR(VLOOKUP(B47,'TỒN'!A:E,5,false))</f>
        <v>0</v>
      </c>
      <c r="F47" s="1099">
        <v>544300.0</v>
      </c>
      <c r="G47" s="1098">
        <v>1000.0</v>
      </c>
      <c r="H47" s="63"/>
      <c r="I47" s="1102"/>
      <c r="J47" s="1102"/>
      <c r="K47" s="1102"/>
      <c r="L47" s="1102"/>
      <c r="M47" s="1102"/>
      <c r="N47" s="1102"/>
      <c r="O47" s="1102"/>
    </row>
    <row r="48">
      <c r="A48" s="1097"/>
      <c r="B48" s="1085"/>
      <c r="C48" s="1085"/>
      <c r="D48" s="1086"/>
      <c r="E48" s="1086"/>
      <c r="F48" s="1099"/>
      <c r="G48" s="1098"/>
      <c r="H48" s="63"/>
      <c r="I48" s="1102"/>
      <c r="J48" s="1102"/>
      <c r="K48" s="1102"/>
      <c r="L48" s="1102"/>
      <c r="M48" s="1102"/>
      <c r="N48" s="1102"/>
      <c r="O48" s="1102"/>
    </row>
    <row r="49">
      <c r="A49" s="1097"/>
      <c r="B49" s="1085" t="s">
        <v>1234</v>
      </c>
      <c r="C49" s="1085" t="s">
        <v>1235</v>
      </c>
      <c r="D49" s="1086" t="s">
        <v>1144</v>
      </c>
      <c r="E49" s="1086">
        <f>IFERROR(VLOOKUP(B49,'TỒN'!A:E,5,false))</f>
        <v>0</v>
      </c>
      <c r="F49" s="1099">
        <v>574400.0</v>
      </c>
      <c r="G49" s="1098">
        <v>1000.0</v>
      </c>
      <c r="H49" s="63"/>
      <c r="I49" s="1102"/>
      <c r="J49" s="1102"/>
      <c r="K49" s="1102"/>
      <c r="L49" s="1102"/>
      <c r="M49" s="1102"/>
      <c r="N49" s="1102"/>
      <c r="O49" s="1102"/>
    </row>
    <row r="50">
      <c r="A50" s="1097"/>
      <c r="B50" s="1085" t="s">
        <v>1236</v>
      </c>
      <c r="C50" s="1085" t="s">
        <v>1237</v>
      </c>
      <c r="D50" s="1086" t="s">
        <v>1144</v>
      </c>
      <c r="E50" s="1086">
        <f>IFERROR(VLOOKUP(B50,'TỒN'!A:E,5,false))</f>
        <v>54</v>
      </c>
      <c r="F50" s="1099">
        <v>17300.0</v>
      </c>
      <c r="G50" s="1098">
        <v>1000.0</v>
      </c>
      <c r="H50" s="63"/>
      <c r="I50" s="1102"/>
      <c r="J50" s="1102"/>
      <c r="K50" s="1102"/>
      <c r="L50" s="1102"/>
      <c r="M50" s="1102"/>
      <c r="N50" s="1102"/>
      <c r="O50" s="1102"/>
    </row>
    <row r="51">
      <c r="A51" s="1097"/>
      <c r="B51" s="1085" t="s">
        <v>1238</v>
      </c>
      <c r="C51" s="1085" t="s">
        <v>1239</v>
      </c>
      <c r="D51" s="1086" t="s">
        <v>1144</v>
      </c>
      <c r="E51" s="1086">
        <f>IFERROR(VLOOKUP(B51,'TỒN'!A:E,5,false))</f>
        <v>0</v>
      </c>
      <c r="F51" s="1099">
        <v>24400.0</v>
      </c>
      <c r="G51" s="1098">
        <v>1000.0</v>
      </c>
      <c r="H51" s="63"/>
      <c r="I51" s="1102"/>
      <c r="J51" s="1102"/>
      <c r="K51" s="1102"/>
      <c r="L51" s="1102"/>
      <c r="M51" s="1102"/>
      <c r="N51" s="1102"/>
      <c r="O51" s="1102"/>
    </row>
    <row r="52">
      <c r="A52" s="1097"/>
      <c r="B52" s="1085" t="s">
        <v>1240</v>
      </c>
      <c r="C52" s="1085" t="s">
        <v>1241</v>
      </c>
      <c r="D52" s="1086" t="s">
        <v>1144</v>
      </c>
      <c r="E52" s="1086">
        <f>IFERROR(VLOOKUP(B52,'TỒN'!A:E,5,false))</f>
        <v>0</v>
      </c>
      <c r="F52" s="1099">
        <v>50900.0</v>
      </c>
      <c r="G52" s="1098">
        <v>1000.0</v>
      </c>
      <c r="H52" s="63"/>
      <c r="I52" s="1102"/>
      <c r="J52" s="1102"/>
      <c r="K52" s="1102"/>
      <c r="L52" s="1102"/>
      <c r="M52" s="1102"/>
      <c r="N52" s="1102"/>
      <c r="O52" s="1102"/>
    </row>
    <row r="53">
      <c r="A53" s="1097"/>
      <c r="B53" s="1085" t="s">
        <v>1242</v>
      </c>
      <c r="C53" s="1085" t="s">
        <v>1243</v>
      </c>
      <c r="D53" s="1086" t="s">
        <v>1144</v>
      </c>
      <c r="E53" s="1086">
        <f>IFERROR(VLOOKUP(B53,'TỒN'!A:E,5,false))</f>
        <v>0</v>
      </c>
      <c r="F53" s="1099">
        <v>21300.0</v>
      </c>
      <c r="G53" s="1098">
        <v>1000.0</v>
      </c>
      <c r="H53" s="63"/>
      <c r="I53" s="1102"/>
      <c r="J53" s="1102"/>
      <c r="K53" s="1102"/>
      <c r="L53" s="1102"/>
      <c r="M53" s="1102"/>
      <c r="N53" s="1102"/>
      <c r="O53" s="1102"/>
    </row>
    <row r="54">
      <c r="A54" s="1097"/>
      <c r="B54" s="1085" t="s">
        <v>1244</v>
      </c>
      <c r="C54" s="1085" t="s">
        <v>1245</v>
      </c>
      <c r="D54" s="1086" t="s">
        <v>1144</v>
      </c>
      <c r="E54" s="1086">
        <f>IFERROR(VLOOKUP(B54,'TỒN'!A:E,5,false))</f>
        <v>0</v>
      </c>
      <c r="F54" s="1099">
        <v>33700.0</v>
      </c>
      <c r="G54" s="1098">
        <v>1000.0</v>
      </c>
      <c r="H54" s="63"/>
      <c r="I54" s="1102"/>
      <c r="J54" s="1102"/>
      <c r="K54" s="1102"/>
      <c r="L54" s="1102"/>
      <c r="M54" s="1102"/>
      <c r="N54" s="1102"/>
      <c r="O54" s="1102"/>
    </row>
    <row r="55">
      <c r="A55" s="1097"/>
      <c r="B55" s="1085" t="s">
        <v>1246</v>
      </c>
      <c r="C55" s="1085" t="s">
        <v>1247</v>
      </c>
      <c r="D55" s="1086" t="s">
        <v>1144</v>
      </c>
      <c r="E55" s="1086">
        <f>IFERROR(VLOOKUP(B55,'TỒN'!A:E,5,false))</f>
        <v>0</v>
      </c>
      <c r="F55" s="1099">
        <v>56000.0</v>
      </c>
      <c r="G55" s="1098">
        <v>1000.0</v>
      </c>
      <c r="H55" s="63"/>
      <c r="I55" s="1102"/>
      <c r="J55" s="1102"/>
      <c r="K55" s="1102"/>
      <c r="L55" s="1102"/>
      <c r="M55" s="1102"/>
      <c r="N55" s="1102"/>
      <c r="O55" s="1102"/>
    </row>
    <row r="56">
      <c r="A56" s="1097"/>
      <c r="B56" s="1085" t="s">
        <v>1248</v>
      </c>
      <c r="C56" s="1085" t="s">
        <v>1249</v>
      </c>
      <c r="D56" s="1086" t="s">
        <v>1144</v>
      </c>
      <c r="E56" s="1086">
        <f>IFERROR(VLOOKUP(B56,'TỒN'!A:E,5,false))</f>
        <v>0</v>
      </c>
      <c r="F56" s="1099">
        <v>25400.0</v>
      </c>
      <c r="G56" s="1098">
        <v>1000.0</v>
      </c>
      <c r="H56" s="63"/>
      <c r="I56" s="1102"/>
      <c r="J56" s="1102"/>
      <c r="K56" s="1102"/>
      <c r="L56" s="1102"/>
      <c r="M56" s="1102"/>
      <c r="N56" s="1102"/>
      <c r="O56" s="1102"/>
    </row>
    <row r="57">
      <c r="A57" s="1097"/>
      <c r="B57" s="1085" t="s">
        <v>1250</v>
      </c>
      <c r="C57" s="1085" t="s">
        <v>1251</v>
      </c>
      <c r="D57" s="1086" t="s">
        <v>1144</v>
      </c>
      <c r="E57" s="1086">
        <f>IFERROR(VLOOKUP(B57,'TỒN'!A:E,5,false))</f>
        <v>0</v>
      </c>
      <c r="F57" s="1099">
        <v>41800.0</v>
      </c>
      <c r="G57" s="1098">
        <v>1000.0</v>
      </c>
      <c r="H57" s="63"/>
      <c r="I57" s="1102"/>
      <c r="J57" s="1102"/>
      <c r="K57" s="1102"/>
      <c r="L57" s="1102"/>
      <c r="M57" s="1102"/>
      <c r="N57" s="1102"/>
      <c r="O57" s="1102"/>
    </row>
    <row r="58">
      <c r="A58" s="1097"/>
      <c r="B58" s="1085" t="s">
        <v>1252</v>
      </c>
      <c r="C58" s="1085" t="s">
        <v>1253</v>
      </c>
      <c r="D58" s="1086" t="s">
        <v>1144</v>
      </c>
      <c r="E58" s="1086">
        <f>IFERROR(VLOOKUP(B58,'TỒN'!A:E,5,false))</f>
        <v>0</v>
      </c>
      <c r="F58" s="1099">
        <v>29600.0</v>
      </c>
      <c r="G58" s="1098">
        <v>1000.0</v>
      </c>
      <c r="H58" s="63"/>
      <c r="I58" s="1102"/>
      <c r="J58" s="1102"/>
      <c r="K58" s="1102"/>
      <c r="L58" s="1102"/>
      <c r="M58" s="1102"/>
      <c r="N58" s="1102"/>
      <c r="O58" s="1102"/>
    </row>
    <row r="59">
      <c r="A59" s="1097"/>
      <c r="B59" s="1085" t="s">
        <v>1254</v>
      </c>
      <c r="C59" s="1085" t="s">
        <v>1255</v>
      </c>
      <c r="D59" s="1086" t="s">
        <v>1144</v>
      </c>
      <c r="E59" s="1086">
        <f>IFERROR(VLOOKUP(B59,'TỒN'!A:E,5,false))</f>
        <v>0</v>
      </c>
      <c r="F59" s="1099">
        <v>72300.0</v>
      </c>
      <c r="G59" s="1098">
        <v>1000.0</v>
      </c>
      <c r="H59" s="63"/>
      <c r="I59" s="1102"/>
      <c r="J59" s="1102"/>
      <c r="K59" s="1102"/>
      <c r="L59" s="1102"/>
      <c r="M59" s="1102"/>
      <c r="N59" s="1102"/>
      <c r="O59" s="1102"/>
    </row>
    <row r="60">
      <c r="A60" s="1097"/>
      <c r="B60" s="1085" t="s">
        <v>1256</v>
      </c>
      <c r="C60" s="1085" t="s">
        <v>1257</v>
      </c>
      <c r="D60" s="1086" t="s">
        <v>1144</v>
      </c>
      <c r="E60" s="1086">
        <f>IFERROR(VLOOKUP(B60,'TỒN'!A:E,5,false))</f>
        <v>0</v>
      </c>
      <c r="F60" s="1099">
        <v>34700.0</v>
      </c>
      <c r="G60" s="1098">
        <v>1000.0</v>
      </c>
      <c r="H60" s="63"/>
      <c r="I60" s="1102"/>
      <c r="J60" s="1102"/>
      <c r="K60" s="1102"/>
      <c r="L60" s="1102"/>
      <c r="M60" s="1102"/>
      <c r="N60" s="1102"/>
      <c r="O60" s="1102"/>
    </row>
    <row r="61">
      <c r="A61" s="1097"/>
      <c r="B61" s="1085" t="s">
        <v>1258</v>
      </c>
      <c r="C61" s="1085" t="s">
        <v>1259</v>
      </c>
      <c r="D61" s="1086" t="s">
        <v>1144</v>
      </c>
      <c r="E61" s="1086">
        <f>IFERROR(VLOOKUP(B61,'TỒN'!A:E,5,false))</f>
        <v>0</v>
      </c>
      <c r="F61" s="1099">
        <v>55000.0</v>
      </c>
      <c r="G61" s="1098">
        <v>1000.0</v>
      </c>
      <c r="H61" s="63"/>
      <c r="I61" s="1102"/>
      <c r="J61" s="1102"/>
      <c r="K61" s="1102"/>
      <c r="L61" s="1102"/>
      <c r="M61" s="1102"/>
      <c r="N61" s="1102"/>
      <c r="O61" s="1102"/>
    </row>
    <row r="62">
      <c r="A62" s="1097"/>
      <c r="B62" s="1085" t="s">
        <v>1260</v>
      </c>
      <c r="C62" s="1085" t="s">
        <v>1261</v>
      </c>
      <c r="D62" s="1086" t="s">
        <v>1144</v>
      </c>
      <c r="E62" s="1086">
        <f>IFERROR(VLOOKUP(B62,'TỒN'!A:E,5,false))</f>
        <v>0</v>
      </c>
      <c r="F62" s="1098">
        <v>40700.0</v>
      </c>
      <c r="G62" s="1098">
        <v>1000.0</v>
      </c>
      <c r="H62" s="63"/>
      <c r="I62" s="1102"/>
      <c r="J62" s="1102"/>
      <c r="K62" s="1102"/>
      <c r="L62" s="1102"/>
      <c r="M62" s="1102"/>
      <c r="N62" s="1102"/>
      <c r="O62" s="1102"/>
    </row>
    <row r="63">
      <c r="A63" s="1097"/>
      <c r="B63" s="1085"/>
      <c r="C63" s="1085"/>
      <c r="D63" s="1086"/>
      <c r="E63" s="1086"/>
      <c r="F63" s="1098"/>
      <c r="G63" s="1098"/>
      <c r="H63" s="63"/>
      <c r="I63" s="1102"/>
      <c r="J63" s="1102"/>
      <c r="K63" s="1102"/>
      <c r="L63" s="1102"/>
      <c r="M63" s="1102"/>
      <c r="N63" s="1102"/>
      <c r="O63" s="1102"/>
    </row>
    <row r="64">
      <c r="A64" s="1097"/>
      <c r="B64" s="1085" t="s">
        <v>1262</v>
      </c>
      <c r="C64" s="1085" t="s">
        <v>1263</v>
      </c>
      <c r="D64" s="1086" t="s">
        <v>1144</v>
      </c>
      <c r="E64" s="1086">
        <f>IFERROR(VLOOKUP(B64,'TỒN'!A:E,5,false))</f>
        <v>0</v>
      </c>
      <c r="F64" s="1098">
        <v>50900.0</v>
      </c>
      <c r="G64" s="1098">
        <v>1000.0</v>
      </c>
      <c r="H64" s="63"/>
      <c r="I64" s="1102"/>
      <c r="J64" s="1102"/>
      <c r="K64" s="1102"/>
      <c r="L64" s="1102"/>
      <c r="M64" s="1102"/>
      <c r="N64" s="1102"/>
      <c r="O64" s="1102"/>
    </row>
    <row r="65">
      <c r="A65" s="1097"/>
      <c r="B65" s="1085" t="s">
        <v>1264</v>
      </c>
      <c r="C65" s="1085" t="s">
        <v>1265</v>
      </c>
      <c r="D65" s="1086" t="s">
        <v>1144</v>
      </c>
      <c r="E65" s="1086">
        <f>IFERROR(VLOOKUP(B65,'TỒN'!A:E,5,false))</f>
        <v>0</v>
      </c>
      <c r="F65" s="1098">
        <v>66200.0</v>
      </c>
      <c r="G65" s="1098">
        <v>1000.0</v>
      </c>
      <c r="H65" s="63"/>
      <c r="I65" s="1102"/>
      <c r="J65" s="1102"/>
      <c r="K65" s="1102"/>
      <c r="L65" s="1102"/>
      <c r="M65" s="1102"/>
      <c r="N65" s="1102"/>
      <c r="O65" s="1102"/>
    </row>
    <row r="66">
      <c r="A66" s="1097"/>
      <c r="B66" s="1085"/>
      <c r="C66" s="1085"/>
      <c r="D66" s="1086"/>
      <c r="E66" s="1086"/>
      <c r="F66" s="1098"/>
      <c r="G66" s="1098"/>
      <c r="H66" s="63"/>
      <c r="I66" s="1102"/>
      <c r="J66" s="1102"/>
      <c r="K66" s="1102"/>
      <c r="L66" s="1102"/>
      <c r="M66" s="1102"/>
      <c r="N66" s="1102"/>
      <c r="O66" s="1102"/>
    </row>
    <row r="67">
      <c r="A67" s="1097"/>
      <c r="B67" s="1085" t="s">
        <v>1266</v>
      </c>
      <c r="C67" s="1085" t="s">
        <v>1267</v>
      </c>
      <c r="D67" s="1086" t="s">
        <v>1144</v>
      </c>
      <c r="E67" s="1086">
        <f>IFERROR(VLOOKUP(B67,'TỒN'!A:E,5,false))</f>
        <v>0</v>
      </c>
      <c r="F67" s="1098">
        <v>476300.0</v>
      </c>
      <c r="G67" s="1098">
        <v>1000.0</v>
      </c>
      <c r="H67" s="63"/>
      <c r="I67" s="1102"/>
      <c r="J67" s="1102"/>
      <c r="K67" s="1102"/>
      <c r="L67" s="1102"/>
      <c r="M67" s="1102"/>
      <c r="N67" s="1102"/>
      <c r="O67" s="1102"/>
    </row>
    <row r="68">
      <c r="A68" s="1097"/>
      <c r="B68" s="1085" t="s">
        <v>1268</v>
      </c>
      <c r="C68" s="1085" t="s">
        <v>1269</v>
      </c>
      <c r="D68" s="1086" t="s">
        <v>636</v>
      </c>
      <c r="E68" s="1086">
        <f>IFERROR(VLOOKUP(B68,'TỒN'!A:E,5,false))</f>
        <v>0</v>
      </c>
      <c r="F68" s="1098">
        <v>997000.0</v>
      </c>
      <c r="G68" s="1098">
        <v>50000.0</v>
      </c>
      <c r="H68" s="63"/>
      <c r="I68" s="1102"/>
      <c r="J68" s="1102"/>
      <c r="K68" s="1102"/>
      <c r="L68" s="1102"/>
      <c r="M68" s="1102"/>
      <c r="N68" s="1102"/>
      <c r="O68" s="1102"/>
    </row>
    <row r="69">
      <c r="A69" s="1097"/>
      <c r="B69" s="1085" t="s">
        <v>1270</v>
      </c>
      <c r="C69" s="1085" t="s">
        <v>1271</v>
      </c>
      <c r="D69" s="1086" t="s">
        <v>636</v>
      </c>
      <c r="E69" s="1086">
        <f>IFERROR(VLOOKUP(B69,'TỒN'!A:E,5,false))</f>
        <v>0</v>
      </c>
      <c r="F69" s="1098">
        <v>600200.0</v>
      </c>
      <c r="G69" s="1098">
        <v>50000.0</v>
      </c>
      <c r="H69" s="63"/>
      <c r="I69" s="1102"/>
      <c r="J69" s="1102"/>
      <c r="K69" s="1102"/>
      <c r="L69" s="1102"/>
      <c r="M69" s="1102"/>
      <c r="N69" s="1102"/>
      <c r="O69" s="1102"/>
    </row>
    <row r="70">
      <c r="A70" s="1097"/>
      <c r="B70" s="1085" t="s">
        <v>1272</v>
      </c>
      <c r="C70" s="1085" t="s">
        <v>1273</v>
      </c>
      <c r="D70" s="1086" t="s">
        <v>636</v>
      </c>
      <c r="E70" s="1086">
        <f>IFERROR(VLOOKUP(B70,'TỒN'!A:E,5,false))</f>
        <v>0</v>
      </c>
      <c r="F70" s="1098">
        <v>1294700.0</v>
      </c>
      <c r="G70" s="1098">
        <v>50000.0</v>
      </c>
      <c r="H70" s="63"/>
      <c r="I70" s="1102"/>
      <c r="J70" s="1102"/>
      <c r="K70" s="1102"/>
      <c r="L70" s="1102"/>
      <c r="M70" s="1102"/>
      <c r="N70" s="1102"/>
      <c r="O70" s="1102"/>
    </row>
    <row r="71">
      <c r="A71" s="1103"/>
      <c r="B71" s="1085" t="s">
        <v>1274</v>
      </c>
      <c r="C71" s="1085" t="s">
        <v>1275</v>
      </c>
      <c r="D71" s="1086" t="s">
        <v>636</v>
      </c>
      <c r="E71" s="1086">
        <f>IFERROR(VLOOKUP(B71,'TỒN'!A:E,5,false))</f>
        <v>0</v>
      </c>
      <c r="F71" s="1098">
        <v>1067300.0</v>
      </c>
      <c r="G71" s="1098">
        <v>50000.0</v>
      </c>
      <c r="H71" s="63"/>
      <c r="I71" s="1102"/>
      <c r="J71" s="1102"/>
      <c r="K71" s="1102"/>
      <c r="L71" s="1102"/>
      <c r="M71" s="1102"/>
      <c r="N71" s="1102"/>
      <c r="O71" s="1102"/>
    </row>
    <row r="72">
      <c r="A72" s="1103"/>
      <c r="B72" s="1085" t="s">
        <v>1276</v>
      </c>
      <c r="C72" s="1085" t="s">
        <v>1277</v>
      </c>
      <c r="D72" s="1086" t="s">
        <v>1148</v>
      </c>
      <c r="E72" s="1086">
        <f>IFERROR(VLOOKUP(B72,'TỒN'!A:E,5,false))</f>
        <v>0</v>
      </c>
      <c r="F72" s="1098">
        <v>921900.0</v>
      </c>
      <c r="G72" s="1098">
        <v>50000.0</v>
      </c>
      <c r="I72" s="1081"/>
      <c r="J72" s="1081"/>
      <c r="K72" s="1081"/>
      <c r="L72" s="1081"/>
      <c r="M72" s="1081"/>
      <c r="N72" s="1081"/>
      <c r="O72" s="1081"/>
    </row>
    <row r="73">
      <c r="A73" s="1081"/>
      <c r="B73" s="1081"/>
      <c r="C73" s="1081"/>
      <c r="D73" s="1081"/>
      <c r="E73" s="1081"/>
      <c r="F73" s="1081"/>
      <c r="G73" s="1081"/>
      <c r="I73" s="1081"/>
      <c r="J73" s="1081"/>
      <c r="K73" s="1081"/>
      <c r="L73" s="1081"/>
      <c r="M73" s="1081"/>
      <c r="N73" s="1081"/>
      <c r="O73" s="1081"/>
    </row>
    <row r="74">
      <c r="A74" s="1081"/>
      <c r="B74" s="1081"/>
      <c r="C74" s="1081"/>
      <c r="D74" s="1081"/>
      <c r="E74" s="1081"/>
      <c r="F74" s="1081"/>
      <c r="G74" s="1081"/>
      <c r="I74" s="1081"/>
      <c r="J74" s="1081"/>
      <c r="K74" s="1081"/>
      <c r="L74" s="1081"/>
      <c r="M74" s="1081"/>
      <c r="N74" s="1081"/>
      <c r="O74" s="1081"/>
    </row>
    <row r="75">
      <c r="A75" s="1081"/>
      <c r="B75" s="1081"/>
      <c r="C75" s="1081"/>
      <c r="D75" s="1081"/>
      <c r="E75" s="1081"/>
      <c r="F75" s="1081"/>
      <c r="G75" s="1081"/>
      <c r="I75" s="1081"/>
      <c r="J75" s="1081"/>
      <c r="K75" s="1081"/>
      <c r="L75" s="1081"/>
      <c r="M75" s="1081"/>
      <c r="N75" s="1081"/>
      <c r="O75" s="1081"/>
    </row>
    <row r="76">
      <c r="A76" s="1081"/>
      <c r="B76" s="1081"/>
      <c r="C76" s="1081"/>
      <c r="D76" s="1081"/>
      <c r="E76" s="1081"/>
      <c r="F76" s="1081"/>
      <c r="G76" s="1081"/>
      <c r="I76" s="1081"/>
      <c r="J76" s="1081"/>
      <c r="K76" s="1081"/>
      <c r="L76" s="1081"/>
      <c r="M76" s="1081"/>
      <c r="N76" s="1081"/>
      <c r="O76" s="1081"/>
    </row>
    <row r="77">
      <c r="A77" s="1081"/>
      <c r="B77" s="1081"/>
      <c r="C77" s="1081"/>
      <c r="D77" s="1081"/>
      <c r="E77" s="1081"/>
      <c r="F77" s="1081"/>
      <c r="G77" s="1081"/>
      <c r="I77" s="1081"/>
      <c r="J77" s="1081"/>
      <c r="K77" s="1081"/>
      <c r="L77" s="1081"/>
      <c r="M77" s="1081"/>
      <c r="N77" s="1081"/>
      <c r="O77" s="1081"/>
    </row>
  </sheetData>
  <mergeCells count="36">
    <mergeCell ref="C2:G3"/>
    <mergeCell ref="A5:A6"/>
    <mergeCell ref="B5:B6"/>
    <mergeCell ref="C5:C6"/>
    <mergeCell ref="D5:D6"/>
    <mergeCell ref="E5:E6"/>
    <mergeCell ref="F5:F6"/>
    <mergeCell ref="G5:G6"/>
    <mergeCell ref="J5:J6"/>
    <mergeCell ref="K5:K6"/>
    <mergeCell ref="L5:L6"/>
    <mergeCell ref="M5:M6"/>
    <mergeCell ref="N5:N6"/>
    <mergeCell ref="O5:O6"/>
    <mergeCell ref="I5:I6"/>
    <mergeCell ref="J11:J12"/>
    <mergeCell ref="K11:K12"/>
    <mergeCell ref="L11:L12"/>
    <mergeCell ref="M11:M12"/>
    <mergeCell ref="N11:N12"/>
    <mergeCell ref="O11:O12"/>
    <mergeCell ref="I18:I19"/>
    <mergeCell ref="I25:I26"/>
    <mergeCell ref="J25:J26"/>
    <mergeCell ref="K25:K26"/>
    <mergeCell ref="L25:L26"/>
    <mergeCell ref="M25:M26"/>
    <mergeCell ref="N25:N26"/>
    <mergeCell ref="O25:O26"/>
    <mergeCell ref="I11:I12"/>
    <mergeCell ref="J18:J19"/>
    <mergeCell ref="K18:K19"/>
    <mergeCell ref="L18:L19"/>
    <mergeCell ref="M18:M19"/>
    <mergeCell ref="N18:N19"/>
    <mergeCell ref="O18:O1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9.13"/>
    <col customWidth="1" min="2" max="2" width="24.25"/>
    <col customWidth="1" min="3" max="3" width="19.38"/>
    <col customWidth="1" min="4" max="4" width="21.5"/>
    <col customWidth="1" min="5" max="5" width="51.13"/>
    <col customWidth="1" min="6" max="6" width="12.25"/>
    <col customWidth="1" min="7" max="7" width="13.75"/>
    <col customWidth="1" min="8" max="8" width="9.13"/>
  </cols>
  <sheetData>
    <row r="1" ht="14.25" customHeight="1">
      <c r="A1" s="1104" t="s">
        <v>1278</v>
      </c>
      <c r="B1" s="456"/>
      <c r="C1" s="456"/>
      <c r="D1" s="456"/>
      <c r="E1" s="456"/>
      <c r="F1" s="456"/>
      <c r="G1" s="456"/>
      <c r="H1" s="457"/>
    </row>
    <row r="2" ht="14.25" customHeight="1">
      <c r="A2" s="435"/>
      <c r="B2" s="418"/>
      <c r="C2" s="418"/>
      <c r="D2" s="418"/>
      <c r="E2" s="418"/>
      <c r="F2" s="418"/>
      <c r="G2" s="418"/>
      <c r="H2" s="419"/>
    </row>
    <row r="3" ht="14.25" customHeight="1">
      <c r="A3" s="1105"/>
      <c r="B3" s="1105"/>
      <c r="C3" s="1105"/>
      <c r="D3" s="1105"/>
      <c r="E3" s="1105"/>
      <c r="F3" s="1105"/>
      <c r="G3" s="1105"/>
      <c r="H3" s="1105"/>
    </row>
    <row r="4" ht="20.25" customHeight="1">
      <c r="A4" s="1105"/>
      <c r="B4" s="1106" t="s">
        <v>1279</v>
      </c>
      <c r="C4" s="1106" t="s">
        <v>1280</v>
      </c>
      <c r="D4" s="1106" t="s">
        <v>1281</v>
      </c>
      <c r="E4" s="1106" t="s">
        <v>1282</v>
      </c>
      <c r="F4" s="1106" t="s">
        <v>1283</v>
      </c>
      <c r="G4" s="1106" t="s">
        <v>1284</v>
      </c>
      <c r="H4" s="1105"/>
    </row>
    <row r="5" ht="18.75" customHeight="1">
      <c r="A5" s="1107"/>
      <c r="B5" s="1108" t="s">
        <v>1285</v>
      </c>
      <c r="C5" s="1108" t="s">
        <v>1286</v>
      </c>
      <c r="D5" s="1108" t="s">
        <v>1287</v>
      </c>
      <c r="E5" s="1108" t="s">
        <v>1288</v>
      </c>
      <c r="F5" s="1109">
        <v>0.1</v>
      </c>
      <c r="G5" s="1109">
        <v>0.0</v>
      </c>
      <c r="H5" s="1107"/>
    </row>
    <row r="6" ht="18.75" customHeight="1">
      <c r="A6" s="1107"/>
      <c r="B6" s="1108" t="s">
        <v>1285</v>
      </c>
      <c r="C6" s="1108" t="s">
        <v>1286</v>
      </c>
      <c r="D6" s="1108" t="s">
        <v>1289</v>
      </c>
      <c r="E6" s="1108" t="s">
        <v>1290</v>
      </c>
      <c r="F6" s="1109">
        <v>0.1</v>
      </c>
      <c r="G6" s="1109">
        <v>0.0</v>
      </c>
      <c r="H6" s="1107"/>
    </row>
    <row r="7" ht="18.75" customHeight="1">
      <c r="A7" s="1107"/>
      <c r="B7" s="1108" t="s">
        <v>1285</v>
      </c>
      <c r="C7" s="1108" t="s">
        <v>1291</v>
      </c>
      <c r="D7" s="1108" t="s">
        <v>1292</v>
      </c>
      <c r="E7" s="1108" t="s">
        <v>1293</v>
      </c>
      <c r="F7" s="1109">
        <v>0.1</v>
      </c>
      <c r="G7" s="1109">
        <v>0.0</v>
      </c>
      <c r="H7" s="1107"/>
    </row>
    <row r="8" ht="18.75" customHeight="1">
      <c r="A8" s="1107"/>
      <c r="B8" s="1108" t="s">
        <v>1285</v>
      </c>
      <c r="C8" s="1108" t="s">
        <v>1291</v>
      </c>
      <c r="D8" s="1108" t="s">
        <v>1294</v>
      </c>
      <c r="E8" s="1108" t="s">
        <v>1295</v>
      </c>
      <c r="F8" s="1109">
        <v>0.1</v>
      </c>
      <c r="G8" s="1109">
        <v>0.0</v>
      </c>
      <c r="H8" s="1107"/>
    </row>
    <row r="9" ht="18.75" customHeight="1">
      <c r="A9" s="1107"/>
      <c r="B9" s="1108" t="s">
        <v>1285</v>
      </c>
      <c r="C9" s="1108" t="s">
        <v>1291</v>
      </c>
      <c r="D9" s="1108" t="s">
        <v>1296</v>
      </c>
      <c r="E9" s="1108" t="s">
        <v>1297</v>
      </c>
      <c r="F9" s="1109">
        <v>0.1</v>
      </c>
      <c r="G9" s="1109">
        <v>0.0</v>
      </c>
      <c r="H9" s="1107"/>
    </row>
    <row r="10" ht="18.75" customHeight="1">
      <c r="A10" s="1107"/>
      <c r="B10" s="1108" t="s">
        <v>1285</v>
      </c>
      <c r="C10" s="1108" t="s">
        <v>1291</v>
      </c>
      <c r="D10" s="1108" t="s">
        <v>1298</v>
      </c>
      <c r="E10" s="1108" t="s">
        <v>1299</v>
      </c>
      <c r="F10" s="1109">
        <v>0.1</v>
      </c>
      <c r="G10" s="1109">
        <v>0.0</v>
      </c>
      <c r="H10" s="1107"/>
    </row>
    <row r="11" ht="18.75" customHeight="1">
      <c r="A11" s="1107"/>
      <c r="B11" s="1108" t="s">
        <v>1285</v>
      </c>
      <c r="C11" s="1108" t="s">
        <v>1291</v>
      </c>
      <c r="D11" s="1108" t="s">
        <v>1300</v>
      </c>
      <c r="E11" s="1108" t="s">
        <v>1301</v>
      </c>
      <c r="F11" s="1109">
        <v>0.1</v>
      </c>
      <c r="G11" s="1109">
        <v>0.0</v>
      </c>
      <c r="H11" s="1107"/>
    </row>
    <row r="12" ht="18.75" customHeight="1">
      <c r="A12" s="1107"/>
      <c r="B12" s="1108" t="s">
        <v>1285</v>
      </c>
      <c r="C12" s="1108" t="s">
        <v>1291</v>
      </c>
      <c r="D12" s="1108" t="s">
        <v>1302</v>
      </c>
      <c r="E12" s="1108" t="s">
        <v>1303</v>
      </c>
      <c r="F12" s="1109">
        <v>0.1</v>
      </c>
      <c r="G12" s="1109">
        <v>0.0</v>
      </c>
      <c r="H12" s="1107"/>
    </row>
    <row r="13" ht="18.75" customHeight="1">
      <c r="A13" s="1107"/>
      <c r="B13" s="1108" t="s">
        <v>1285</v>
      </c>
      <c r="C13" s="1108" t="s">
        <v>1291</v>
      </c>
      <c r="D13" s="1108" t="s">
        <v>1304</v>
      </c>
      <c r="E13" s="1108" t="s">
        <v>1305</v>
      </c>
      <c r="F13" s="1109">
        <v>0.1</v>
      </c>
      <c r="G13" s="1109">
        <v>0.0</v>
      </c>
      <c r="H13" s="1107"/>
    </row>
    <row r="14" ht="18.75" customHeight="1">
      <c r="A14" s="1107"/>
      <c r="B14" s="1108" t="s">
        <v>1285</v>
      </c>
      <c r="C14" s="1108" t="s">
        <v>1291</v>
      </c>
      <c r="D14" s="1108" t="s">
        <v>1306</v>
      </c>
      <c r="E14" s="1108" t="s">
        <v>1307</v>
      </c>
      <c r="F14" s="1109">
        <v>0.1</v>
      </c>
      <c r="G14" s="1109">
        <v>0.0</v>
      </c>
      <c r="H14" s="1107"/>
    </row>
    <row r="15" ht="18.75" customHeight="1">
      <c r="A15" s="1107"/>
      <c r="B15" s="1108" t="s">
        <v>1285</v>
      </c>
      <c r="C15" s="1108" t="s">
        <v>1291</v>
      </c>
      <c r="D15" s="1108" t="s">
        <v>1308</v>
      </c>
      <c r="E15" s="1108" t="s">
        <v>1309</v>
      </c>
      <c r="F15" s="1109">
        <v>0.1</v>
      </c>
      <c r="G15" s="1109">
        <v>0.0</v>
      </c>
      <c r="H15" s="1107"/>
    </row>
    <row r="16" ht="18.75" customHeight="1">
      <c r="A16" s="1107"/>
      <c r="B16" s="1108" t="s">
        <v>1285</v>
      </c>
      <c r="C16" s="1108" t="s">
        <v>1291</v>
      </c>
      <c r="D16" s="1108" t="s">
        <v>1310</v>
      </c>
      <c r="E16" s="1108" t="s">
        <v>1311</v>
      </c>
      <c r="F16" s="1109">
        <v>0.1</v>
      </c>
      <c r="G16" s="1109">
        <v>0.0</v>
      </c>
      <c r="H16" s="1107"/>
    </row>
    <row r="17" ht="18.75" customHeight="1">
      <c r="A17" s="1107"/>
      <c r="B17" s="1108" t="s">
        <v>1285</v>
      </c>
      <c r="C17" s="1108" t="s">
        <v>1291</v>
      </c>
      <c r="D17" s="1108" t="s">
        <v>1312</v>
      </c>
      <c r="E17" s="1108" t="s">
        <v>1313</v>
      </c>
      <c r="F17" s="1109">
        <v>0.1</v>
      </c>
      <c r="G17" s="1109">
        <v>0.0</v>
      </c>
      <c r="H17" s="1107"/>
    </row>
    <row r="18" ht="18.75" customHeight="1">
      <c r="A18" s="1107"/>
      <c r="B18" s="1108" t="s">
        <v>1285</v>
      </c>
      <c r="C18" s="1108" t="s">
        <v>1291</v>
      </c>
      <c r="D18" s="1108" t="s">
        <v>1314</v>
      </c>
      <c r="E18" s="1108" t="s">
        <v>1315</v>
      </c>
      <c r="F18" s="1109">
        <v>0.1</v>
      </c>
      <c r="G18" s="1109">
        <v>0.0</v>
      </c>
      <c r="H18" s="1107"/>
    </row>
    <row r="19" ht="18.75" customHeight="1">
      <c r="A19" s="1107"/>
      <c r="B19" s="1108" t="s">
        <v>1285</v>
      </c>
      <c r="C19" s="1108" t="s">
        <v>1291</v>
      </c>
      <c r="D19" s="1108" t="s">
        <v>1316</v>
      </c>
      <c r="E19" s="1108" t="s">
        <v>1317</v>
      </c>
      <c r="F19" s="1109">
        <v>0.1</v>
      </c>
      <c r="G19" s="1109">
        <v>0.0</v>
      </c>
      <c r="H19" s="1107"/>
    </row>
    <row r="20" ht="18.75" customHeight="1">
      <c r="A20" s="1107"/>
      <c r="B20" s="1108" t="s">
        <v>1285</v>
      </c>
      <c r="C20" s="1108" t="s">
        <v>1291</v>
      </c>
      <c r="D20" s="1108" t="s">
        <v>1318</v>
      </c>
      <c r="E20" s="1108" t="s">
        <v>1319</v>
      </c>
      <c r="F20" s="1109">
        <v>0.1</v>
      </c>
      <c r="G20" s="1109">
        <v>0.0</v>
      </c>
      <c r="H20" s="1107"/>
    </row>
    <row r="21" ht="18.75" customHeight="1">
      <c r="A21" s="1107"/>
      <c r="B21" s="1108" t="s">
        <v>1285</v>
      </c>
      <c r="C21" s="1108" t="s">
        <v>1291</v>
      </c>
      <c r="D21" s="1108" t="s">
        <v>1320</v>
      </c>
      <c r="E21" s="1108" t="s">
        <v>1321</v>
      </c>
      <c r="F21" s="1109">
        <v>0.1</v>
      </c>
      <c r="G21" s="1109">
        <v>0.0</v>
      </c>
      <c r="H21" s="1107"/>
    </row>
    <row r="22" ht="18.75" customHeight="1">
      <c r="A22" s="1107"/>
      <c r="B22" s="1108" t="s">
        <v>1285</v>
      </c>
      <c r="C22" s="1108" t="s">
        <v>1291</v>
      </c>
      <c r="D22" s="1108" t="s">
        <v>1322</v>
      </c>
      <c r="E22" s="1108" t="s">
        <v>1323</v>
      </c>
      <c r="F22" s="1109">
        <v>0.1</v>
      </c>
      <c r="G22" s="1109">
        <v>0.0</v>
      </c>
      <c r="H22" s="1107"/>
    </row>
    <row r="23" ht="18.75" customHeight="1">
      <c r="A23" s="1107"/>
      <c r="B23" s="1108" t="s">
        <v>1285</v>
      </c>
      <c r="C23" s="1108" t="s">
        <v>1286</v>
      </c>
      <c r="D23" s="1108" t="s">
        <v>634</v>
      </c>
      <c r="E23" s="1108" t="s">
        <v>1324</v>
      </c>
      <c r="F23" s="1109">
        <v>0.1</v>
      </c>
      <c r="G23" s="1109">
        <v>0.0</v>
      </c>
      <c r="H23" s="1107"/>
    </row>
    <row r="24" ht="18.75" customHeight="1">
      <c r="A24" s="1107"/>
      <c r="B24" s="1108" t="s">
        <v>1285</v>
      </c>
      <c r="C24" s="1108" t="s">
        <v>1291</v>
      </c>
      <c r="D24" s="1108" t="s">
        <v>1325</v>
      </c>
      <c r="E24" s="1108" t="s">
        <v>1326</v>
      </c>
      <c r="F24" s="1109">
        <v>0.1</v>
      </c>
      <c r="G24" s="1109">
        <v>0.0</v>
      </c>
      <c r="H24" s="1107"/>
    </row>
    <row r="25" ht="18.75" customHeight="1">
      <c r="A25" s="1107"/>
      <c r="B25" s="1108" t="s">
        <v>1285</v>
      </c>
      <c r="C25" s="1108" t="s">
        <v>1291</v>
      </c>
      <c r="D25" s="1108" t="s">
        <v>1327</v>
      </c>
      <c r="E25" s="1108" t="s">
        <v>1328</v>
      </c>
      <c r="F25" s="1109">
        <v>0.1</v>
      </c>
      <c r="G25" s="1109">
        <v>0.0</v>
      </c>
      <c r="H25" s="1107"/>
    </row>
    <row r="26" ht="18.75" customHeight="1">
      <c r="A26" s="1107"/>
      <c r="B26" s="1108" t="s">
        <v>1285</v>
      </c>
      <c r="C26" s="1108" t="s">
        <v>1291</v>
      </c>
      <c r="D26" s="1108" t="s">
        <v>1329</v>
      </c>
      <c r="E26" s="1108" t="s">
        <v>1330</v>
      </c>
      <c r="F26" s="1109">
        <v>0.1</v>
      </c>
      <c r="G26" s="1109">
        <v>0.0</v>
      </c>
      <c r="H26" s="1107"/>
    </row>
    <row r="27" ht="18.75" customHeight="1">
      <c r="A27" s="1107"/>
      <c r="B27" s="1108" t="s">
        <v>1285</v>
      </c>
      <c r="C27" s="1108" t="s">
        <v>1331</v>
      </c>
      <c r="D27" s="1108" t="s">
        <v>1332</v>
      </c>
      <c r="E27" s="1108" t="s">
        <v>1333</v>
      </c>
      <c r="F27" s="1109">
        <v>0.1</v>
      </c>
      <c r="G27" s="1109">
        <v>0.0</v>
      </c>
      <c r="H27" s="1107"/>
    </row>
    <row r="28" ht="18.75" customHeight="1">
      <c r="A28" s="1107"/>
      <c r="B28" s="1108" t="s">
        <v>1285</v>
      </c>
      <c r="C28" s="1108" t="s">
        <v>1291</v>
      </c>
      <c r="D28" s="1108" t="s">
        <v>1334</v>
      </c>
      <c r="E28" s="1108" t="s">
        <v>1335</v>
      </c>
      <c r="F28" s="1109">
        <v>0.1</v>
      </c>
      <c r="G28" s="1109">
        <v>0.0</v>
      </c>
      <c r="H28" s="1107"/>
    </row>
    <row r="29" ht="18.75" customHeight="1">
      <c r="A29" s="1107"/>
      <c r="B29" s="1108" t="s">
        <v>1285</v>
      </c>
      <c r="C29" s="1108" t="s">
        <v>1291</v>
      </c>
      <c r="D29" s="1108" t="s">
        <v>1336</v>
      </c>
      <c r="E29" s="1108" t="s">
        <v>1337</v>
      </c>
      <c r="F29" s="1109">
        <v>0.1</v>
      </c>
      <c r="G29" s="1109">
        <v>0.0</v>
      </c>
      <c r="H29" s="1107"/>
    </row>
    <row r="30" ht="18.75" customHeight="1">
      <c r="A30" s="1107"/>
      <c r="B30" s="1108" t="s">
        <v>1285</v>
      </c>
      <c r="C30" s="1108" t="s">
        <v>1291</v>
      </c>
      <c r="D30" s="1108" t="s">
        <v>1338</v>
      </c>
      <c r="E30" s="1108" t="s">
        <v>1339</v>
      </c>
      <c r="F30" s="1109">
        <v>0.1</v>
      </c>
      <c r="G30" s="1109">
        <v>0.0</v>
      </c>
      <c r="H30" s="1107"/>
    </row>
    <row r="31" ht="18.75" customHeight="1">
      <c r="A31" s="1107"/>
      <c r="B31" s="1108" t="s">
        <v>1285</v>
      </c>
      <c r="C31" s="1108" t="s">
        <v>1291</v>
      </c>
      <c r="D31" s="1108" t="s">
        <v>639</v>
      </c>
      <c r="E31" s="1108" t="s">
        <v>1340</v>
      </c>
      <c r="F31" s="1109">
        <v>0.1</v>
      </c>
      <c r="G31" s="1109">
        <v>0.0</v>
      </c>
      <c r="H31" s="1107"/>
    </row>
    <row r="32" ht="18.75" customHeight="1">
      <c r="A32" s="1107"/>
      <c r="B32" s="1108" t="s">
        <v>1285</v>
      </c>
      <c r="C32" s="1108" t="s">
        <v>1291</v>
      </c>
      <c r="D32" s="1108" t="s">
        <v>1341</v>
      </c>
      <c r="E32" s="1108" t="s">
        <v>1342</v>
      </c>
      <c r="F32" s="1109">
        <v>0.1</v>
      </c>
      <c r="G32" s="1109">
        <v>0.0</v>
      </c>
      <c r="H32" s="1107"/>
    </row>
    <row r="33" ht="18.75" customHeight="1">
      <c r="A33" s="1107"/>
      <c r="B33" s="1108" t="s">
        <v>1285</v>
      </c>
      <c r="C33" s="1108" t="s">
        <v>1291</v>
      </c>
      <c r="D33" s="1108" t="s">
        <v>1343</v>
      </c>
      <c r="E33" s="1108" t="s">
        <v>1344</v>
      </c>
      <c r="F33" s="1109">
        <v>0.1</v>
      </c>
      <c r="G33" s="1109">
        <v>0.0</v>
      </c>
      <c r="H33" s="1107"/>
    </row>
    <row r="34" ht="18.75" customHeight="1">
      <c r="A34" s="1107"/>
      <c r="B34" s="1108" t="s">
        <v>1285</v>
      </c>
      <c r="C34" s="1108" t="s">
        <v>1331</v>
      </c>
      <c r="D34" s="1108" t="s">
        <v>1345</v>
      </c>
      <c r="E34" s="1108" t="s">
        <v>1346</v>
      </c>
      <c r="F34" s="1109">
        <v>0.1</v>
      </c>
      <c r="G34" s="1109">
        <v>0.0</v>
      </c>
      <c r="H34" s="1107"/>
    </row>
    <row r="35" ht="18.75" customHeight="1">
      <c r="A35" s="1107"/>
      <c r="B35" s="1108" t="s">
        <v>1285</v>
      </c>
      <c r="C35" s="1108" t="s">
        <v>1291</v>
      </c>
      <c r="D35" s="1108" t="s">
        <v>1347</v>
      </c>
      <c r="E35" s="1108" t="s">
        <v>1348</v>
      </c>
      <c r="F35" s="1109">
        <v>0.1</v>
      </c>
      <c r="G35" s="1109">
        <v>0.0</v>
      </c>
      <c r="H35" s="1107"/>
    </row>
    <row r="36" ht="18.75" customHeight="1">
      <c r="A36" s="1107"/>
      <c r="B36" s="1108" t="s">
        <v>1285</v>
      </c>
      <c r="C36" s="1108" t="s">
        <v>1291</v>
      </c>
      <c r="D36" s="1108" t="s">
        <v>1349</v>
      </c>
      <c r="E36" s="1108" t="s">
        <v>1350</v>
      </c>
      <c r="F36" s="1109">
        <v>0.1</v>
      </c>
      <c r="G36" s="1109">
        <v>0.0</v>
      </c>
      <c r="H36" s="1107"/>
    </row>
    <row r="37" ht="18.75" customHeight="1">
      <c r="A37" s="1107"/>
      <c r="B37" s="1108" t="s">
        <v>1285</v>
      </c>
      <c r="C37" s="1108" t="s">
        <v>1291</v>
      </c>
      <c r="D37" s="1108" t="s">
        <v>1351</v>
      </c>
      <c r="E37" s="1108" t="s">
        <v>1352</v>
      </c>
      <c r="F37" s="1109">
        <v>0.1</v>
      </c>
      <c r="G37" s="1109">
        <v>0.0</v>
      </c>
      <c r="H37" s="1107"/>
    </row>
    <row r="38" ht="18.75" customHeight="1">
      <c r="A38" s="1107"/>
      <c r="B38" s="1108" t="s">
        <v>1285</v>
      </c>
      <c r="C38" s="1108" t="s">
        <v>1291</v>
      </c>
      <c r="D38" s="1108" t="s">
        <v>1353</v>
      </c>
      <c r="E38" s="1108" t="s">
        <v>1354</v>
      </c>
      <c r="F38" s="1109">
        <v>0.1</v>
      </c>
      <c r="G38" s="1109">
        <v>0.0</v>
      </c>
      <c r="H38" s="1107"/>
    </row>
    <row r="39" ht="18.75" customHeight="1">
      <c r="A39" s="1107"/>
      <c r="B39" s="1108" t="s">
        <v>1285</v>
      </c>
      <c r="C39" s="1108" t="s">
        <v>1355</v>
      </c>
      <c r="D39" s="1108" t="s">
        <v>1356</v>
      </c>
      <c r="E39" s="1108" t="s">
        <v>1357</v>
      </c>
      <c r="F39" s="1109">
        <v>0.1</v>
      </c>
      <c r="G39" s="1109">
        <v>0.0</v>
      </c>
      <c r="H39" s="1107"/>
    </row>
    <row r="40" ht="18.75" customHeight="1">
      <c r="A40" s="1107"/>
      <c r="B40" s="1108" t="s">
        <v>1285</v>
      </c>
      <c r="C40" s="1108" t="s">
        <v>1291</v>
      </c>
      <c r="D40" s="1108" t="s">
        <v>1358</v>
      </c>
      <c r="E40" s="1108" t="s">
        <v>1359</v>
      </c>
      <c r="F40" s="1109">
        <v>0.1</v>
      </c>
      <c r="G40" s="1109">
        <v>0.0</v>
      </c>
      <c r="H40" s="1107"/>
    </row>
    <row r="41" ht="18.75" customHeight="1">
      <c r="A41" s="1107"/>
      <c r="B41" s="1108" t="s">
        <v>1285</v>
      </c>
      <c r="C41" s="1108" t="s">
        <v>1291</v>
      </c>
      <c r="D41" s="1108" t="s">
        <v>1360</v>
      </c>
      <c r="E41" s="1108" t="s">
        <v>1361</v>
      </c>
      <c r="F41" s="1109">
        <v>0.1</v>
      </c>
      <c r="G41" s="1109">
        <v>0.0</v>
      </c>
      <c r="H41" s="1107"/>
    </row>
    <row r="42" ht="18.75" customHeight="1">
      <c r="A42" s="1107"/>
      <c r="B42" s="1108" t="s">
        <v>1285</v>
      </c>
      <c r="C42" s="1108" t="s">
        <v>1291</v>
      </c>
      <c r="D42" s="1108" t="s">
        <v>1362</v>
      </c>
      <c r="E42" s="1108" t="s">
        <v>1363</v>
      </c>
      <c r="F42" s="1109">
        <v>0.1</v>
      </c>
      <c r="G42" s="1109">
        <v>0.0</v>
      </c>
      <c r="H42" s="1107"/>
    </row>
    <row r="43" ht="18.75" customHeight="1">
      <c r="A43" s="1107"/>
      <c r="B43" s="1108" t="s">
        <v>1285</v>
      </c>
      <c r="C43" s="1108" t="s">
        <v>1291</v>
      </c>
      <c r="D43" s="1108" t="s">
        <v>1364</v>
      </c>
      <c r="E43" s="1108" t="s">
        <v>1365</v>
      </c>
      <c r="F43" s="1109">
        <v>0.1</v>
      </c>
      <c r="G43" s="1109">
        <v>0.0</v>
      </c>
      <c r="H43" s="1107"/>
    </row>
    <row r="44" ht="18.75" customHeight="1">
      <c r="A44" s="1107"/>
      <c r="B44" s="1108" t="s">
        <v>1285</v>
      </c>
      <c r="C44" s="1108" t="s">
        <v>1291</v>
      </c>
      <c r="D44" s="1108" t="s">
        <v>1366</v>
      </c>
      <c r="E44" s="1108" t="s">
        <v>1367</v>
      </c>
      <c r="F44" s="1109">
        <v>0.1</v>
      </c>
      <c r="G44" s="1109">
        <v>0.0</v>
      </c>
      <c r="H44" s="1107"/>
    </row>
    <row r="45" ht="18.75" customHeight="1">
      <c r="A45" s="1107"/>
      <c r="B45" s="1108" t="s">
        <v>1285</v>
      </c>
      <c r="C45" s="1108" t="s">
        <v>1291</v>
      </c>
      <c r="D45" s="1108" t="s">
        <v>1368</v>
      </c>
      <c r="E45" s="1108" t="s">
        <v>1369</v>
      </c>
      <c r="F45" s="1109">
        <v>0.1</v>
      </c>
      <c r="G45" s="1109">
        <v>0.0</v>
      </c>
      <c r="H45" s="1107"/>
    </row>
    <row r="46" ht="18.75" customHeight="1">
      <c r="A46" s="1107"/>
      <c r="B46" s="1108" t="s">
        <v>1285</v>
      </c>
      <c r="C46" s="1108" t="s">
        <v>1286</v>
      </c>
      <c r="D46" s="1108" t="s">
        <v>1370</v>
      </c>
      <c r="E46" s="1108" t="s">
        <v>1371</v>
      </c>
      <c r="F46" s="1109">
        <v>0.1</v>
      </c>
      <c r="G46" s="1109">
        <v>0.0</v>
      </c>
      <c r="H46" s="1107"/>
    </row>
    <row r="47" ht="18.75" customHeight="1">
      <c r="A47" s="1107"/>
      <c r="B47" s="1108" t="s">
        <v>1285</v>
      </c>
      <c r="C47" s="1108" t="s">
        <v>1291</v>
      </c>
      <c r="D47" s="1108" t="s">
        <v>1372</v>
      </c>
      <c r="E47" s="1108" t="s">
        <v>1373</v>
      </c>
      <c r="F47" s="1109">
        <v>0.1</v>
      </c>
      <c r="G47" s="1109">
        <v>0.0</v>
      </c>
      <c r="H47" s="1107"/>
    </row>
    <row r="48" ht="18.75" customHeight="1">
      <c r="A48" s="1107"/>
      <c r="B48" s="1108" t="s">
        <v>1285</v>
      </c>
      <c r="C48" s="1108" t="s">
        <v>1291</v>
      </c>
      <c r="D48" s="1108" t="s">
        <v>1374</v>
      </c>
      <c r="E48" s="1108" t="s">
        <v>1375</v>
      </c>
      <c r="F48" s="1109">
        <v>0.1</v>
      </c>
      <c r="G48" s="1109">
        <v>0.0</v>
      </c>
      <c r="H48" s="1107"/>
    </row>
    <row r="49" ht="18.75" customHeight="1">
      <c r="A49" s="1107"/>
      <c r="B49" s="1108" t="s">
        <v>1285</v>
      </c>
      <c r="C49" s="1108" t="s">
        <v>1291</v>
      </c>
      <c r="D49" s="1108" t="s">
        <v>1376</v>
      </c>
      <c r="E49" s="1108" t="s">
        <v>1377</v>
      </c>
      <c r="F49" s="1109">
        <v>0.1</v>
      </c>
      <c r="G49" s="1109">
        <v>0.0</v>
      </c>
      <c r="H49" s="1107"/>
    </row>
    <row r="50" ht="18.75" customHeight="1">
      <c r="A50" s="1107"/>
      <c r="B50" s="1108" t="s">
        <v>1285</v>
      </c>
      <c r="C50" s="1108" t="s">
        <v>1291</v>
      </c>
      <c r="D50" s="1108" t="s">
        <v>1378</v>
      </c>
      <c r="E50" s="1108" t="s">
        <v>1379</v>
      </c>
      <c r="F50" s="1109">
        <v>0.1</v>
      </c>
      <c r="G50" s="1109">
        <v>0.0</v>
      </c>
      <c r="H50" s="1107"/>
    </row>
    <row r="51" ht="18.75" customHeight="1">
      <c r="A51" s="1107"/>
      <c r="B51" s="1108" t="s">
        <v>1285</v>
      </c>
      <c r="C51" s="1108" t="s">
        <v>1291</v>
      </c>
      <c r="D51" s="1108" t="s">
        <v>1380</v>
      </c>
      <c r="E51" s="1108" t="s">
        <v>1381</v>
      </c>
      <c r="F51" s="1109">
        <v>0.1</v>
      </c>
      <c r="G51" s="1109">
        <v>0.0</v>
      </c>
      <c r="H51" s="1107"/>
    </row>
    <row r="52" ht="18.75" customHeight="1">
      <c r="A52" s="1107"/>
      <c r="B52" s="1108" t="s">
        <v>1285</v>
      </c>
      <c r="C52" s="1108" t="s">
        <v>1291</v>
      </c>
      <c r="D52" s="1108" t="s">
        <v>1382</v>
      </c>
      <c r="E52" s="1108" t="s">
        <v>1383</v>
      </c>
      <c r="F52" s="1109">
        <v>0.1</v>
      </c>
      <c r="G52" s="1109">
        <v>0.0</v>
      </c>
      <c r="H52" s="1107"/>
    </row>
    <row r="53" ht="18.75" customHeight="1">
      <c r="A53" s="1107"/>
      <c r="B53" s="1108" t="s">
        <v>1285</v>
      </c>
      <c r="C53" s="1108" t="s">
        <v>1291</v>
      </c>
      <c r="D53" s="1108" t="s">
        <v>1384</v>
      </c>
      <c r="E53" s="1108" t="s">
        <v>1385</v>
      </c>
      <c r="F53" s="1109">
        <v>0.1</v>
      </c>
      <c r="G53" s="1109">
        <v>0.0</v>
      </c>
      <c r="H53" s="1107"/>
    </row>
    <row r="54" ht="18.75" customHeight="1">
      <c r="A54" s="1107"/>
      <c r="B54" s="1108" t="s">
        <v>1285</v>
      </c>
      <c r="C54" s="1108" t="s">
        <v>1291</v>
      </c>
      <c r="D54" s="1108" t="s">
        <v>1386</v>
      </c>
      <c r="E54" s="1108" t="s">
        <v>1387</v>
      </c>
      <c r="F54" s="1109">
        <v>0.1</v>
      </c>
      <c r="G54" s="1109">
        <v>0.0</v>
      </c>
      <c r="H54" s="1107"/>
    </row>
    <row r="55" ht="18.75" customHeight="1">
      <c r="A55" s="1107"/>
      <c r="B55" s="1108" t="s">
        <v>1285</v>
      </c>
      <c r="C55" s="1108" t="s">
        <v>1291</v>
      </c>
      <c r="D55" s="1108" t="s">
        <v>1388</v>
      </c>
      <c r="E55" s="1108" t="s">
        <v>1389</v>
      </c>
      <c r="F55" s="1109">
        <v>0.1</v>
      </c>
      <c r="G55" s="1109">
        <v>0.0</v>
      </c>
      <c r="H55" s="1107"/>
    </row>
    <row r="56" ht="18.75" customHeight="1">
      <c r="A56" s="1107"/>
      <c r="B56" s="1108" t="s">
        <v>1285</v>
      </c>
      <c r="C56" s="1108" t="s">
        <v>1291</v>
      </c>
      <c r="D56" s="1108" t="s">
        <v>1390</v>
      </c>
      <c r="E56" s="1108" t="s">
        <v>1391</v>
      </c>
      <c r="F56" s="1109">
        <v>0.1</v>
      </c>
      <c r="G56" s="1109">
        <v>0.0</v>
      </c>
      <c r="H56" s="1107"/>
    </row>
    <row r="57" ht="18.75" customHeight="1">
      <c r="A57" s="1107"/>
      <c r="B57" s="1108" t="s">
        <v>1285</v>
      </c>
      <c r="C57" s="1108" t="s">
        <v>1291</v>
      </c>
      <c r="D57" s="1108" t="s">
        <v>1392</v>
      </c>
      <c r="E57" s="1108" t="s">
        <v>1393</v>
      </c>
      <c r="F57" s="1109">
        <v>0.1</v>
      </c>
      <c r="G57" s="1109">
        <v>0.0</v>
      </c>
      <c r="H57" s="1107"/>
    </row>
    <row r="58" ht="18.75" customHeight="1">
      <c r="A58" s="1107"/>
      <c r="B58" s="1108" t="s">
        <v>1285</v>
      </c>
      <c r="C58" s="1108" t="s">
        <v>1291</v>
      </c>
      <c r="D58" s="1108" t="s">
        <v>1394</v>
      </c>
      <c r="E58" s="1108" t="s">
        <v>1395</v>
      </c>
      <c r="F58" s="1109">
        <v>0.1</v>
      </c>
      <c r="G58" s="1109">
        <v>0.0</v>
      </c>
      <c r="H58" s="1107"/>
    </row>
    <row r="59" ht="18.75" customHeight="1">
      <c r="A59" s="1107"/>
      <c r="B59" s="1108" t="s">
        <v>1285</v>
      </c>
      <c r="C59" s="1108" t="s">
        <v>1291</v>
      </c>
      <c r="D59" s="1108" t="s">
        <v>1396</v>
      </c>
      <c r="E59" s="1108" t="s">
        <v>1397</v>
      </c>
      <c r="F59" s="1109">
        <v>0.1</v>
      </c>
      <c r="G59" s="1109">
        <v>0.0</v>
      </c>
      <c r="H59" s="1107"/>
    </row>
    <row r="60" ht="18.75" customHeight="1">
      <c r="A60" s="1107"/>
      <c r="B60" s="1108" t="s">
        <v>1285</v>
      </c>
      <c r="C60" s="1108" t="s">
        <v>1291</v>
      </c>
      <c r="D60" s="1108" t="s">
        <v>1398</v>
      </c>
      <c r="E60" s="1108" t="s">
        <v>1399</v>
      </c>
      <c r="F60" s="1109">
        <v>0.1</v>
      </c>
      <c r="G60" s="1109">
        <v>0.0</v>
      </c>
      <c r="H60" s="1107"/>
    </row>
    <row r="61" ht="18.75" customHeight="1">
      <c r="A61" s="1107"/>
      <c r="B61" s="1108" t="s">
        <v>1285</v>
      </c>
      <c r="C61" s="1108" t="s">
        <v>1291</v>
      </c>
      <c r="D61" s="1108" t="s">
        <v>1400</v>
      </c>
      <c r="E61" s="1108" t="s">
        <v>1401</v>
      </c>
      <c r="F61" s="1109">
        <v>0.1</v>
      </c>
      <c r="G61" s="1109">
        <v>0.0</v>
      </c>
      <c r="H61" s="1107"/>
    </row>
    <row r="62" ht="18.75" customHeight="1">
      <c r="A62" s="1107"/>
      <c r="B62" s="1108" t="s">
        <v>1285</v>
      </c>
      <c r="C62" s="1108" t="s">
        <v>1291</v>
      </c>
      <c r="D62" s="1108" t="s">
        <v>1402</v>
      </c>
      <c r="E62" s="1108" t="s">
        <v>1403</v>
      </c>
      <c r="F62" s="1109">
        <v>0.1</v>
      </c>
      <c r="G62" s="1109">
        <v>0.0</v>
      </c>
      <c r="H62" s="1107"/>
    </row>
    <row r="63" ht="18.75" customHeight="1">
      <c r="A63" s="1107"/>
      <c r="B63" s="1108" t="s">
        <v>1285</v>
      </c>
      <c r="C63" s="1108" t="s">
        <v>1291</v>
      </c>
      <c r="D63" s="1108" t="s">
        <v>1404</v>
      </c>
      <c r="E63" s="1108" t="s">
        <v>1405</v>
      </c>
      <c r="F63" s="1109">
        <v>0.1</v>
      </c>
      <c r="G63" s="1109">
        <v>0.0</v>
      </c>
      <c r="H63" s="1107"/>
    </row>
    <row r="64" ht="18.75" customHeight="1">
      <c r="A64" s="1107"/>
      <c r="B64" s="1108" t="s">
        <v>1285</v>
      </c>
      <c r="C64" s="1108" t="s">
        <v>1291</v>
      </c>
      <c r="D64" s="1108" t="s">
        <v>643</v>
      </c>
      <c r="E64" s="1108" t="s">
        <v>1406</v>
      </c>
      <c r="F64" s="1109">
        <v>0.1</v>
      </c>
      <c r="G64" s="1109">
        <v>0.0</v>
      </c>
      <c r="H64" s="1107"/>
    </row>
    <row r="65" ht="18.75" customHeight="1">
      <c r="A65" s="1107"/>
      <c r="B65" s="1108" t="s">
        <v>1285</v>
      </c>
      <c r="C65" s="1108" t="s">
        <v>1291</v>
      </c>
      <c r="D65" s="1108" t="s">
        <v>1407</v>
      </c>
      <c r="E65" s="1108" t="s">
        <v>1408</v>
      </c>
      <c r="F65" s="1109">
        <v>0.1</v>
      </c>
      <c r="G65" s="1109">
        <v>0.0</v>
      </c>
      <c r="H65" s="1107"/>
    </row>
    <row r="66" ht="18.75" customHeight="1">
      <c r="A66" s="1107"/>
      <c r="B66" s="1108" t="s">
        <v>1285</v>
      </c>
      <c r="C66" s="1108" t="s">
        <v>1291</v>
      </c>
      <c r="D66" s="1108" t="s">
        <v>1409</v>
      </c>
      <c r="E66" s="1108" t="s">
        <v>1410</v>
      </c>
      <c r="F66" s="1109">
        <v>0.1</v>
      </c>
      <c r="G66" s="1109">
        <v>0.0</v>
      </c>
      <c r="H66" s="1107"/>
    </row>
    <row r="67" ht="18.75" customHeight="1">
      <c r="A67" s="1107"/>
      <c r="B67" s="1108" t="s">
        <v>1285</v>
      </c>
      <c r="C67" s="1108" t="s">
        <v>1331</v>
      </c>
      <c r="D67" s="1108" t="s">
        <v>1411</v>
      </c>
      <c r="E67" s="1108" t="s">
        <v>1412</v>
      </c>
      <c r="F67" s="1109">
        <v>0.1</v>
      </c>
      <c r="G67" s="1109">
        <v>0.0</v>
      </c>
      <c r="H67" s="1107"/>
    </row>
    <row r="68" ht="18.75" customHeight="1">
      <c r="A68" s="1107"/>
      <c r="B68" s="1108" t="s">
        <v>1285</v>
      </c>
      <c r="C68" s="1108" t="s">
        <v>1291</v>
      </c>
      <c r="D68" s="1108" t="s">
        <v>1413</v>
      </c>
      <c r="E68" s="1108" t="s">
        <v>1414</v>
      </c>
      <c r="F68" s="1109">
        <v>0.1</v>
      </c>
      <c r="G68" s="1109">
        <v>0.0</v>
      </c>
      <c r="H68" s="1107"/>
    </row>
    <row r="69" ht="18.75" customHeight="1">
      <c r="A69" s="1107"/>
      <c r="B69" s="1108" t="s">
        <v>1285</v>
      </c>
      <c r="C69" s="1108" t="s">
        <v>1291</v>
      </c>
      <c r="D69" s="1108" t="s">
        <v>1415</v>
      </c>
      <c r="E69" s="1108" t="s">
        <v>1416</v>
      </c>
      <c r="F69" s="1109">
        <v>0.1</v>
      </c>
      <c r="G69" s="1109">
        <v>0.0</v>
      </c>
      <c r="H69" s="1107"/>
    </row>
    <row r="70" ht="18.75" customHeight="1">
      <c r="A70" s="1107"/>
      <c r="B70" s="1108" t="s">
        <v>1285</v>
      </c>
      <c r="C70" s="1108" t="s">
        <v>1291</v>
      </c>
      <c r="D70" s="1108" t="s">
        <v>1417</v>
      </c>
      <c r="E70" s="1108" t="s">
        <v>1418</v>
      </c>
      <c r="F70" s="1109">
        <v>0.1</v>
      </c>
      <c r="G70" s="1109">
        <v>0.0</v>
      </c>
      <c r="H70" s="1107"/>
    </row>
    <row r="71" ht="18.75" customHeight="1">
      <c r="A71" s="1107"/>
      <c r="B71" s="1108" t="s">
        <v>1285</v>
      </c>
      <c r="C71" s="1108" t="s">
        <v>1291</v>
      </c>
      <c r="D71" s="1108" t="s">
        <v>1419</v>
      </c>
      <c r="E71" s="1108" t="s">
        <v>1420</v>
      </c>
      <c r="F71" s="1109">
        <v>0.1</v>
      </c>
      <c r="G71" s="1109">
        <v>0.0</v>
      </c>
      <c r="H71" s="1107"/>
    </row>
    <row r="72" ht="18.75" customHeight="1">
      <c r="A72" s="1107"/>
      <c r="B72" s="1108" t="s">
        <v>1285</v>
      </c>
      <c r="C72" s="1108" t="s">
        <v>1291</v>
      </c>
      <c r="D72" s="1108" t="s">
        <v>1421</v>
      </c>
      <c r="E72" s="1108" t="s">
        <v>1422</v>
      </c>
      <c r="F72" s="1109">
        <v>0.1</v>
      </c>
      <c r="G72" s="1109">
        <v>0.0</v>
      </c>
      <c r="H72" s="1107"/>
    </row>
    <row r="73" ht="18.75" customHeight="1">
      <c r="A73" s="1107"/>
      <c r="B73" s="1108" t="s">
        <v>1285</v>
      </c>
      <c r="C73" s="1108" t="s">
        <v>1291</v>
      </c>
      <c r="D73" s="1108" t="s">
        <v>1423</v>
      </c>
      <c r="E73" s="1108" t="s">
        <v>1424</v>
      </c>
      <c r="F73" s="1109">
        <v>0.1</v>
      </c>
      <c r="G73" s="1109">
        <v>0.0</v>
      </c>
      <c r="H73" s="1107"/>
    </row>
    <row r="74" ht="18.75" customHeight="1">
      <c r="A74" s="1107"/>
      <c r="B74" s="1108" t="s">
        <v>1285</v>
      </c>
      <c r="C74" s="1108" t="s">
        <v>1331</v>
      </c>
      <c r="D74" s="1108" t="s">
        <v>1425</v>
      </c>
      <c r="E74" s="1108" t="s">
        <v>1426</v>
      </c>
      <c r="F74" s="1109">
        <v>0.1</v>
      </c>
      <c r="G74" s="1109">
        <v>0.0</v>
      </c>
      <c r="H74" s="1107"/>
    </row>
    <row r="75" ht="18.75" customHeight="1">
      <c r="A75" s="1107"/>
      <c r="B75" s="1108" t="s">
        <v>1285</v>
      </c>
      <c r="C75" s="1108" t="s">
        <v>1291</v>
      </c>
      <c r="D75" s="1108" t="s">
        <v>1427</v>
      </c>
      <c r="E75" s="1108" t="s">
        <v>1428</v>
      </c>
      <c r="F75" s="1109">
        <v>0.1</v>
      </c>
      <c r="G75" s="1109">
        <v>0.0</v>
      </c>
      <c r="H75" s="1107"/>
    </row>
    <row r="76" ht="18.75" customHeight="1">
      <c r="A76" s="1107"/>
      <c r="B76" s="1108" t="s">
        <v>1285</v>
      </c>
      <c r="C76" s="1108" t="s">
        <v>1291</v>
      </c>
      <c r="D76" s="1108" t="s">
        <v>1429</v>
      </c>
      <c r="E76" s="1108" t="s">
        <v>1430</v>
      </c>
      <c r="F76" s="1109">
        <v>0.1</v>
      </c>
      <c r="G76" s="1109">
        <v>0.0</v>
      </c>
      <c r="H76" s="1107"/>
    </row>
    <row r="77" ht="18.75" customHeight="1">
      <c r="A77" s="1107"/>
      <c r="B77" s="1108" t="s">
        <v>1285</v>
      </c>
      <c r="C77" s="1108" t="s">
        <v>1291</v>
      </c>
      <c r="D77" s="1108" t="s">
        <v>1431</v>
      </c>
      <c r="E77" s="1108" t="s">
        <v>1432</v>
      </c>
      <c r="F77" s="1109">
        <v>0.1</v>
      </c>
      <c r="G77" s="1109">
        <v>0.0</v>
      </c>
      <c r="H77" s="1107"/>
    </row>
    <row r="78" ht="18.75" customHeight="1">
      <c r="A78" s="1107"/>
      <c r="B78" s="1108" t="s">
        <v>1285</v>
      </c>
      <c r="C78" s="1108" t="s">
        <v>1291</v>
      </c>
      <c r="D78" s="1108" t="s">
        <v>1433</v>
      </c>
      <c r="E78" s="1108" t="s">
        <v>1434</v>
      </c>
      <c r="F78" s="1109">
        <v>0.1</v>
      </c>
      <c r="G78" s="1109">
        <v>0.0</v>
      </c>
      <c r="H78" s="1107"/>
    </row>
    <row r="79" ht="18.75" customHeight="1">
      <c r="A79" s="1107"/>
      <c r="B79" s="1108" t="s">
        <v>1285</v>
      </c>
      <c r="C79" s="1108" t="s">
        <v>1291</v>
      </c>
      <c r="D79" s="1108" t="s">
        <v>1435</v>
      </c>
      <c r="E79" s="1108" t="s">
        <v>1436</v>
      </c>
      <c r="F79" s="1109">
        <v>0.1</v>
      </c>
      <c r="G79" s="1109">
        <v>0.0</v>
      </c>
      <c r="H79" s="1107"/>
    </row>
    <row r="80" ht="18.75" customHeight="1">
      <c r="A80" s="1107"/>
      <c r="B80" s="1108" t="s">
        <v>1285</v>
      </c>
      <c r="C80" s="1108" t="s">
        <v>1355</v>
      </c>
      <c r="D80" s="1108" t="s">
        <v>1437</v>
      </c>
      <c r="E80" s="1108" t="s">
        <v>1438</v>
      </c>
      <c r="F80" s="1109">
        <v>0.1</v>
      </c>
      <c r="G80" s="1109">
        <v>0.0</v>
      </c>
      <c r="H80" s="1107"/>
    </row>
    <row r="81" ht="18.75" customHeight="1">
      <c r="A81" s="1107"/>
      <c r="B81" s="1108" t="s">
        <v>1285</v>
      </c>
      <c r="C81" s="1108" t="s">
        <v>1291</v>
      </c>
      <c r="D81" s="1108" t="s">
        <v>1439</v>
      </c>
      <c r="E81" s="1108" t="s">
        <v>1440</v>
      </c>
      <c r="F81" s="1109">
        <v>0.1</v>
      </c>
      <c r="G81" s="1109">
        <v>0.0</v>
      </c>
      <c r="H81" s="1107"/>
    </row>
    <row r="82" ht="18.75" customHeight="1">
      <c r="A82" s="1107"/>
      <c r="B82" s="1108" t="s">
        <v>1285</v>
      </c>
      <c r="C82" s="1108" t="s">
        <v>1291</v>
      </c>
      <c r="D82" s="1108" t="s">
        <v>1441</v>
      </c>
      <c r="E82" s="1108" t="s">
        <v>1442</v>
      </c>
      <c r="F82" s="1109">
        <v>0.1</v>
      </c>
      <c r="G82" s="1109">
        <v>0.0</v>
      </c>
      <c r="H82" s="1107"/>
    </row>
    <row r="83" ht="18.75" customHeight="1">
      <c r="A83" s="1107"/>
      <c r="B83" s="1108" t="s">
        <v>1285</v>
      </c>
      <c r="C83" s="1108" t="s">
        <v>1291</v>
      </c>
      <c r="D83" s="1108" t="s">
        <v>1443</v>
      </c>
      <c r="E83" s="1108" t="s">
        <v>1444</v>
      </c>
      <c r="F83" s="1109">
        <v>0.1</v>
      </c>
      <c r="G83" s="1109">
        <v>0.0</v>
      </c>
      <c r="H83" s="1107"/>
    </row>
    <row r="84" ht="18.75" customHeight="1">
      <c r="A84" s="1107"/>
      <c r="B84" s="1108" t="s">
        <v>1285</v>
      </c>
      <c r="C84" s="1108" t="s">
        <v>1291</v>
      </c>
      <c r="D84" s="1108" t="s">
        <v>1445</v>
      </c>
      <c r="E84" s="1108" t="s">
        <v>1446</v>
      </c>
      <c r="F84" s="1109">
        <v>0.1</v>
      </c>
      <c r="G84" s="1109">
        <v>0.0</v>
      </c>
      <c r="H84" s="1107"/>
    </row>
    <row r="85" ht="18.75" customHeight="1">
      <c r="A85" s="1107"/>
      <c r="B85" s="1108" t="s">
        <v>1285</v>
      </c>
      <c r="C85" s="1108" t="s">
        <v>1291</v>
      </c>
      <c r="D85" s="1108" t="s">
        <v>1447</v>
      </c>
      <c r="E85" s="1108" t="s">
        <v>1448</v>
      </c>
      <c r="F85" s="1109">
        <v>0.1</v>
      </c>
      <c r="G85" s="1109">
        <v>0.0</v>
      </c>
      <c r="H85" s="1107"/>
    </row>
    <row r="86" ht="18.75" customHeight="1">
      <c r="A86" s="1107"/>
      <c r="B86" s="1108" t="s">
        <v>1285</v>
      </c>
      <c r="C86" s="1108" t="s">
        <v>1291</v>
      </c>
      <c r="D86" s="1108" t="s">
        <v>1449</v>
      </c>
      <c r="E86" s="1108" t="s">
        <v>1450</v>
      </c>
      <c r="F86" s="1109">
        <v>0.1</v>
      </c>
      <c r="G86" s="1109">
        <v>0.0</v>
      </c>
      <c r="H86" s="1107"/>
    </row>
    <row r="87" ht="18.75" customHeight="1">
      <c r="A87" s="1107"/>
      <c r="B87" s="1108" t="s">
        <v>1285</v>
      </c>
      <c r="C87" s="1108" t="s">
        <v>1291</v>
      </c>
      <c r="D87" s="1108" t="s">
        <v>1451</v>
      </c>
      <c r="E87" s="1108" t="s">
        <v>1452</v>
      </c>
      <c r="F87" s="1109">
        <v>0.1</v>
      </c>
      <c r="G87" s="1109">
        <v>0.0</v>
      </c>
      <c r="H87" s="1107"/>
    </row>
    <row r="88" ht="18.75" customHeight="1">
      <c r="A88" s="1107"/>
      <c r="B88" s="1108" t="s">
        <v>1285</v>
      </c>
      <c r="C88" s="1108" t="s">
        <v>1291</v>
      </c>
      <c r="D88" s="1108" t="s">
        <v>1453</v>
      </c>
      <c r="E88" s="1108" t="s">
        <v>1454</v>
      </c>
      <c r="F88" s="1109">
        <v>0.1</v>
      </c>
      <c r="G88" s="1109">
        <v>0.0</v>
      </c>
      <c r="H88" s="1107"/>
    </row>
    <row r="89" ht="18.75" customHeight="1">
      <c r="A89" s="1107"/>
      <c r="B89" s="1108" t="s">
        <v>1285</v>
      </c>
      <c r="C89" s="1108" t="s">
        <v>1291</v>
      </c>
      <c r="D89" s="1108" t="s">
        <v>1455</v>
      </c>
      <c r="E89" s="1108" t="s">
        <v>1456</v>
      </c>
      <c r="F89" s="1109">
        <v>0.1</v>
      </c>
      <c r="G89" s="1109">
        <v>0.0</v>
      </c>
      <c r="H89" s="1107"/>
    </row>
    <row r="90" ht="18.75" customHeight="1">
      <c r="A90" s="1107"/>
      <c r="B90" s="1108" t="s">
        <v>1285</v>
      </c>
      <c r="C90" s="1108" t="s">
        <v>1291</v>
      </c>
      <c r="D90" s="1108" t="s">
        <v>1457</v>
      </c>
      <c r="E90" s="1108" t="s">
        <v>1458</v>
      </c>
      <c r="F90" s="1109">
        <v>0.1</v>
      </c>
      <c r="G90" s="1109">
        <v>0.0</v>
      </c>
      <c r="H90" s="1107"/>
    </row>
    <row r="91" ht="18.75" customHeight="1">
      <c r="A91" s="1107"/>
      <c r="B91" s="1108" t="s">
        <v>1285</v>
      </c>
      <c r="C91" s="1108" t="s">
        <v>1291</v>
      </c>
      <c r="D91" s="1108" t="s">
        <v>1459</v>
      </c>
      <c r="E91" s="1108" t="s">
        <v>1460</v>
      </c>
      <c r="F91" s="1109">
        <v>0.1</v>
      </c>
      <c r="G91" s="1109">
        <v>0.0</v>
      </c>
      <c r="H91" s="1107"/>
    </row>
    <row r="92" ht="18.75" customHeight="1">
      <c r="A92" s="1107"/>
      <c r="B92" s="1108" t="s">
        <v>1285</v>
      </c>
      <c r="C92" s="1108" t="s">
        <v>1291</v>
      </c>
      <c r="D92" s="1108" t="s">
        <v>1461</v>
      </c>
      <c r="E92" s="1108" t="s">
        <v>1462</v>
      </c>
      <c r="F92" s="1109">
        <v>0.1</v>
      </c>
      <c r="G92" s="1109">
        <v>0.0</v>
      </c>
      <c r="H92" s="1107"/>
    </row>
    <row r="93" ht="18.75" customHeight="1">
      <c r="A93" s="1107"/>
      <c r="B93" s="1108" t="s">
        <v>1285</v>
      </c>
      <c r="C93" s="1108" t="s">
        <v>1291</v>
      </c>
      <c r="D93" s="1108" t="s">
        <v>1463</v>
      </c>
      <c r="E93" s="1108" t="s">
        <v>1464</v>
      </c>
      <c r="F93" s="1109">
        <v>0.1</v>
      </c>
      <c r="G93" s="1109">
        <v>0.0</v>
      </c>
      <c r="H93" s="1107"/>
    </row>
    <row r="94" ht="18.75" customHeight="1">
      <c r="A94" s="1107"/>
      <c r="B94" s="1108" t="s">
        <v>1285</v>
      </c>
      <c r="C94" s="1108" t="s">
        <v>1291</v>
      </c>
      <c r="D94" s="1108" t="s">
        <v>1465</v>
      </c>
      <c r="E94" s="1108" t="s">
        <v>1466</v>
      </c>
      <c r="F94" s="1109">
        <v>0.1</v>
      </c>
      <c r="G94" s="1109">
        <v>0.0</v>
      </c>
      <c r="H94" s="1107"/>
    </row>
    <row r="95" ht="18.75" customHeight="1">
      <c r="A95" s="1107"/>
      <c r="B95" s="1108" t="s">
        <v>1285</v>
      </c>
      <c r="C95" s="1108" t="s">
        <v>1291</v>
      </c>
      <c r="D95" s="1108" t="s">
        <v>1467</v>
      </c>
      <c r="E95" s="1108" t="s">
        <v>1468</v>
      </c>
      <c r="F95" s="1109">
        <v>0.1</v>
      </c>
      <c r="G95" s="1109">
        <v>0.0</v>
      </c>
      <c r="H95" s="1107"/>
    </row>
    <row r="96" ht="18.75" customHeight="1">
      <c r="A96" s="1107"/>
      <c r="B96" s="1108" t="s">
        <v>1285</v>
      </c>
      <c r="C96" s="1108" t="s">
        <v>1291</v>
      </c>
      <c r="D96" s="1108" t="s">
        <v>1469</v>
      </c>
      <c r="E96" s="1108" t="s">
        <v>1470</v>
      </c>
      <c r="F96" s="1109">
        <v>0.1</v>
      </c>
      <c r="G96" s="1109">
        <v>0.0</v>
      </c>
      <c r="H96" s="1107"/>
    </row>
    <row r="97" ht="18.75" customHeight="1">
      <c r="A97" s="1107"/>
      <c r="B97" s="1108" t="s">
        <v>1285</v>
      </c>
      <c r="C97" s="1108" t="s">
        <v>1291</v>
      </c>
      <c r="D97" s="1108" t="s">
        <v>1471</v>
      </c>
      <c r="E97" s="1108" t="s">
        <v>1472</v>
      </c>
      <c r="F97" s="1109">
        <v>0.1</v>
      </c>
      <c r="G97" s="1109">
        <v>0.0</v>
      </c>
      <c r="H97" s="1107"/>
    </row>
    <row r="98" ht="18.75" customHeight="1">
      <c r="A98" s="1107"/>
      <c r="B98" s="1108" t="s">
        <v>1285</v>
      </c>
      <c r="C98" s="1108" t="s">
        <v>1291</v>
      </c>
      <c r="D98" s="1108" t="s">
        <v>1473</v>
      </c>
      <c r="E98" s="1108" t="s">
        <v>1474</v>
      </c>
      <c r="F98" s="1109">
        <v>0.1</v>
      </c>
      <c r="G98" s="1109">
        <v>0.0</v>
      </c>
      <c r="H98" s="1107"/>
    </row>
    <row r="99" ht="18.75" customHeight="1">
      <c r="A99" s="1107"/>
      <c r="B99" s="1108" t="s">
        <v>1285</v>
      </c>
      <c r="C99" s="1108" t="s">
        <v>1291</v>
      </c>
      <c r="D99" s="1108" t="s">
        <v>1475</v>
      </c>
      <c r="E99" s="1108" t="s">
        <v>1476</v>
      </c>
      <c r="F99" s="1109">
        <v>0.1</v>
      </c>
      <c r="G99" s="1109">
        <v>0.0</v>
      </c>
      <c r="H99" s="1107"/>
    </row>
    <row r="100" ht="18.75" customHeight="1">
      <c r="A100" s="1107"/>
      <c r="B100" s="1108" t="s">
        <v>1285</v>
      </c>
      <c r="C100" s="1108" t="s">
        <v>1331</v>
      </c>
      <c r="D100" s="1108" t="s">
        <v>1477</v>
      </c>
      <c r="E100" s="1108" t="s">
        <v>1478</v>
      </c>
      <c r="F100" s="1109">
        <v>0.1</v>
      </c>
      <c r="G100" s="1109">
        <v>0.0</v>
      </c>
      <c r="H100" s="1107"/>
    </row>
    <row r="101" ht="18.75" customHeight="1">
      <c r="A101" s="1107"/>
      <c r="B101" s="1108" t="s">
        <v>1285</v>
      </c>
      <c r="C101" s="1108" t="s">
        <v>1291</v>
      </c>
      <c r="D101" s="1108" t="s">
        <v>1479</v>
      </c>
      <c r="E101" s="1108" t="s">
        <v>1480</v>
      </c>
      <c r="F101" s="1109">
        <v>0.1</v>
      </c>
      <c r="G101" s="1109">
        <v>0.0</v>
      </c>
      <c r="H101" s="1107"/>
    </row>
    <row r="102" ht="18.75" customHeight="1">
      <c r="A102" s="1107"/>
      <c r="B102" s="1108" t="s">
        <v>1285</v>
      </c>
      <c r="C102" s="1108" t="s">
        <v>1291</v>
      </c>
      <c r="D102" s="1108" t="s">
        <v>1481</v>
      </c>
      <c r="E102" s="1108" t="s">
        <v>1482</v>
      </c>
      <c r="F102" s="1109">
        <v>0.1</v>
      </c>
      <c r="G102" s="1109">
        <v>0.0</v>
      </c>
      <c r="H102" s="1107"/>
    </row>
    <row r="103" ht="18.75" customHeight="1">
      <c r="A103" s="1107"/>
      <c r="B103" s="1108" t="s">
        <v>1285</v>
      </c>
      <c r="C103" s="1108" t="s">
        <v>1291</v>
      </c>
      <c r="D103" s="1108" t="s">
        <v>1483</v>
      </c>
      <c r="E103" s="1108" t="s">
        <v>1484</v>
      </c>
      <c r="F103" s="1109">
        <v>0.1</v>
      </c>
      <c r="G103" s="1109">
        <v>0.0</v>
      </c>
      <c r="H103" s="1107"/>
    </row>
    <row r="104" ht="18.75" customHeight="1">
      <c r="A104" s="1107"/>
      <c r="B104" s="1108" t="s">
        <v>1285</v>
      </c>
      <c r="C104" s="1108" t="s">
        <v>1331</v>
      </c>
      <c r="D104" s="1108" t="s">
        <v>1485</v>
      </c>
      <c r="E104" s="1108" t="s">
        <v>1486</v>
      </c>
      <c r="F104" s="1109">
        <v>0.1</v>
      </c>
      <c r="G104" s="1109">
        <v>0.0</v>
      </c>
      <c r="H104" s="1107"/>
    </row>
    <row r="105" ht="18.75" customHeight="1">
      <c r="A105" s="1107"/>
      <c r="B105" s="1108" t="s">
        <v>1285</v>
      </c>
      <c r="C105" s="1108" t="s">
        <v>1291</v>
      </c>
      <c r="D105" s="1108" t="s">
        <v>1487</v>
      </c>
      <c r="E105" s="1108" t="s">
        <v>1488</v>
      </c>
      <c r="F105" s="1109">
        <v>0.1</v>
      </c>
      <c r="G105" s="1109">
        <v>0.0</v>
      </c>
      <c r="H105" s="1107"/>
    </row>
    <row r="106" ht="18.75" customHeight="1">
      <c r="A106" s="1107"/>
      <c r="B106" s="1108" t="s">
        <v>1285</v>
      </c>
      <c r="C106" s="1108" t="s">
        <v>1291</v>
      </c>
      <c r="D106" s="1108" t="s">
        <v>1489</v>
      </c>
      <c r="E106" s="1108" t="s">
        <v>1490</v>
      </c>
      <c r="F106" s="1109">
        <v>0.1</v>
      </c>
      <c r="G106" s="1109">
        <v>0.0</v>
      </c>
      <c r="H106" s="1107"/>
    </row>
    <row r="107" ht="18.75" customHeight="1">
      <c r="A107" s="1107"/>
      <c r="B107" s="1108" t="s">
        <v>1285</v>
      </c>
      <c r="C107" s="1108" t="s">
        <v>1291</v>
      </c>
      <c r="D107" s="1108" t="s">
        <v>1491</v>
      </c>
      <c r="E107" s="1108" t="s">
        <v>1492</v>
      </c>
      <c r="F107" s="1109">
        <v>0.1</v>
      </c>
      <c r="G107" s="1109">
        <v>0.0</v>
      </c>
      <c r="H107" s="1107"/>
    </row>
    <row r="108" ht="18.75" customHeight="1">
      <c r="A108" s="1107"/>
      <c r="B108" s="1108" t="s">
        <v>1285</v>
      </c>
      <c r="C108" s="1108" t="s">
        <v>1291</v>
      </c>
      <c r="D108" s="1108" t="s">
        <v>1493</v>
      </c>
      <c r="E108" s="1108" t="s">
        <v>1494</v>
      </c>
      <c r="F108" s="1109">
        <v>0.1</v>
      </c>
      <c r="G108" s="1109">
        <v>0.0</v>
      </c>
      <c r="H108" s="1107"/>
    </row>
    <row r="109" ht="18.75" customHeight="1">
      <c r="A109" s="1107"/>
      <c r="B109" s="1108" t="s">
        <v>1285</v>
      </c>
      <c r="C109" s="1108" t="s">
        <v>1355</v>
      </c>
      <c r="D109" s="1108" t="s">
        <v>1495</v>
      </c>
      <c r="E109" s="1108" t="s">
        <v>1496</v>
      </c>
      <c r="F109" s="1109">
        <v>0.1</v>
      </c>
      <c r="G109" s="1109">
        <v>0.0</v>
      </c>
      <c r="H109" s="1107"/>
    </row>
    <row r="110" ht="18.75" customHeight="1">
      <c r="A110" s="1107"/>
      <c r="B110" s="1108" t="s">
        <v>1285</v>
      </c>
      <c r="C110" s="1108" t="s">
        <v>1291</v>
      </c>
      <c r="D110" s="1108" t="s">
        <v>1497</v>
      </c>
      <c r="E110" s="1108" t="s">
        <v>1498</v>
      </c>
      <c r="F110" s="1109">
        <v>0.1</v>
      </c>
      <c r="G110" s="1109">
        <v>0.0</v>
      </c>
      <c r="H110" s="1107"/>
    </row>
    <row r="111" ht="18.75" customHeight="1">
      <c r="A111" s="1107"/>
      <c r="B111" s="1108" t="s">
        <v>1285</v>
      </c>
      <c r="C111" s="1108" t="s">
        <v>1291</v>
      </c>
      <c r="D111" s="1108" t="s">
        <v>1499</v>
      </c>
      <c r="E111" s="1108" t="s">
        <v>1500</v>
      </c>
      <c r="F111" s="1109">
        <v>0.1</v>
      </c>
      <c r="G111" s="1109">
        <v>0.0</v>
      </c>
      <c r="H111" s="1107"/>
    </row>
    <row r="112" ht="18.75" customHeight="1">
      <c r="A112" s="1107"/>
      <c r="B112" s="1108" t="s">
        <v>1285</v>
      </c>
      <c r="C112" s="1108" t="s">
        <v>1291</v>
      </c>
      <c r="D112" s="1108" t="s">
        <v>1501</v>
      </c>
      <c r="E112" s="1108" t="s">
        <v>1502</v>
      </c>
      <c r="F112" s="1109">
        <v>0.1</v>
      </c>
      <c r="G112" s="1109">
        <v>0.0</v>
      </c>
      <c r="H112" s="1107"/>
    </row>
    <row r="113" ht="18.75" customHeight="1">
      <c r="A113" s="1107"/>
      <c r="B113" s="1108" t="s">
        <v>1285</v>
      </c>
      <c r="C113" s="1108" t="s">
        <v>1291</v>
      </c>
      <c r="D113" s="1108" t="s">
        <v>1503</v>
      </c>
      <c r="E113" s="1108" t="s">
        <v>1504</v>
      </c>
      <c r="F113" s="1109">
        <v>0.1</v>
      </c>
      <c r="G113" s="1109">
        <v>0.0</v>
      </c>
      <c r="H113" s="1107"/>
    </row>
    <row r="114" ht="18.75" customHeight="1">
      <c r="A114" s="1107"/>
      <c r="B114" s="1108" t="s">
        <v>1285</v>
      </c>
      <c r="C114" s="1108" t="s">
        <v>1291</v>
      </c>
      <c r="D114" s="1108" t="s">
        <v>1505</v>
      </c>
      <c r="E114" s="1108" t="s">
        <v>1506</v>
      </c>
      <c r="F114" s="1109">
        <v>0.1</v>
      </c>
      <c r="G114" s="1109">
        <v>0.0</v>
      </c>
      <c r="H114" s="1107"/>
    </row>
    <row r="115" ht="18.75" customHeight="1">
      <c r="A115" s="1107"/>
      <c r="B115" s="1108" t="s">
        <v>1285</v>
      </c>
      <c r="C115" s="1108" t="s">
        <v>1291</v>
      </c>
      <c r="D115" s="1108" t="s">
        <v>1507</v>
      </c>
      <c r="E115" s="1108" t="s">
        <v>1508</v>
      </c>
      <c r="F115" s="1109">
        <v>0.1</v>
      </c>
      <c r="G115" s="1109">
        <v>0.0</v>
      </c>
      <c r="H115" s="1107"/>
    </row>
    <row r="116" ht="18.75" customHeight="1">
      <c r="A116" s="1107"/>
      <c r="B116" s="1108" t="s">
        <v>1285</v>
      </c>
      <c r="C116" s="1108" t="s">
        <v>1291</v>
      </c>
      <c r="D116" s="1108" t="s">
        <v>1509</v>
      </c>
      <c r="E116" s="1108" t="s">
        <v>1510</v>
      </c>
      <c r="F116" s="1109">
        <v>0.1</v>
      </c>
      <c r="G116" s="1109">
        <v>0.0</v>
      </c>
      <c r="H116" s="1107"/>
    </row>
    <row r="117" ht="18.75" customHeight="1">
      <c r="A117" s="1107"/>
      <c r="B117" s="1108" t="s">
        <v>1285</v>
      </c>
      <c r="C117" s="1108" t="s">
        <v>1291</v>
      </c>
      <c r="D117" s="1108" t="s">
        <v>1511</v>
      </c>
      <c r="E117" s="1108" t="s">
        <v>1512</v>
      </c>
      <c r="F117" s="1109">
        <v>0.1</v>
      </c>
      <c r="G117" s="1109">
        <v>0.0</v>
      </c>
      <c r="H117" s="1107"/>
    </row>
    <row r="118" ht="18.75" customHeight="1">
      <c r="A118" s="1107"/>
      <c r="B118" s="1108" t="s">
        <v>1285</v>
      </c>
      <c r="C118" s="1108" t="s">
        <v>1291</v>
      </c>
      <c r="D118" s="1108" t="s">
        <v>1513</v>
      </c>
      <c r="E118" s="1108" t="s">
        <v>1514</v>
      </c>
      <c r="F118" s="1109">
        <v>0.1</v>
      </c>
      <c r="G118" s="1109">
        <v>0.0</v>
      </c>
      <c r="H118" s="1107"/>
    </row>
    <row r="119" ht="18.75" customHeight="1">
      <c r="A119" s="1107"/>
      <c r="B119" s="1108" t="s">
        <v>1285</v>
      </c>
      <c r="C119" s="1108" t="s">
        <v>1291</v>
      </c>
      <c r="D119" s="1108" t="s">
        <v>1515</v>
      </c>
      <c r="E119" s="1108" t="s">
        <v>1516</v>
      </c>
      <c r="F119" s="1109">
        <v>0.1</v>
      </c>
      <c r="G119" s="1109">
        <v>0.0</v>
      </c>
      <c r="H119" s="1107"/>
    </row>
    <row r="120" ht="18.75" customHeight="1">
      <c r="A120" s="1107"/>
      <c r="B120" s="1108" t="s">
        <v>1285</v>
      </c>
      <c r="C120" s="1108" t="s">
        <v>1291</v>
      </c>
      <c r="D120" s="1108" t="s">
        <v>1517</v>
      </c>
      <c r="E120" s="1108" t="s">
        <v>1518</v>
      </c>
      <c r="F120" s="1109">
        <v>0.1</v>
      </c>
      <c r="G120" s="1109">
        <v>0.0</v>
      </c>
      <c r="H120" s="1107"/>
    </row>
    <row r="121" ht="18.75" customHeight="1">
      <c r="A121" s="1107"/>
      <c r="B121" s="1108" t="s">
        <v>1285</v>
      </c>
      <c r="C121" s="1108" t="s">
        <v>1291</v>
      </c>
      <c r="D121" s="1108" t="s">
        <v>1519</v>
      </c>
      <c r="E121" s="1108" t="s">
        <v>1520</v>
      </c>
      <c r="F121" s="1109">
        <v>0.1</v>
      </c>
      <c r="G121" s="1109">
        <v>0.0</v>
      </c>
      <c r="H121" s="1107"/>
    </row>
    <row r="122" ht="18.75" customHeight="1">
      <c r="A122" s="1107"/>
      <c r="B122" s="1108" t="s">
        <v>1285</v>
      </c>
      <c r="C122" s="1108" t="s">
        <v>1291</v>
      </c>
      <c r="D122" s="1108" t="s">
        <v>1521</v>
      </c>
      <c r="E122" s="1108" t="s">
        <v>1522</v>
      </c>
      <c r="F122" s="1109">
        <v>0.1</v>
      </c>
      <c r="G122" s="1109">
        <v>0.0</v>
      </c>
      <c r="H122" s="1107"/>
    </row>
    <row r="123" ht="18.75" customHeight="1">
      <c r="A123" s="1107"/>
      <c r="B123" s="1108" t="s">
        <v>1285</v>
      </c>
      <c r="C123" s="1108" t="s">
        <v>1291</v>
      </c>
      <c r="D123" s="1108" t="s">
        <v>1523</v>
      </c>
      <c r="E123" s="1108" t="s">
        <v>1524</v>
      </c>
      <c r="F123" s="1109">
        <v>0.1</v>
      </c>
      <c r="G123" s="1109">
        <v>0.0</v>
      </c>
      <c r="H123" s="1107"/>
    </row>
    <row r="124" ht="18.75" customHeight="1">
      <c r="A124" s="1107"/>
      <c r="B124" s="1108" t="s">
        <v>1285</v>
      </c>
      <c r="C124" s="1108" t="s">
        <v>1291</v>
      </c>
      <c r="D124" s="1108" t="s">
        <v>1525</v>
      </c>
      <c r="E124" s="1108" t="s">
        <v>1526</v>
      </c>
      <c r="F124" s="1109">
        <v>0.1</v>
      </c>
      <c r="G124" s="1109">
        <v>0.0</v>
      </c>
      <c r="H124" s="1107"/>
    </row>
    <row r="125" ht="18.75" customHeight="1">
      <c r="A125" s="1107"/>
      <c r="B125" s="1108" t="s">
        <v>1285</v>
      </c>
      <c r="C125" s="1108" t="s">
        <v>1291</v>
      </c>
      <c r="D125" s="1108" t="s">
        <v>1527</v>
      </c>
      <c r="E125" s="1108" t="s">
        <v>1528</v>
      </c>
      <c r="F125" s="1109">
        <v>0.1</v>
      </c>
      <c r="G125" s="1109">
        <v>0.0</v>
      </c>
      <c r="H125" s="1107"/>
    </row>
    <row r="126" ht="18.75" customHeight="1">
      <c r="A126" s="1107"/>
      <c r="B126" s="1108" t="s">
        <v>1285</v>
      </c>
      <c r="C126" s="1108" t="s">
        <v>1291</v>
      </c>
      <c r="D126" s="1108" t="s">
        <v>1529</v>
      </c>
      <c r="E126" s="1108" t="s">
        <v>1530</v>
      </c>
      <c r="F126" s="1109">
        <v>0.1</v>
      </c>
      <c r="G126" s="1109">
        <v>0.0</v>
      </c>
      <c r="H126" s="1107"/>
    </row>
    <row r="127" ht="18.75" customHeight="1">
      <c r="A127" s="1107"/>
      <c r="B127" s="1108" t="s">
        <v>1285</v>
      </c>
      <c r="C127" s="1108" t="s">
        <v>1286</v>
      </c>
      <c r="D127" s="1108" t="s">
        <v>1531</v>
      </c>
      <c r="E127" s="1108" t="s">
        <v>1532</v>
      </c>
      <c r="F127" s="1109">
        <v>0.1</v>
      </c>
      <c r="G127" s="1109">
        <v>0.0</v>
      </c>
      <c r="H127" s="1107"/>
    </row>
    <row r="128" ht="18.75" customHeight="1">
      <c r="A128" s="1107"/>
      <c r="B128" s="1108" t="s">
        <v>1285</v>
      </c>
      <c r="C128" s="1108" t="s">
        <v>1291</v>
      </c>
      <c r="D128" s="1108" t="s">
        <v>1533</v>
      </c>
      <c r="E128" s="1108" t="s">
        <v>1534</v>
      </c>
      <c r="F128" s="1109">
        <v>0.1</v>
      </c>
      <c r="G128" s="1109">
        <v>0.0</v>
      </c>
      <c r="H128" s="1107"/>
    </row>
    <row r="129" ht="18.75" customHeight="1">
      <c r="A129" s="1107"/>
      <c r="B129" s="1108" t="s">
        <v>1285</v>
      </c>
      <c r="C129" s="1108" t="s">
        <v>1291</v>
      </c>
      <c r="D129" s="1108" t="s">
        <v>1535</v>
      </c>
      <c r="E129" s="1108" t="s">
        <v>1536</v>
      </c>
      <c r="F129" s="1109">
        <v>0.1</v>
      </c>
      <c r="G129" s="1109">
        <v>0.0</v>
      </c>
      <c r="H129" s="1107"/>
    </row>
    <row r="130" ht="18.75" customHeight="1">
      <c r="A130" s="1107"/>
      <c r="B130" s="1108" t="s">
        <v>1285</v>
      </c>
      <c r="C130" s="1108" t="s">
        <v>1331</v>
      </c>
      <c r="D130" s="1108" t="s">
        <v>1537</v>
      </c>
      <c r="E130" s="1108" t="s">
        <v>1538</v>
      </c>
      <c r="F130" s="1109">
        <v>0.1</v>
      </c>
      <c r="G130" s="1109">
        <v>0.0</v>
      </c>
      <c r="H130" s="1107"/>
    </row>
    <row r="131" ht="18.75" customHeight="1">
      <c r="A131" s="1107"/>
      <c r="B131" s="1108" t="s">
        <v>1285</v>
      </c>
      <c r="C131" s="1108" t="s">
        <v>1291</v>
      </c>
      <c r="D131" s="1108" t="s">
        <v>1539</v>
      </c>
      <c r="E131" s="1108" t="s">
        <v>1540</v>
      </c>
      <c r="F131" s="1109">
        <v>0.1</v>
      </c>
      <c r="G131" s="1109">
        <v>0.0</v>
      </c>
      <c r="H131" s="1107"/>
    </row>
    <row r="132" ht="18.75" customHeight="1">
      <c r="A132" s="1107"/>
      <c r="B132" s="1108" t="s">
        <v>1285</v>
      </c>
      <c r="C132" s="1108" t="s">
        <v>1291</v>
      </c>
      <c r="D132" s="1108" t="s">
        <v>1541</v>
      </c>
      <c r="E132" s="1108" t="s">
        <v>1542</v>
      </c>
      <c r="F132" s="1109">
        <v>0.1</v>
      </c>
      <c r="G132" s="1109">
        <v>0.0</v>
      </c>
      <c r="H132" s="1107"/>
    </row>
    <row r="133" ht="18.75" customHeight="1">
      <c r="A133" s="1107"/>
      <c r="B133" s="1108" t="s">
        <v>1285</v>
      </c>
      <c r="C133" s="1108" t="s">
        <v>1291</v>
      </c>
      <c r="D133" s="1108" t="s">
        <v>1543</v>
      </c>
      <c r="E133" s="1108" t="s">
        <v>1544</v>
      </c>
      <c r="F133" s="1109">
        <v>0.1</v>
      </c>
      <c r="G133" s="1109">
        <v>0.0</v>
      </c>
      <c r="H133" s="1107"/>
    </row>
    <row r="134" ht="18.75" customHeight="1">
      <c r="A134" s="1107"/>
      <c r="B134" s="1108" t="s">
        <v>1285</v>
      </c>
      <c r="C134" s="1108" t="s">
        <v>1291</v>
      </c>
      <c r="D134" s="1108" t="s">
        <v>1545</v>
      </c>
      <c r="E134" s="1108" t="s">
        <v>1546</v>
      </c>
      <c r="F134" s="1109">
        <v>0.1</v>
      </c>
      <c r="G134" s="1109">
        <v>0.0</v>
      </c>
      <c r="H134" s="1107"/>
    </row>
    <row r="135" ht="18.75" customHeight="1">
      <c r="A135" s="1107"/>
      <c r="B135" s="1108" t="s">
        <v>1285</v>
      </c>
      <c r="C135" s="1108" t="s">
        <v>1291</v>
      </c>
      <c r="D135" s="1108" t="s">
        <v>1547</v>
      </c>
      <c r="E135" s="1108" t="s">
        <v>1548</v>
      </c>
      <c r="F135" s="1109">
        <v>0.1</v>
      </c>
      <c r="G135" s="1109">
        <v>0.0</v>
      </c>
      <c r="H135" s="1107"/>
    </row>
    <row r="136" ht="18.75" customHeight="1">
      <c r="A136" s="1107"/>
      <c r="B136" s="1108" t="s">
        <v>1285</v>
      </c>
      <c r="C136" s="1108" t="s">
        <v>1355</v>
      </c>
      <c r="D136" s="1108" t="s">
        <v>1549</v>
      </c>
      <c r="E136" s="1108" t="s">
        <v>1550</v>
      </c>
      <c r="F136" s="1109">
        <v>0.1</v>
      </c>
      <c r="G136" s="1109">
        <v>0.0</v>
      </c>
      <c r="H136" s="1107"/>
    </row>
    <row r="137" ht="18.75" customHeight="1">
      <c r="A137" s="1107"/>
      <c r="B137" s="1108" t="s">
        <v>1285</v>
      </c>
      <c r="C137" s="1108" t="s">
        <v>1291</v>
      </c>
      <c r="D137" s="1108" t="s">
        <v>1551</v>
      </c>
      <c r="E137" s="1108" t="s">
        <v>1552</v>
      </c>
      <c r="F137" s="1109">
        <v>0.1</v>
      </c>
      <c r="G137" s="1109">
        <v>0.0</v>
      </c>
      <c r="H137" s="1107"/>
    </row>
    <row r="138" ht="18.75" customHeight="1">
      <c r="A138" s="1107"/>
      <c r="B138" s="1108" t="s">
        <v>1285</v>
      </c>
      <c r="C138" s="1108" t="s">
        <v>1291</v>
      </c>
      <c r="D138" s="1108" t="s">
        <v>1553</v>
      </c>
      <c r="E138" s="1108" t="s">
        <v>1554</v>
      </c>
      <c r="F138" s="1109">
        <v>0.1</v>
      </c>
      <c r="G138" s="1109">
        <v>0.0</v>
      </c>
      <c r="H138" s="1107"/>
    </row>
    <row r="139" ht="18.75" customHeight="1">
      <c r="A139" s="1107"/>
      <c r="B139" s="1108" t="s">
        <v>1285</v>
      </c>
      <c r="C139" s="1108" t="s">
        <v>1291</v>
      </c>
      <c r="D139" s="1108" t="s">
        <v>1555</v>
      </c>
      <c r="E139" s="1108" t="s">
        <v>1556</v>
      </c>
      <c r="F139" s="1109">
        <v>0.1</v>
      </c>
      <c r="G139" s="1109">
        <v>0.0</v>
      </c>
      <c r="H139" s="1107"/>
    </row>
    <row r="140" ht="18.75" customHeight="1">
      <c r="A140" s="1107"/>
      <c r="B140" s="1108" t="s">
        <v>1285</v>
      </c>
      <c r="C140" s="1108" t="s">
        <v>1291</v>
      </c>
      <c r="D140" s="1108" t="s">
        <v>1557</v>
      </c>
      <c r="E140" s="1108" t="s">
        <v>1558</v>
      </c>
      <c r="F140" s="1109">
        <v>0.1</v>
      </c>
      <c r="G140" s="1109">
        <v>0.0</v>
      </c>
      <c r="H140" s="1107"/>
    </row>
    <row r="141" ht="18.75" customHeight="1">
      <c r="A141" s="1107"/>
      <c r="B141" s="1108" t="s">
        <v>1285</v>
      </c>
      <c r="C141" s="1108" t="s">
        <v>1291</v>
      </c>
      <c r="D141" s="1108" t="s">
        <v>1559</v>
      </c>
      <c r="E141" s="1108" t="s">
        <v>1560</v>
      </c>
      <c r="F141" s="1109">
        <v>0.1</v>
      </c>
      <c r="G141" s="1109">
        <v>0.0</v>
      </c>
      <c r="H141" s="1107"/>
    </row>
    <row r="142" ht="18.75" customHeight="1">
      <c r="A142" s="1107"/>
      <c r="B142" s="1108" t="s">
        <v>1285</v>
      </c>
      <c r="C142" s="1108" t="s">
        <v>1291</v>
      </c>
      <c r="D142" s="1108" t="s">
        <v>1561</v>
      </c>
      <c r="E142" s="1108" t="s">
        <v>1562</v>
      </c>
      <c r="F142" s="1109">
        <v>0.1</v>
      </c>
      <c r="G142" s="1109">
        <v>0.0</v>
      </c>
      <c r="H142" s="1107"/>
    </row>
    <row r="143" ht="18.75" customHeight="1">
      <c r="A143" s="1107"/>
      <c r="B143" s="1108" t="s">
        <v>1285</v>
      </c>
      <c r="C143" s="1108" t="s">
        <v>1291</v>
      </c>
      <c r="D143" s="1108" t="s">
        <v>1563</v>
      </c>
      <c r="E143" s="1108" t="s">
        <v>1564</v>
      </c>
      <c r="F143" s="1109">
        <v>0.1</v>
      </c>
      <c r="G143" s="1109">
        <v>0.0</v>
      </c>
      <c r="H143" s="1107"/>
    </row>
    <row r="144" ht="18.75" customHeight="1">
      <c r="A144" s="1107"/>
      <c r="B144" s="1108" t="s">
        <v>1285</v>
      </c>
      <c r="C144" s="1108" t="s">
        <v>1355</v>
      </c>
      <c r="D144" s="1108" t="s">
        <v>1565</v>
      </c>
      <c r="E144" s="1108" t="s">
        <v>1566</v>
      </c>
      <c r="F144" s="1109">
        <v>0.1</v>
      </c>
      <c r="G144" s="1109">
        <v>0.0</v>
      </c>
      <c r="H144" s="1107"/>
    </row>
    <row r="145" ht="18.75" customHeight="1">
      <c r="A145" s="1107"/>
      <c r="B145" s="1108" t="s">
        <v>1285</v>
      </c>
      <c r="C145" s="1108" t="s">
        <v>1291</v>
      </c>
      <c r="D145" s="1108" t="s">
        <v>1567</v>
      </c>
      <c r="E145" s="1108" t="s">
        <v>1568</v>
      </c>
      <c r="F145" s="1109">
        <v>0.1</v>
      </c>
      <c r="G145" s="1109">
        <v>0.0</v>
      </c>
      <c r="H145" s="1107"/>
    </row>
    <row r="146" ht="18.75" customHeight="1">
      <c r="A146" s="1107"/>
      <c r="B146" s="1108" t="s">
        <v>1285</v>
      </c>
      <c r="C146" s="1108" t="s">
        <v>1291</v>
      </c>
      <c r="D146" s="1108" t="s">
        <v>1569</v>
      </c>
      <c r="E146" s="1108" t="s">
        <v>1570</v>
      </c>
      <c r="F146" s="1109">
        <v>0.1</v>
      </c>
      <c r="G146" s="1109">
        <v>0.0</v>
      </c>
      <c r="H146" s="1107"/>
    </row>
    <row r="147" ht="18.75" customHeight="1">
      <c r="A147" s="1107"/>
      <c r="B147" s="1108" t="s">
        <v>1285</v>
      </c>
      <c r="C147" s="1108" t="s">
        <v>1291</v>
      </c>
      <c r="D147" s="1108" t="s">
        <v>1571</v>
      </c>
      <c r="E147" s="1108" t="s">
        <v>1572</v>
      </c>
      <c r="F147" s="1109">
        <v>0.1</v>
      </c>
      <c r="G147" s="1109">
        <v>0.0</v>
      </c>
      <c r="H147" s="1107"/>
    </row>
    <row r="148" ht="18.75" customHeight="1">
      <c r="A148" s="1107"/>
      <c r="B148" s="1108" t="s">
        <v>1285</v>
      </c>
      <c r="C148" s="1108" t="s">
        <v>1291</v>
      </c>
      <c r="D148" s="1108" t="s">
        <v>1573</v>
      </c>
      <c r="E148" s="1108" t="s">
        <v>1574</v>
      </c>
      <c r="F148" s="1109">
        <v>0.1</v>
      </c>
      <c r="G148" s="1109">
        <v>0.0</v>
      </c>
      <c r="H148" s="1107"/>
    </row>
    <row r="149" ht="18.75" customHeight="1">
      <c r="A149" s="1107"/>
      <c r="B149" s="1108" t="s">
        <v>1285</v>
      </c>
      <c r="C149" s="1108" t="s">
        <v>1291</v>
      </c>
      <c r="D149" s="1108" t="s">
        <v>1575</v>
      </c>
      <c r="E149" s="1108" t="s">
        <v>1576</v>
      </c>
      <c r="F149" s="1109">
        <v>0.1</v>
      </c>
      <c r="G149" s="1109">
        <v>0.0</v>
      </c>
      <c r="H149" s="1107"/>
    </row>
    <row r="150" ht="18.75" customHeight="1">
      <c r="A150" s="1107"/>
      <c r="B150" s="1108" t="s">
        <v>1285</v>
      </c>
      <c r="C150" s="1108" t="s">
        <v>1291</v>
      </c>
      <c r="D150" s="1108" t="s">
        <v>1577</v>
      </c>
      <c r="E150" s="1108" t="s">
        <v>1578</v>
      </c>
      <c r="F150" s="1109">
        <v>0.1</v>
      </c>
      <c r="G150" s="1109">
        <v>0.0</v>
      </c>
      <c r="H150" s="1107"/>
    </row>
    <row r="151" ht="18.75" customHeight="1">
      <c r="A151" s="1107"/>
      <c r="B151" s="1108" t="s">
        <v>1285</v>
      </c>
      <c r="C151" s="1108" t="s">
        <v>1291</v>
      </c>
      <c r="D151" s="1108" t="s">
        <v>1579</v>
      </c>
      <c r="E151" s="1108" t="s">
        <v>1580</v>
      </c>
      <c r="F151" s="1109">
        <v>0.1</v>
      </c>
      <c r="G151" s="1109">
        <v>0.0</v>
      </c>
      <c r="H151" s="1107"/>
    </row>
    <row r="152" ht="18.75" customHeight="1">
      <c r="A152" s="1107"/>
      <c r="B152" s="1108" t="s">
        <v>1285</v>
      </c>
      <c r="C152" s="1108" t="s">
        <v>1291</v>
      </c>
      <c r="D152" s="1108" t="s">
        <v>1581</v>
      </c>
      <c r="E152" s="1108" t="s">
        <v>1582</v>
      </c>
      <c r="F152" s="1109">
        <v>0.1</v>
      </c>
      <c r="G152" s="1109">
        <v>0.0</v>
      </c>
      <c r="H152" s="1107"/>
    </row>
    <row r="153" ht="18.75" customHeight="1">
      <c r="A153" s="1107"/>
      <c r="B153" s="1108" t="s">
        <v>1285</v>
      </c>
      <c r="C153" s="1108" t="s">
        <v>1291</v>
      </c>
      <c r="D153" s="1108" t="s">
        <v>1583</v>
      </c>
      <c r="E153" s="1108" t="s">
        <v>1584</v>
      </c>
      <c r="F153" s="1109">
        <v>0.1</v>
      </c>
      <c r="G153" s="1109">
        <v>0.0</v>
      </c>
      <c r="H153" s="1107"/>
    </row>
    <row r="154" ht="18.75" customHeight="1">
      <c r="A154" s="1107"/>
      <c r="B154" s="1108" t="s">
        <v>1285</v>
      </c>
      <c r="C154" s="1108" t="s">
        <v>1291</v>
      </c>
      <c r="D154" s="1108" t="s">
        <v>1585</v>
      </c>
      <c r="E154" s="1108" t="s">
        <v>1586</v>
      </c>
      <c r="F154" s="1109">
        <v>0.1</v>
      </c>
      <c r="G154" s="1109">
        <v>0.0</v>
      </c>
      <c r="H154" s="1107"/>
    </row>
    <row r="155" ht="18.75" customHeight="1">
      <c r="A155" s="1107"/>
      <c r="B155" s="1108" t="s">
        <v>1285</v>
      </c>
      <c r="C155" s="1108" t="s">
        <v>1291</v>
      </c>
      <c r="D155" s="1108" t="s">
        <v>1587</v>
      </c>
      <c r="E155" s="1108" t="s">
        <v>1588</v>
      </c>
      <c r="F155" s="1109">
        <v>0.1</v>
      </c>
      <c r="G155" s="1109">
        <v>0.0</v>
      </c>
      <c r="H155" s="1107"/>
    </row>
    <row r="156" ht="18.75" customHeight="1">
      <c r="A156" s="1107"/>
      <c r="B156" s="1108" t="s">
        <v>1285</v>
      </c>
      <c r="C156" s="1108" t="s">
        <v>1291</v>
      </c>
      <c r="D156" s="1108" t="s">
        <v>1589</v>
      </c>
      <c r="E156" s="1108" t="s">
        <v>1590</v>
      </c>
      <c r="F156" s="1109">
        <v>0.1</v>
      </c>
      <c r="G156" s="1109">
        <v>0.0</v>
      </c>
      <c r="H156" s="1107"/>
    </row>
    <row r="157" ht="18.75" customHeight="1">
      <c r="A157" s="1107"/>
      <c r="B157" s="1108" t="s">
        <v>1285</v>
      </c>
      <c r="C157" s="1108" t="s">
        <v>1291</v>
      </c>
      <c r="D157" s="1108" t="s">
        <v>1591</v>
      </c>
      <c r="E157" s="1108" t="s">
        <v>1592</v>
      </c>
      <c r="F157" s="1109">
        <v>0.1</v>
      </c>
      <c r="G157" s="1109">
        <v>0.0</v>
      </c>
      <c r="H157" s="1107"/>
    </row>
    <row r="158" ht="18.75" customHeight="1">
      <c r="A158" s="1107"/>
      <c r="B158" s="1108" t="s">
        <v>1285</v>
      </c>
      <c r="C158" s="1108" t="s">
        <v>1291</v>
      </c>
      <c r="D158" s="1108" t="s">
        <v>1593</v>
      </c>
      <c r="E158" s="1108" t="s">
        <v>1594</v>
      </c>
      <c r="F158" s="1109">
        <v>0.1</v>
      </c>
      <c r="G158" s="1109">
        <v>0.0</v>
      </c>
      <c r="H158" s="1107"/>
    </row>
    <row r="159" ht="18.75" customHeight="1">
      <c r="A159" s="1107"/>
      <c r="B159" s="1108" t="s">
        <v>1285</v>
      </c>
      <c r="C159" s="1108" t="s">
        <v>1331</v>
      </c>
      <c r="D159" s="1108" t="s">
        <v>1595</v>
      </c>
      <c r="E159" s="1108" t="s">
        <v>1596</v>
      </c>
      <c r="F159" s="1109">
        <v>0.1</v>
      </c>
      <c r="G159" s="1109">
        <v>0.0</v>
      </c>
      <c r="H159" s="1107"/>
    </row>
    <row r="160" ht="18.75" customHeight="1">
      <c r="A160" s="1107"/>
      <c r="B160" s="1108" t="s">
        <v>1285</v>
      </c>
      <c r="C160" s="1108" t="s">
        <v>1291</v>
      </c>
      <c r="D160" s="1108" t="s">
        <v>1597</v>
      </c>
      <c r="E160" s="1108" t="s">
        <v>1598</v>
      </c>
      <c r="F160" s="1109">
        <v>0.1</v>
      </c>
      <c r="G160" s="1109">
        <v>0.0</v>
      </c>
      <c r="H160" s="1107"/>
    </row>
    <row r="161" ht="18.75" customHeight="1">
      <c r="A161" s="1107"/>
      <c r="B161" s="1108" t="s">
        <v>1285</v>
      </c>
      <c r="C161" s="1108" t="s">
        <v>1291</v>
      </c>
      <c r="D161" s="1108" t="s">
        <v>1599</v>
      </c>
      <c r="E161" s="1108" t="s">
        <v>1600</v>
      </c>
      <c r="F161" s="1109">
        <v>0.1</v>
      </c>
      <c r="G161" s="1109">
        <v>0.0</v>
      </c>
      <c r="H161" s="1107"/>
    </row>
    <row r="162" ht="18.75" customHeight="1">
      <c r="A162" s="1107"/>
      <c r="B162" s="1108" t="s">
        <v>1285</v>
      </c>
      <c r="C162" s="1108" t="s">
        <v>1291</v>
      </c>
      <c r="D162" s="1108" t="s">
        <v>1601</v>
      </c>
      <c r="E162" s="1108" t="s">
        <v>1602</v>
      </c>
      <c r="F162" s="1109">
        <v>0.1</v>
      </c>
      <c r="G162" s="1109">
        <v>0.0</v>
      </c>
      <c r="H162" s="1107"/>
    </row>
    <row r="163" ht="18.75" customHeight="1">
      <c r="A163" s="1107"/>
      <c r="B163" s="1108" t="s">
        <v>1285</v>
      </c>
      <c r="C163" s="1108" t="s">
        <v>1355</v>
      </c>
      <c r="D163" s="1108" t="s">
        <v>1603</v>
      </c>
      <c r="E163" s="1108" t="s">
        <v>1604</v>
      </c>
      <c r="F163" s="1109">
        <v>0.1</v>
      </c>
      <c r="G163" s="1109">
        <v>0.0</v>
      </c>
      <c r="H163" s="1107"/>
    </row>
    <row r="164" ht="18.75" customHeight="1">
      <c r="A164" s="1107"/>
      <c r="B164" s="1108" t="s">
        <v>1285</v>
      </c>
      <c r="C164" s="1108" t="s">
        <v>1291</v>
      </c>
      <c r="D164" s="1108" t="s">
        <v>1605</v>
      </c>
      <c r="E164" s="1108" t="s">
        <v>1606</v>
      </c>
      <c r="F164" s="1109">
        <v>0.1</v>
      </c>
      <c r="G164" s="1109">
        <v>0.0</v>
      </c>
      <c r="H164" s="1107"/>
    </row>
    <row r="165" ht="18.75" customHeight="1">
      <c r="A165" s="1107"/>
      <c r="B165" s="1108" t="s">
        <v>1285</v>
      </c>
      <c r="C165" s="1108" t="s">
        <v>1291</v>
      </c>
      <c r="D165" s="1108" t="s">
        <v>1607</v>
      </c>
      <c r="E165" s="1108" t="s">
        <v>1608</v>
      </c>
      <c r="F165" s="1109">
        <v>0.1</v>
      </c>
      <c r="G165" s="1109">
        <v>0.0</v>
      </c>
      <c r="H165" s="1107"/>
    </row>
    <row r="166" ht="18.75" customHeight="1">
      <c r="A166" s="1107"/>
      <c r="B166" s="1108" t="s">
        <v>1285</v>
      </c>
      <c r="C166" s="1108" t="s">
        <v>1291</v>
      </c>
      <c r="D166" s="1108" t="s">
        <v>1609</v>
      </c>
      <c r="E166" s="1108" t="s">
        <v>1610</v>
      </c>
      <c r="F166" s="1109">
        <v>0.1</v>
      </c>
      <c r="G166" s="1109">
        <v>0.0</v>
      </c>
      <c r="H166" s="1107"/>
    </row>
    <row r="167" ht="18.75" customHeight="1">
      <c r="A167" s="1107"/>
      <c r="B167" s="1108" t="s">
        <v>1285</v>
      </c>
      <c r="C167" s="1108" t="s">
        <v>1291</v>
      </c>
      <c r="D167" s="1108" t="s">
        <v>1611</v>
      </c>
      <c r="E167" s="1108" t="s">
        <v>1612</v>
      </c>
      <c r="F167" s="1109">
        <v>0.1</v>
      </c>
      <c r="G167" s="1109">
        <v>0.0</v>
      </c>
      <c r="H167" s="1107"/>
    </row>
    <row r="168" ht="18.75" customHeight="1">
      <c r="A168" s="1107"/>
      <c r="B168" s="1108" t="s">
        <v>1285</v>
      </c>
      <c r="C168" s="1108" t="s">
        <v>1291</v>
      </c>
      <c r="D168" s="1108" t="s">
        <v>1613</v>
      </c>
      <c r="E168" s="1108" t="s">
        <v>1614</v>
      </c>
      <c r="F168" s="1109">
        <v>0.1</v>
      </c>
      <c r="G168" s="1109">
        <v>0.0</v>
      </c>
      <c r="H168" s="1107"/>
    </row>
    <row r="169" ht="18.75" customHeight="1">
      <c r="A169" s="1107"/>
      <c r="B169" s="1108" t="s">
        <v>1285</v>
      </c>
      <c r="C169" s="1108" t="s">
        <v>1291</v>
      </c>
      <c r="D169" s="1108" t="s">
        <v>1615</v>
      </c>
      <c r="E169" s="1108" t="s">
        <v>1616</v>
      </c>
      <c r="F169" s="1109">
        <v>0.1</v>
      </c>
      <c r="G169" s="1109">
        <v>0.0</v>
      </c>
      <c r="H169" s="1107"/>
    </row>
    <row r="170" ht="18.75" customHeight="1">
      <c r="A170" s="1107"/>
      <c r="B170" s="1108" t="s">
        <v>1285</v>
      </c>
      <c r="C170" s="1108" t="s">
        <v>1355</v>
      </c>
      <c r="D170" s="1108" t="s">
        <v>1617</v>
      </c>
      <c r="E170" s="1108" t="s">
        <v>1618</v>
      </c>
      <c r="F170" s="1109">
        <v>0.1</v>
      </c>
      <c r="G170" s="1109">
        <v>0.0</v>
      </c>
      <c r="H170" s="1107"/>
    </row>
    <row r="171" ht="18.75" customHeight="1">
      <c r="A171" s="1107"/>
      <c r="B171" s="1108" t="s">
        <v>1285</v>
      </c>
      <c r="C171" s="1108" t="s">
        <v>1291</v>
      </c>
      <c r="D171" s="1108" t="s">
        <v>1619</v>
      </c>
      <c r="E171" s="1108" t="s">
        <v>1620</v>
      </c>
      <c r="F171" s="1109">
        <v>0.1</v>
      </c>
      <c r="G171" s="1109">
        <v>0.0</v>
      </c>
      <c r="H171" s="1107"/>
    </row>
    <row r="172" ht="18.75" customHeight="1">
      <c r="A172" s="1107"/>
      <c r="B172" s="1108" t="s">
        <v>1285</v>
      </c>
      <c r="C172" s="1108" t="s">
        <v>1291</v>
      </c>
      <c r="D172" s="1108" t="s">
        <v>1621</v>
      </c>
      <c r="E172" s="1108" t="s">
        <v>1622</v>
      </c>
      <c r="F172" s="1109">
        <v>0.1</v>
      </c>
      <c r="G172" s="1109">
        <v>0.0</v>
      </c>
      <c r="H172" s="1107"/>
    </row>
    <row r="173" ht="18.75" customHeight="1">
      <c r="A173" s="1107"/>
      <c r="B173" s="1108" t="s">
        <v>1285</v>
      </c>
      <c r="C173" s="1108" t="s">
        <v>1291</v>
      </c>
      <c r="D173" s="1108" t="s">
        <v>1623</v>
      </c>
      <c r="E173" s="1108" t="s">
        <v>1624</v>
      </c>
      <c r="F173" s="1109">
        <v>0.1</v>
      </c>
      <c r="G173" s="1109">
        <v>0.0</v>
      </c>
      <c r="H173" s="1107"/>
    </row>
    <row r="174" ht="18.75" customHeight="1">
      <c r="A174" s="1107"/>
      <c r="B174" s="1108" t="s">
        <v>1285</v>
      </c>
      <c r="C174" s="1108" t="s">
        <v>1291</v>
      </c>
      <c r="D174" s="1108" t="s">
        <v>1625</v>
      </c>
      <c r="E174" s="1108" t="s">
        <v>1626</v>
      </c>
      <c r="F174" s="1109">
        <v>0.1</v>
      </c>
      <c r="G174" s="1109">
        <v>0.0</v>
      </c>
      <c r="H174" s="1107"/>
    </row>
    <row r="175" ht="18.75" customHeight="1">
      <c r="A175" s="1107"/>
      <c r="B175" s="1108" t="s">
        <v>1285</v>
      </c>
      <c r="C175" s="1108" t="s">
        <v>1291</v>
      </c>
      <c r="D175" s="1108" t="s">
        <v>1627</v>
      </c>
      <c r="E175" s="1108" t="s">
        <v>1628</v>
      </c>
      <c r="F175" s="1109">
        <v>0.1</v>
      </c>
      <c r="G175" s="1109">
        <v>0.0</v>
      </c>
      <c r="H175" s="1107"/>
    </row>
    <row r="176" ht="18.75" customHeight="1">
      <c r="A176" s="1107"/>
      <c r="B176" s="1108" t="s">
        <v>1285</v>
      </c>
      <c r="C176" s="1108" t="s">
        <v>1291</v>
      </c>
      <c r="D176" s="1108" t="s">
        <v>1629</v>
      </c>
      <c r="E176" s="1108" t="s">
        <v>1630</v>
      </c>
      <c r="F176" s="1109">
        <v>0.1</v>
      </c>
      <c r="G176" s="1109">
        <v>0.0</v>
      </c>
      <c r="H176" s="1107"/>
    </row>
    <row r="177" ht="18.75" customHeight="1">
      <c r="A177" s="1107"/>
      <c r="B177" s="1108" t="s">
        <v>1285</v>
      </c>
      <c r="C177" s="1108" t="s">
        <v>1291</v>
      </c>
      <c r="D177" s="1108" t="s">
        <v>1631</v>
      </c>
      <c r="E177" s="1108" t="s">
        <v>1632</v>
      </c>
      <c r="F177" s="1109">
        <v>0.1</v>
      </c>
      <c r="G177" s="1109">
        <v>0.0</v>
      </c>
      <c r="H177" s="1107"/>
    </row>
    <row r="178" ht="18.75" customHeight="1">
      <c r="A178" s="1107"/>
      <c r="B178" s="1108" t="s">
        <v>1285</v>
      </c>
      <c r="C178" s="1108" t="s">
        <v>1291</v>
      </c>
      <c r="D178" s="1108" t="s">
        <v>1633</v>
      </c>
      <c r="E178" s="1108" t="s">
        <v>1634</v>
      </c>
      <c r="F178" s="1109">
        <v>0.1</v>
      </c>
      <c r="G178" s="1109">
        <v>0.0</v>
      </c>
      <c r="H178" s="1107"/>
    </row>
    <row r="179" ht="18.75" customHeight="1">
      <c r="A179" s="1107"/>
      <c r="B179" s="1108" t="s">
        <v>1285</v>
      </c>
      <c r="C179" s="1108" t="s">
        <v>1291</v>
      </c>
      <c r="D179" s="1108" t="s">
        <v>1635</v>
      </c>
      <c r="E179" s="1108" t="s">
        <v>1636</v>
      </c>
      <c r="F179" s="1109">
        <v>0.1</v>
      </c>
      <c r="G179" s="1109">
        <v>0.0</v>
      </c>
      <c r="H179" s="1107"/>
    </row>
    <row r="180" ht="18.75" customHeight="1">
      <c r="A180" s="1107"/>
      <c r="B180" s="1108" t="s">
        <v>1285</v>
      </c>
      <c r="C180" s="1108" t="s">
        <v>1291</v>
      </c>
      <c r="D180" s="1108" t="s">
        <v>1637</v>
      </c>
      <c r="E180" s="1108" t="s">
        <v>1638</v>
      </c>
      <c r="F180" s="1109">
        <v>0.1</v>
      </c>
      <c r="G180" s="1109">
        <v>0.0</v>
      </c>
      <c r="H180" s="1107"/>
    </row>
    <row r="181" ht="18.75" customHeight="1">
      <c r="A181" s="1107"/>
      <c r="B181" s="1108" t="s">
        <v>1285</v>
      </c>
      <c r="C181" s="1108" t="s">
        <v>1291</v>
      </c>
      <c r="D181" s="1108" t="s">
        <v>1639</v>
      </c>
      <c r="E181" s="1108" t="s">
        <v>1640</v>
      </c>
      <c r="F181" s="1109">
        <v>0.1</v>
      </c>
      <c r="G181" s="1109">
        <v>0.0</v>
      </c>
      <c r="H181" s="1107"/>
    </row>
    <row r="182" ht="18.75" customHeight="1">
      <c r="A182" s="1107"/>
      <c r="B182" s="1108" t="s">
        <v>1285</v>
      </c>
      <c r="C182" s="1108" t="s">
        <v>1291</v>
      </c>
      <c r="D182" s="1108" t="s">
        <v>1641</v>
      </c>
      <c r="E182" s="1108" t="s">
        <v>1642</v>
      </c>
      <c r="F182" s="1109">
        <v>0.1</v>
      </c>
      <c r="G182" s="1109">
        <v>0.0</v>
      </c>
      <c r="H182" s="1107"/>
    </row>
    <row r="183" ht="18.75" customHeight="1">
      <c r="A183" s="1107"/>
      <c r="B183" s="1108" t="s">
        <v>1285</v>
      </c>
      <c r="C183" s="1108" t="s">
        <v>1291</v>
      </c>
      <c r="D183" s="1108" t="s">
        <v>1643</v>
      </c>
      <c r="E183" s="1108" t="s">
        <v>1644</v>
      </c>
      <c r="F183" s="1109">
        <v>0.1</v>
      </c>
      <c r="G183" s="1109">
        <v>0.0</v>
      </c>
      <c r="H183" s="1107"/>
    </row>
    <row r="184" ht="18.75" customHeight="1">
      <c r="A184" s="1107"/>
      <c r="B184" s="1108" t="s">
        <v>1285</v>
      </c>
      <c r="C184" s="1108" t="s">
        <v>1291</v>
      </c>
      <c r="D184" s="1108" t="s">
        <v>1645</v>
      </c>
      <c r="E184" s="1108" t="s">
        <v>1646</v>
      </c>
      <c r="F184" s="1109">
        <v>0.1</v>
      </c>
      <c r="G184" s="1109">
        <v>0.0</v>
      </c>
      <c r="H184" s="1107"/>
    </row>
    <row r="185" ht="18.75" customHeight="1">
      <c r="A185" s="1107"/>
      <c r="B185" s="1108" t="s">
        <v>1285</v>
      </c>
      <c r="C185" s="1108" t="s">
        <v>1291</v>
      </c>
      <c r="D185" s="1108" t="s">
        <v>1647</v>
      </c>
      <c r="E185" s="1108" t="s">
        <v>1648</v>
      </c>
      <c r="F185" s="1109">
        <v>0.1</v>
      </c>
      <c r="G185" s="1109">
        <v>0.0</v>
      </c>
      <c r="H185" s="1107"/>
    </row>
    <row r="186" ht="18.75" customHeight="1">
      <c r="A186" s="1107"/>
      <c r="B186" s="1108" t="s">
        <v>1285</v>
      </c>
      <c r="C186" s="1108" t="s">
        <v>1291</v>
      </c>
      <c r="D186" s="1108" t="s">
        <v>1649</v>
      </c>
      <c r="E186" s="1108" t="s">
        <v>1650</v>
      </c>
      <c r="F186" s="1109">
        <v>0.1</v>
      </c>
      <c r="G186" s="1109">
        <v>0.0</v>
      </c>
      <c r="H186" s="1107"/>
    </row>
    <row r="187" ht="18.75" customHeight="1">
      <c r="A187" s="1107"/>
      <c r="B187" s="1108" t="s">
        <v>1285</v>
      </c>
      <c r="C187" s="1108" t="s">
        <v>1291</v>
      </c>
      <c r="D187" s="1108" t="s">
        <v>1651</v>
      </c>
      <c r="E187" s="1108" t="s">
        <v>1652</v>
      </c>
      <c r="F187" s="1109">
        <v>0.1</v>
      </c>
      <c r="G187" s="1109">
        <v>0.0</v>
      </c>
      <c r="H187" s="1107"/>
    </row>
    <row r="188" ht="18.75" customHeight="1">
      <c r="A188" s="1107"/>
      <c r="B188" s="1108" t="s">
        <v>1285</v>
      </c>
      <c r="C188" s="1108" t="s">
        <v>1291</v>
      </c>
      <c r="D188" s="1108" t="s">
        <v>1653</v>
      </c>
      <c r="E188" s="1108" t="s">
        <v>1654</v>
      </c>
      <c r="F188" s="1109">
        <v>0.1</v>
      </c>
      <c r="G188" s="1109">
        <v>0.0</v>
      </c>
      <c r="H188" s="1107"/>
    </row>
    <row r="189" ht="18.75" customHeight="1">
      <c r="A189" s="1107"/>
      <c r="B189" s="1108" t="s">
        <v>1285</v>
      </c>
      <c r="C189" s="1108" t="s">
        <v>1291</v>
      </c>
      <c r="D189" s="1108" t="s">
        <v>1655</v>
      </c>
      <c r="E189" s="1108" t="s">
        <v>1656</v>
      </c>
      <c r="F189" s="1109">
        <v>0.1</v>
      </c>
      <c r="G189" s="1109">
        <v>0.0</v>
      </c>
      <c r="H189" s="1107"/>
    </row>
    <row r="190" ht="18.75" customHeight="1">
      <c r="A190" s="1107"/>
      <c r="B190" s="1108" t="s">
        <v>1285</v>
      </c>
      <c r="C190" s="1108" t="s">
        <v>1657</v>
      </c>
      <c r="D190" s="1108" t="s">
        <v>1658</v>
      </c>
      <c r="E190" s="1108" t="s">
        <v>1659</v>
      </c>
      <c r="F190" s="1109">
        <v>0.1</v>
      </c>
      <c r="G190" s="1109">
        <v>0.0</v>
      </c>
      <c r="H190" s="1107"/>
    </row>
    <row r="191" ht="18.75" customHeight="1">
      <c r="A191" s="1107"/>
      <c r="B191" s="1108" t="s">
        <v>1285</v>
      </c>
      <c r="C191" s="1108" t="s">
        <v>1657</v>
      </c>
      <c r="D191" s="1108" t="s">
        <v>1660</v>
      </c>
      <c r="E191" s="1108" t="s">
        <v>1661</v>
      </c>
      <c r="F191" s="1109">
        <v>0.1</v>
      </c>
      <c r="G191" s="1109">
        <v>0.0</v>
      </c>
      <c r="H191" s="1107"/>
    </row>
    <row r="192" ht="18.75" customHeight="1">
      <c r="A192" s="1107"/>
      <c r="B192" s="1108" t="s">
        <v>1285</v>
      </c>
      <c r="C192" s="1108" t="s">
        <v>1657</v>
      </c>
      <c r="D192" s="1108" t="s">
        <v>1662</v>
      </c>
      <c r="E192" s="1108" t="s">
        <v>1663</v>
      </c>
      <c r="F192" s="1109">
        <v>0.1</v>
      </c>
      <c r="G192" s="1109">
        <v>0.0</v>
      </c>
      <c r="H192" s="1107"/>
    </row>
    <row r="193" ht="18.75" customHeight="1">
      <c r="A193" s="1107"/>
      <c r="B193" s="1108" t="s">
        <v>1285</v>
      </c>
      <c r="C193" s="1108" t="s">
        <v>1657</v>
      </c>
      <c r="D193" s="1108" t="s">
        <v>1664</v>
      </c>
      <c r="E193" s="1108" t="s">
        <v>1665</v>
      </c>
      <c r="F193" s="1109">
        <v>0.1</v>
      </c>
      <c r="G193" s="1109">
        <v>0.0</v>
      </c>
      <c r="H193" s="1107"/>
    </row>
    <row r="194" ht="18.75" customHeight="1">
      <c r="A194" s="1107"/>
      <c r="B194" s="1108" t="s">
        <v>1285</v>
      </c>
      <c r="C194" s="1108" t="s">
        <v>1657</v>
      </c>
      <c r="D194" s="1108" t="s">
        <v>1666</v>
      </c>
      <c r="E194" s="1108" t="s">
        <v>1667</v>
      </c>
      <c r="F194" s="1109">
        <v>0.1</v>
      </c>
      <c r="G194" s="1109">
        <v>0.0</v>
      </c>
      <c r="H194" s="1107"/>
    </row>
    <row r="195" ht="18.75" customHeight="1">
      <c r="A195" s="1107"/>
      <c r="B195" s="1108" t="s">
        <v>1285</v>
      </c>
      <c r="C195" s="1108" t="s">
        <v>1657</v>
      </c>
      <c r="D195" s="1108" t="s">
        <v>1668</v>
      </c>
      <c r="E195" s="1108" t="s">
        <v>1669</v>
      </c>
      <c r="F195" s="1109">
        <v>0.1</v>
      </c>
      <c r="G195" s="1109">
        <v>0.0</v>
      </c>
      <c r="H195" s="1107"/>
    </row>
    <row r="196" ht="18.75" customHeight="1">
      <c r="A196" s="1107"/>
      <c r="B196" s="1108" t="s">
        <v>1285</v>
      </c>
      <c r="C196" s="1108" t="s">
        <v>1657</v>
      </c>
      <c r="D196" s="1108" t="s">
        <v>1670</v>
      </c>
      <c r="E196" s="1108" t="s">
        <v>1671</v>
      </c>
      <c r="F196" s="1109">
        <v>0.1</v>
      </c>
      <c r="G196" s="1109">
        <v>0.0</v>
      </c>
      <c r="H196" s="1107"/>
    </row>
    <row r="197" ht="18.75" customHeight="1">
      <c r="A197" s="1107"/>
      <c r="B197" s="1108" t="s">
        <v>1285</v>
      </c>
      <c r="C197" s="1108" t="s">
        <v>1657</v>
      </c>
      <c r="D197" s="1108" t="s">
        <v>1672</v>
      </c>
      <c r="E197" s="1108" t="s">
        <v>1673</v>
      </c>
      <c r="F197" s="1109">
        <v>0.1</v>
      </c>
      <c r="G197" s="1109">
        <v>0.0</v>
      </c>
      <c r="H197" s="1107"/>
    </row>
    <row r="198" ht="18.75" customHeight="1">
      <c r="A198" s="1107"/>
      <c r="B198" s="1108" t="s">
        <v>1285</v>
      </c>
      <c r="C198" s="1108" t="s">
        <v>1657</v>
      </c>
      <c r="D198" s="1108" t="s">
        <v>1674</v>
      </c>
      <c r="E198" s="1108" t="s">
        <v>1675</v>
      </c>
      <c r="F198" s="1109">
        <v>0.1</v>
      </c>
      <c r="G198" s="1109">
        <v>0.0</v>
      </c>
      <c r="H198" s="1107"/>
    </row>
    <row r="199" ht="18.75" customHeight="1">
      <c r="A199" s="1107"/>
      <c r="B199" s="1108" t="s">
        <v>1285</v>
      </c>
      <c r="C199" s="1108" t="s">
        <v>1657</v>
      </c>
      <c r="D199" s="1108" t="s">
        <v>1676</v>
      </c>
      <c r="E199" s="1108" t="s">
        <v>1677</v>
      </c>
      <c r="F199" s="1109">
        <v>0.1</v>
      </c>
      <c r="G199" s="1109">
        <v>0.0</v>
      </c>
      <c r="H199" s="1107"/>
    </row>
    <row r="200" ht="18.75" customHeight="1">
      <c r="A200" s="1107"/>
      <c r="B200" s="1108" t="s">
        <v>1285</v>
      </c>
      <c r="C200" s="1108" t="s">
        <v>1657</v>
      </c>
      <c r="D200" s="1108" t="s">
        <v>1678</v>
      </c>
      <c r="E200" s="1108" t="s">
        <v>1679</v>
      </c>
      <c r="F200" s="1109">
        <v>0.1</v>
      </c>
      <c r="G200" s="1109">
        <v>0.0</v>
      </c>
      <c r="H200" s="1107"/>
    </row>
    <row r="201" ht="18.75" customHeight="1">
      <c r="A201" s="1107"/>
      <c r="B201" s="1108" t="s">
        <v>1285</v>
      </c>
      <c r="C201" s="1108" t="s">
        <v>1657</v>
      </c>
      <c r="D201" s="1108" t="s">
        <v>1680</v>
      </c>
      <c r="E201" s="1108" t="s">
        <v>1681</v>
      </c>
      <c r="F201" s="1109">
        <v>0.1</v>
      </c>
      <c r="G201" s="1109">
        <v>0.0</v>
      </c>
      <c r="H201" s="1107"/>
    </row>
    <row r="202" ht="18.75" customHeight="1">
      <c r="A202" s="1107"/>
      <c r="B202" s="1108" t="s">
        <v>1285</v>
      </c>
      <c r="C202" s="1108" t="s">
        <v>1657</v>
      </c>
      <c r="D202" s="1108" t="s">
        <v>1682</v>
      </c>
      <c r="E202" s="1108" t="s">
        <v>1683</v>
      </c>
      <c r="F202" s="1109">
        <v>0.1</v>
      </c>
      <c r="G202" s="1109">
        <v>0.0</v>
      </c>
      <c r="H202" s="1107"/>
    </row>
    <row r="203" ht="18.75" customHeight="1">
      <c r="A203" s="1107"/>
      <c r="B203" s="1108" t="s">
        <v>1285</v>
      </c>
      <c r="C203" s="1108" t="s">
        <v>1657</v>
      </c>
      <c r="D203" s="1108" t="s">
        <v>1684</v>
      </c>
      <c r="E203" s="1108" t="s">
        <v>1685</v>
      </c>
      <c r="F203" s="1109">
        <v>0.1</v>
      </c>
      <c r="G203" s="1109">
        <v>0.0</v>
      </c>
      <c r="H203" s="1107"/>
    </row>
    <row r="204" ht="18.75" customHeight="1">
      <c r="A204" s="1107"/>
      <c r="B204" s="1108" t="s">
        <v>1285</v>
      </c>
      <c r="C204" s="1108" t="s">
        <v>1657</v>
      </c>
      <c r="D204" s="1108" t="s">
        <v>1686</v>
      </c>
      <c r="E204" s="1108" t="s">
        <v>1687</v>
      </c>
      <c r="F204" s="1109">
        <v>0.1</v>
      </c>
      <c r="G204" s="1109">
        <v>0.0</v>
      </c>
      <c r="H204" s="1107"/>
    </row>
    <row r="205" ht="18.75" customHeight="1">
      <c r="A205" s="1107"/>
      <c r="B205" s="1108" t="s">
        <v>1285</v>
      </c>
      <c r="C205" s="1108" t="s">
        <v>1657</v>
      </c>
      <c r="D205" s="1108" t="s">
        <v>1688</v>
      </c>
      <c r="E205" s="1108" t="s">
        <v>1689</v>
      </c>
      <c r="F205" s="1109">
        <v>0.1</v>
      </c>
      <c r="G205" s="1109">
        <v>0.0</v>
      </c>
      <c r="H205" s="1107"/>
    </row>
    <row r="206" ht="18.75" customHeight="1">
      <c r="A206" s="1107"/>
      <c r="B206" s="1108" t="s">
        <v>1285</v>
      </c>
      <c r="C206" s="1108" t="s">
        <v>1657</v>
      </c>
      <c r="D206" s="1108" t="s">
        <v>1690</v>
      </c>
      <c r="E206" s="1108" t="s">
        <v>1691</v>
      </c>
      <c r="F206" s="1109">
        <v>0.1</v>
      </c>
      <c r="G206" s="1109">
        <v>0.0</v>
      </c>
      <c r="H206" s="1107"/>
    </row>
    <row r="207" ht="18.75" customHeight="1">
      <c r="A207" s="1107"/>
      <c r="B207" s="1108" t="s">
        <v>1285</v>
      </c>
      <c r="C207" s="1108" t="s">
        <v>1657</v>
      </c>
      <c r="D207" s="1108" t="s">
        <v>1692</v>
      </c>
      <c r="E207" s="1108" t="s">
        <v>1693</v>
      </c>
      <c r="F207" s="1109">
        <v>0.1</v>
      </c>
      <c r="G207" s="1109">
        <v>0.0</v>
      </c>
      <c r="H207" s="1107"/>
    </row>
    <row r="208" ht="18.75" customHeight="1">
      <c r="A208" s="1107"/>
      <c r="B208" s="1108" t="s">
        <v>1285</v>
      </c>
      <c r="C208" s="1108" t="s">
        <v>1657</v>
      </c>
      <c r="D208" s="1108" t="s">
        <v>1694</v>
      </c>
      <c r="E208" s="1108" t="s">
        <v>1695</v>
      </c>
      <c r="F208" s="1109">
        <v>0.1</v>
      </c>
      <c r="G208" s="1109">
        <v>0.0</v>
      </c>
      <c r="H208" s="1107"/>
    </row>
    <row r="209" ht="18.75" customHeight="1">
      <c r="A209" s="1107"/>
      <c r="B209" s="1108" t="s">
        <v>1285</v>
      </c>
      <c r="C209" s="1108" t="s">
        <v>1657</v>
      </c>
      <c r="D209" s="1108" t="s">
        <v>1696</v>
      </c>
      <c r="E209" s="1108" t="s">
        <v>1697</v>
      </c>
      <c r="F209" s="1109">
        <v>0.1</v>
      </c>
      <c r="G209" s="1109">
        <v>0.0</v>
      </c>
      <c r="H209" s="1107"/>
    </row>
    <row r="210" ht="18.75" customHeight="1">
      <c r="A210" s="1107"/>
      <c r="B210" s="1108" t="s">
        <v>1285</v>
      </c>
      <c r="C210" s="1108" t="s">
        <v>1657</v>
      </c>
      <c r="D210" s="1108" t="s">
        <v>1698</v>
      </c>
      <c r="E210" s="1108" t="s">
        <v>1699</v>
      </c>
      <c r="F210" s="1109">
        <v>0.1</v>
      </c>
      <c r="G210" s="1109">
        <v>0.0</v>
      </c>
      <c r="H210" s="1107"/>
    </row>
    <row r="211" ht="18.75" customHeight="1">
      <c r="A211" s="1107"/>
      <c r="B211" s="1108" t="s">
        <v>1285</v>
      </c>
      <c r="C211" s="1108" t="s">
        <v>1657</v>
      </c>
      <c r="D211" s="1108" t="s">
        <v>1700</v>
      </c>
      <c r="E211" s="1108" t="s">
        <v>1701</v>
      </c>
      <c r="F211" s="1109">
        <v>0.1</v>
      </c>
      <c r="G211" s="1109">
        <v>0.0</v>
      </c>
      <c r="H211" s="1107"/>
    </row>
    <row r="212" ht="18.75" customHeight="1">
      <c r="A212" s="1107"/>
      <c r="B212" s="1108" t="s">
        <v>1285</v>
      </c>
      <c r="C212" s="1108" t="s">
        <v>1657</v>
      </c>
      <c r="D212" s="1108" t="s">
        <v>1702</v>
      </c>
      <c r="E212" s="1108" t="s">
        <v>1703</v>
      </c>
      <c r="F212" s="1109">
        <v>0.1</v>
      </c>
      <c r="G212" s="1109">
        <v>0.0</v>
      </c>
      <c r="H212" s="1107"/>
    </row>
    <row r="213" ht="18.75" customHeight="1">
      <c r="A213" s="1107"/>
      <c r="B213" s="1108" t="s">
        <v>1285</v>
      </c>
      <c r="C213" s="1108" t="s">
        <v>1657</v>
      </c>
      <c r="D213" s="1108" t="s">
        <v>1704</v>
      </c>
      <c r="E213" s="1108" t="s">
        <v>1705</v>
      </c>
      <c r="F213" s="1109">
        <v>0.1</v>
      </c>
      <c r="G213" s="1109">
        <v>0.0</v>
      </c>
      <c r="H213" s="1107"/>
    </row>
    <row r="214" ht="18.75" customHeight="1">
      <c r="A214" s="1107"/>
      <c r="B214" s="1108" t="s">
        <v>1285</v>
      </c>
      <c r="C214" s="1108" t="s">
        <v>1657</v>
      </c>
      <c r="D214" s="1108" t="s">
        <v>1706</v>
      </c>
      <c r="E214" s="1108" t="s">
        <v>1707</v>
      </c>
      <c r="F214" s="1109">
        <v>0.1</v>
      </c>
      <c r="G214" s="1109">
        <v>0.0</v>
      </c>
      <c r="H214" s="1107"/>
    </row>
    <row r="215" ht="18.75" customHeight="1">
      <c r="A215" s="1107"/>
      <c r="B215" s="1108" t="s">
        <v>1285</v>
      </c>
      <c r="C215" s="1108" t="s">
        <v>1657</v>
      </c>
      <c r="D215" s="1108" t="s">
        <v>1708</v>
      </c>
      <c r="E215" s="1108" t="s">
        <v>1709</v>
      </c>
      <c r="F215" s="1109">
        <v>0.1</v>
      </c>
      <c r="G215" s="1109">
        <v>0.0</v>
      </c>
      <c r="H215" s="1107"/>
    </row>
    <row r="216" ht="18.75" customHeight="1">
      <c r="A216" s="1107"/>
      <c r="B216" s="1108" t="s">
        <v>1285</v>
      </c>
      <c r="C216" s="1108" t="s">
        <v>1657</v>
      </c>
      <c r="D216" s="1108" t="s">
        <v>1710</v>
      </c>
      <c r="E216" s="1108" t="s">
        <v>1711</v>
      </c>
      <c r="F216" s="1109">
        <v>0.1</v>
      </c>
      <c r="G216" s="1109">
        <v>0.0</v>
      </c>
      <c r="H216" s="1107"/>
    </row>
    <row r="217" ht="18.75" customHeight="1">
      <c r="A217" s="1107"/>
      <c r="B217" s="1108" t="s">
        <v>1285</v>
      </c>
      <c r="C217" s="1108" t="s">
        <v>1657</v>
      </c>
      <c r="D217" s="1108" t="s">
        <v>1712</v>
      </c>
      <c r="E217" s="1108" t="s">
        <v>1713</v>
      </c>
      <c r="F217" s="1109">
        <v>0.1</v>
      </c>
      <c r="G217" s="1109">
        <v>0.0</v>
      </c>
      <c r="H217" s="1107"/>
    </row>
    <row r="218" ht="18.75" customHeight="1">
      <c r="A218" s="1107"/>
      <c r="B218" s="1108" t="s">
        <v>1285</v>
      </c>
      <c r="C218" s="1108" t="s">
        <v>1657</v>
      </c>
      <c r="D218" s="1108" t="s">
        <v>1714</v>
      </c>
      <c r="E218" s="1108" t="s">
        <v>1715</v>
      </c>
      <c r="F218" s="1109">
        <v>0.1</v>
      </c>
      <c r="G218" s="1109">
        <v>0.0</v>
      </c>
      <c r="H218" s="1107"/>
    </row>
    <row r="219" ht="18.75" customHeight="1">
      <c r="A219" s="1107"/>
      <c r="B219" s="1108" t="s">
        <v>1285</v>
      </c>
      <c r="C219" s="1108" t="s">
        <v>1657</v>
      </c>
      <c r="D219" s="1108" t="s">
        <v>1716</v>
      </c>
      <c r="E219" s="1108" t="s">
        <v>1717</v>
      </c>
      <c r="F219" s="1109">
        <v>0.1</v>
      </c>
      <c r="G219" s="1109">
        <v>0.0</v>
      </c>
      <c r="H219" s="1107"/>
    </row>
    <row r="220" ht="18.75" customHeight="1">
      <c r="A220" s="1107"/>
      <c r="B220" s="1108" t="s">
        <v>1285</v>
      </c>
      <c r="C220" s="1108" t="s">
        <v>1657</v>
      </c>
      <c r="D220" s="1108" t="s">
        <v>1718</v>
      </c>
      <c r="E220" s="1108" t="s">
        <v>1719</v>
      </c>
      <c r="F220" s="1109">
        <v>0.1</v>
      </c>
      <c r="G220" s="1109">
        <v>0.0</v>
      </c>
      <c r="H220" s="1107"/>
    </row>
    <row r="221" ht="18.75" customHeight="1">
      <c r="A221" s="1107"/>
      <c r="B221" s="1108" t="s">
        <v>1285</v>
      </c>
      <c r="C221" s="1108" t="s">
        <v>1657</v>
      </c>
      <c r="D221" s="1108" t="s">
        <v>1720</v>
      </c>
      <c r="E221" s="1108" t="s">
        <v>1721</v>
      </c>
      <c r="F221" s="1109">
        <v>0.1</v>
      </c>
      <c r="G221" s="1109">
        <v>0.0</v>
      </c>
      <c r="H221" s="1107"/>
    </row>
    <row r="222" ht="18.75" customHeight="1">
      <c r="A222" s="1107"/>
      <c r="B222" s="1108" t="s">
        <v>1285</v>
      </c>
      <c r="C222" s="1108" t="s">
        <v>1657</v>
      </c>
      <c r="D222" s="1108" t="s">
        <v>1722</v>
      </c>
      <c r="E222" s="1108" t="s">
        <v>1723</v>
      </c>
      <c r="F222" s="1109">
        <v>0.1</v>
      </c>
      <c r="G222" s="1109">
        <v>0.0</v>
      </c>
      <c r="H222" s="1107"/>
    </row>
    <row r="223" ht="18.75" customHeight="1">
      <c r="A223" s="1107"/>
      <c r="B223" s="1108" t="s">
        <v>1285</v>
      </c>
      <c r="C223" s="1108" t="s">
        <v>1657</v>
      </c>
      <c r="D223" s="1108" t="s">
        <v>1724</v>
      </c>
      <c r="E223" s="1108" t="s">
        <v>1725</v>
      </c>
      <c r="F223" s="1109">
        <v>0.1</v>
      </c>
      <c r="G223" s="1109">
        <v>0.0</v>
      </c>
      <c r="H223" s="1107"/>
    </row>
    <row r="224" ht="18.75" customHeight="1">
      <c r="A224" s="1107"/>
      <c r="B224" s="1108" t="s">
        <v>1285</v>
      </c>
      <c r="C224" s="1108" t="s">
        <v>1657</v>
      </c>
      <c r="D224" s="1108" t="s">
        <v>1726</v>
      </c>
      <c r="E224" s="1108" t="s">
        <v>1727</v>
      </c>
      <c r="F224" s="1109">
        <v>0.1</v>
      </c>
      <c r="G224" s="1109">
        <v>0.0</v>
      </c>
      <c r="H224" s="1107"/>
    </row>
    <row r="225" ht="18.75" customHeight="1">
      <c r="A225" s="1107"/>
      <c r="B225" s="1108" t="s">
        <v>1285</v>
      </c>
      <c r="C225" s="1108" t="s">
        <v>1657</v>
      </c>
      <c r="D225" s="1108" t="s">
        <v>1728</v>
      </c>
      <c r="E225" s="1108" t="s">
        <v>1729</v>
      </c>
      <c r="F225" s="1109">
        <v>0.1</v>
      </c>
      <c r="G225" s="1109">
        <v>0.0</v>
      </c>
      <c r="H225" s="1107"/>
    </row>
    <row r="226" ht="18.75" customHeight="1">
      <c r="A226" s="1107"/>
      <c r="B226" s="1108" t="s">
        <v>1285</v>
      </c>
      <c r="C226" s="1108" t="s">
        <v>1657</v>
      </c>
      <c r="D226" s="1108" t="s">
        <v>1730</v>
      </c>
      <c r="E226" s="1108" t="s">
        <v>1731</v>
      </c>
      <c r="F226" s="1109">
        <v>0.1</v>
      </c>
      <c r="G226" s="1109">
        <v>0.0</v>
      </c>
      <c r="H226" s="1107"/>
    </row>
    <row r="227" ht="18.75" customHeight="1">
      <c r="A227" s="1107"/>
      <c r="B227" s="1108" t="s">
        <v>1285</v>
      </c>
      <c r="C227" s="1108" t="s">
        <v>1657</v>
      </c>
      <c r="D227" s="1108" t="s">
        <v>1732</v>
      </c>
      <c r="E227" s="1108" t="s">
        <v>1733</v>
      </c>
      <c r="F227" s="1109">
        <v>0.1</v>
      </c>
      <c r="G227" s="1109">
        <v>0.0</v>
      </c>
      <c r="H227" s="1107"/>
    </row>
    <row r="228" ht="18.75" customHeight="1">
      <c r="A228" s="1107"/>
      <c r="B228" s="1108" t="s">
        <v>1285</v>
      </c>
      <c r="C228" s="1108" t="s">
        <v>1657</v>
      </c>
      <c r="D228" s="1108" t="s">
        <v>1734</v>
      </c>
      <c r="E228" s="1108" t="s">
        <v>1735</v>
      </c>
      <c r="F228" s="1109">
        <v>0.1</v>
      </c>
      <c r="G228" s="1109">
        <v>0.0</v>
      </c>
      <c r="H228" s="1107"/>
    </row>
    <row r="229" ht="18.75" customHeight="1">
      <c r="A229" s="1107"/>
      <c r="B229" s="1108" t="s">
        <v>1285</v>
      </c>
      <c r="C229" s="1108" t="s">
        <v>1657</v>
      </c>
      <c r="D229" s="1108" t="s">
        <v>1736</v>
      </c>
      <c r="E229" s="1108" t="s">
        <v>1737</v>
      </c>
      <c r="F229" s="1109">
        <v>0.1</v>
      </c>
      <c r="G229" s="1109">
        <v>0.0</v>
      </c>
      <c r="H229" s="1107"/>
    </row>
    <row r="230" ht="18.75" customHeight="1">
      <c r="A230" s="1107"/>
      <c r="B230" s="1108" t="s">
        <v>1285</v>
      </c>
      <c r="C230" s="1108" t="s">
        <v>1657</v>
      </c>
      <c r="D230" s="1108" t="s">
        <v>1738</v>
      </c>
      <c r="E230" s="1108" t="s">
        <v>1739</v>
      </c>
      <c r="F230" s="1109">
        <v>0.1</v>
      </c>
      <c r="G230" s="1109">
        <v>0.0</v>
      </c>
      <c r="H230" s="1107"/>
    </row>
    <row r="231" ht="18.75" customHeight="1">
      <c r="A231" s="1107"/>
      <c r="B231" s="1108" t="s">
        <v>1285</v>
      </c>
      <c r="C231" s="1108" t="s">
        <v>1657</v>
      </c>
      <c r="D231" s="1108" t="s">
        <v>1740</v>
      </c>
      <c r="E231" s="1108" t="s">
        <v>1741</v>
      </c>
      <c r="F231" s="1109">
        <v>0.1</v>
      </c>
      <c r="G231" s="1109">
        <v>0.0</v>
      </c>
      <c r="H231" s="1107"/>
    </row>
    <row r="232" ht="18.75" customHeight="1">
      <c r="A232" s="1107"/>
      <c r="B232" s="1108" t="s">
        <v>1285</v>
      </c>
      <c r="C232" s="1108" t="s">
        <v>1657</v>
      </c>
      <c r="D232" s="1108" t="s">
        <v>1742</v>
      </c>
      <c r="E232" s="1108" t="s">
        <v>1743</v>
      </c>
      <c r="F232" s="1109">
        <v>0.1</v>
      </c>
      <c r="G232" s="1109">
        <v>0.0</v>
      </c>
      <c r="H232" s="1107"/>
    </row>
    <row r="233" ht="18.75" customHeight="1">
      <c r="A233" s="1107"/>
      <c r="B233" s="1108" t="s">
        <v>1285</v>
      </c>
      <c r="C233" s="1108" t="s">
        <v>1657</v>
      </c>
      <c r="D233" s="1108" t="s">
        <v>1744</v>
      </c>
      <c r="E233" s="1108" t="s">
        <v>1745</v>
      </c>
      <c r="F233" s="1109">
        <v>0.1</v>
      </c>
      <c r="G233" s="1109">
        <v>0.0</v>
      </c>
      <c r="H233" s="1107"/>
    </row>
    <row r="234" ht="18.75" customHeight="1">
      <c r="A234" s="1107"/>
      <c r="B234" s="1108" t="s">
        <v>1285</v>
      </c>
      <c r="C234" s="1108" t="s">
        <v>1657</v>
      </c>
      <c r="D234" s="1108" t="s">
        <v>1746</v>
      </c>
      <c r="E234" s="1108" t="s">
        <v>1747</v>
      </c>
      <c r="F234" s="1109">
        <v>0.1</v>
      </c>
      <c r="G234" s="1109">
        <v>0.0</v>
      </c>
      <c r="H234" s="1107"/>
    </row>
    <row r="235" ht="18.75" customHeight="1">
      <c r="A235" s="1107"/>
      <c r="B235" s="1108" t="s">
        <v>1285</v>
      </c>
      <c r="C235" s="1108" t="s">
        <v>1657</v>
      </c>
      <c r="D235" s="1108" t="s">
        <v>1748</v>
      </c>
      <c r="E235" s="1108" t="s">
        <v>1749</v>
      </c>
      <c r="F235" s="1109">
        <v>0.1</v>
      </c>
      <c r="G235" s="1109">
        <v>0.0</v>
      </c>
      <c r="H235" s="1107"/>
    </row>
    <row r="236" ht="18.75" customHeight="1">
      <c r="A236" s="1107"/>
      <c r="B236" s="1108" t="s">
        <v>1285</v>
      </c>
      <c r="C236" s="1108" t="s">
        <v>1657</v>
      </c>
      <c r="D236" s="1108" t="s">
        <v>1750</v>
      </c>
      <c r="E236" s="1108" t="s">
        <v>1751</v>
      </c>
      <c r="F236" s="1109">
        <v>0.1</v>
      </c>
      <c r="G236" s="1109">
        <v>0.0</v>
      </c>
      <c r="H236" s="1107"/>
    </row>
    <row r="237" ht="18.75" customHeight="1">
      <c r="A237" s="1107"/>
      <c r="B237" s="1108" t="s">
        <v>1285</v>
      </c>
      <c r="C237" s="1108" t="s">
        <v>1657</v>
      </c>
      <c r="D237" s="1108" t="s">
        <v>1752</v>
      </c>
      <c r="E237" s="1108" t="s">
        <v>1753</v>
      </c>
      <c r="F237" s="1109">
        <v>0.1</v>
      </c>
      <c r="G237" s="1109">
        <v>0.0</v>
      </c>
      <c r="H237" s="1107"/>
    </row>
    <row r="238" ht="18.75" customHeight="1">
      <c r="A238" s="1107"/>
      <c r="B238" s="1108" t="s">
        <v>1285</v>
      </c>
      <c r="C238" s="1108" t="s">
        <v>1657</v>
      </c>
      <c r="D238" s="1108" t="s">
        <v>1754</v>
      </c>
      <c r="E238" s="1108" t="s">
        <v>1755</v>
      </c>
      <c r="F238" s="1109">
        <v>0.1</v>
      </c>
      <c r="G238" s="1109">
        <v>0.0</v>
      </c>
      <c r="H238" s="1107"/>
    </row>
    <row r="239" ht="18.75" customHeight="1">
      <c r="A239" s="1107"/>
      <c r="B239" s="1108" t="s">
        <v>1285</v>
      </c>
      <c r="C239" s="1108" t="s">
        <v>1657</v>
      </c>
      <c r="D239" s="1108" t="s">
        <v>1756</v>
      </c>
      <c r="E239" s="1108" t="s">
        <v>1757</v>
      </c>
      <c r="F239" s="1109">
        <v>0.1</v>
      </c>
      <c r="G239" s="1109">
        <v>0.0</v>
      </c>
      <c r="H239" s="1107"/>
    </row>
    <row r="240" ht="18.75" customHeight="1">
      <c r="A240" s="1107"/>
      <c r="B240" s="1108" t="s">
        <v>1285</v>
      </c>
      <c r="C240" s="1108" t="s">
        <v>1657</v>
      </c>
      <c r="D240" s="1108" t="s">
        <v>1758</v>
      </c>
      <c r="E240" s="1108" t="s">
        <v>1759</v>
      </c>
      <c r="F240" s="1109">
        <v>0.1</v>
      </c>
      <c r="G240" s="1109">
        <v>0.0</v>
      </c>
      <c r="H240" s="1107"/>
    </row>
    <row r="241" ht="18.75" customHeight="1">
      <c r="A241" s="1107"/>
      <c r="B241" s="1108" t="s">
        <v>1285</v>
      </c>
      <c r="C241" s="1108" t="s">
        <v>1657</v>
      </c>
      <c r="D241" s="1108" t="s">
        <v>1760</v>
      </c>
      <c r="E241" s="1108" t="s">
        <v>1761</v>
      </c>
      <c r="F241" s="1109">
        <v>0.1</v>
      </c>
      <c r="G241" s="1109">
        <v>0.0</v>
      </c>
      <c r="H241" s="1107"/>
    </row>
    <row r="242" ht="18.75" customHeight="1">
      <c r="A242" s="1107"/>
      <c r="B242" s="1108" t="s">
        <v>1285</v>
      </c>
      <c r="C242" s="1108" t="s">
        <v>1657</v>
      </c>
      <c r="D242" s="1108" t="s">
        <v>1762</v>
      </c>
      <c r="E242" s="1108" t="s">
        <v>1763</v>
      </c>
      <c r="F242" s="1109">
        <v>0.1</v>
      </c>
      <c r="G242" s="1109">
        <v>0.0</v>
      </c>
      <c r="H242" s="1107"/>
    </row>
    <row r="243" ht="18.75" customHeight="1">
      <c r="A243" s="1107"/>
      <c r="B243" s="1108" t="s">
        <v>1285</v>
      </c>
      <c r="C243" s="1108" t="s">
        <v>1657</v>
      </c>
      <c r="D243" s="1108" t="s">
        <v>1764</v>
      </c>
      <c r="E243" s="1108" t="s">
        <v>1765</v>
      </c>
      <c r="F243" s="1109">
        <v>0.1</v>
      </c>
      <c r="G243" s="1109">
        <v>0.0</v>
      </c>
      <c r="H243" s="1107"/>
    </row>
    <row r="244" ht="18.75" customHeight="1">
      <c r="A244" s="1107"/>
      <c r="B244" s="1108" t="s">
        <v>1285</v>
      </c>
      <c r="C244" s="1108" t="s">
        <v>1657</v>
      </c>
      <c r="D244" s="1108" t="s">
        <v>1766</v>
      </c>
      <c r="E244" s="1108" t="s">
        <v>1767</v>
      </c>
      <c r="F244" s="1109">
        <v>0.1</v>
      </c>
      <c r="G244" s="1109">
        <v>0.0</v>
      </c>
      <c r="H244" s="1107"/>
    </row>
    <row r="245" ht="18.75" customHeight="1">
      <c r="A245" s="1107"/>
      <c r="B245" s="1108" t="s">
        <v>1285</v>
      </c>
      <c r="C245" s="1108" t="s">
        <v>1657</v>
      </c>
      <c r="D245" s="1108" t="s">
        <v>1768</v>
      </c>
      <c r="E245" s="1108" t="s">
        <v>1769</v>
      </c>
      <c r="F245" s="1109">
        <v>0.1</v>
      </c>
      <c r="G245" s="1109">
        <v>0.0</v>
      </c>
      <c r="H245" s="1107"/>
    </row>
    <row r="246" ht="18.75" customHeight="1">
      <c r="A246" s="1107"/>
      <c r="B246" s="1108" t="s">
        <v>1285</v>
      </c>
      <c r="C246" s="1108" t="s">
        <v>1657</v>
      </c>
      <c r="D246" s="1108" t="s">
        <v>1770</v>
      </c>
      <c r="E246" s="1108" t="s">
        <v>1771</v>
      </c>
      <c r="F246" s="1109">
        <v>0.1</v>
      </c>
      <c r="G246" s="1109">
        <v>0.0</v>
      </c>
      <c r="H246" s="1107"/>
    </row>
    <row r="247" ht="18.75" customHeight="1">
      <c r="A247" s="1107"/>
      <c r="B247" s="1108" t="s">
        <v>1285</v>
      </c>
      <c r="C247" s="1108" t="s">
        <v>1657</v>
      </c>
      <c r="D247" s="1108" t="s">
        <v>1772</v>
      </c>
      <c r="E247" s="1108" t="s">
        <v>1773</v>
      </c>
      <c r="F247" s="1109">
        <v>0.1</v>
      </c>
      <c r="G247" s="1109">
        <v>0.0</v>
      </c>
      <c r="H247" s="1107"/>
    </row>
    <row r="248" ht="18.75" customHeight="1">
      <c r="A248" s="1107"/>
      <c r="B248" s="1108" t="s">
        <v>1285</v>
      </c>
      <c r="C248" s="1108" t="s">
        <v>1657</v>
      </c>
      <c r="D248" s="1108" t="s">
        <v>1774</v>
      </c>
      <c r="E248" s="1108" t="s">
        <v>1775</v>
      </c>
      <c r="F248" s="1109">
        <v>0.1</v>
      </c>
      <c r="G248" s="1109">
        <v>0.0</v>
      </c>
      <c r="H248" s="1107"/>
    </row>
    <row r="249" ht="18.75" customHeight="1">
      <c r="A249" s="1107"/>
      <c r="B249" s="1108" t="s">
        <v>1285</v>
      </c>
      <c r="C249" s="1108" t="s">
        <v>1657</v>
      </c>
      <c r="D249" s="1108" t="s">
        <v>1776</v>
      </c>
      <c r="E249" s="1108" t="s">
        <v>1777</v>
      </c>
      <c r="F249" s="1109">
        <v>0.1</v>
      </c>
      <c r="G249" s="1109">
        <v>0.0</v>
      </c>
      <c r="H249" s="1107"/>
    </row>
    <row r="250" ht="18.75" customHeight="1">
      <c r="A250" s="1107"/>
      <c r="B250" s="1108" t="s">
        <v>1285</v>
      </c>
      <c r="C250" s="1108" t="s">
        <v>1657</v>
      </c>
      <c r="D250" s="1108" t="s">
        <v>1778</v>
      </c>
      <c r="E250" s="1108" t="s">
        <v>1779</v>
      </c>
      <c r="F250" s="1109">
        <v>0.1</v>
      </c>
      <c r="G250" s="1109">
        <v>0.0</v>
      </c>
      <c r="H250" s="1107"/>
    </row>
    <row r="251" ht="18.75" customHeight="1">
      <c r="A251" s="1107"/>
      <c r="B251" s="1108" t="s">
        <v>1285</v>
      </c>
      <c r="C251" s="1108" t="s">
        <v>1657</v>
      </c>
      <c r="D251" s="1108" t="s">
        <v>1780</v>
      </c>
      <c r="E251" s="1108" t="s">
        <v>1781</v>
      </c>
      <c r="F251" s="1109">
        <v>0.1</v>
      </c>
      <c r="G251" s="1109">
        <v>0.0</v>
      </c>
      <c r="H251" s="1107"/>
    </row>
    <row r="252" ht="18.75" customHeight="1">
      <c r="A252" s="1107"/>
      <c r="B252" s="1108" t="s">
        <v>1285</v>
      </c>
      <c r="C252" s="1108" t="s">
        <v>1657</v>
      </c>
      <c r="D252" s="1108" t="s">
        <v>1782</v>
      </c>
      <c r="E252" s="1108" t="s">
        <v>1783</v>
      </c>
      <c r="F252" s="1109">
        <v>0.1</v>
      </c>
      <c r="G252" s="1109">
        <v>0.0</v>
      </c>
      <c r="H252" s="1107"/>
    </row>
    <row r="253" ht="18.75" customHeight="1">
      <c r="A253" s="1107"/>
      <c r="B253" s="1108" t="s">
        <v>1285</v>
      </c>
      <c r="C253" s="1108" t="s">
        <v>1657</v>
      </c>
      <c r="D253" s="1108" t="s">
        <v>1784</v>
      </c>
      <c r="E253" s="1108" t="s">
        <v>1785</v>
      </c>
      <c r="F253" s="1109">
        <v>0.1</v>
      </c>
      <c r="G253" s="1109">
        <v>0.0</v>
      </c>
      <c r="H253" s="1107"/>
    </row>
    <row r="254" ht="18.75" customHeight="1">
      <c r="A254" s="1107"/>
      <c r="B254" s="1108" t="s">
        <v>1285</v>
      </c>
      <c r="C254" s="1108" t="s">
        <v>1657</v>
      </c>
      <c r="D254" s="1108" t="s">
        <v>1786</v>
      </c>
      <c r="E254" s="1108" t="s">
        <v>1787</v>
      </c>
      <c r="F254" s="1109">
        <v>0.1</v>
      </c>
      <c r="G254" s="1109">
        <v>0.0</v>
      </c>
      <c r="H254" s="1107"/>
    </row>
    <row r="255" ht="18.75" customHeight="1">
      <c r="A255" s="1107"/>
      <c r="B255" s="1108" t="s">
        <v>1285</v>
      </c>
      <c r="C255" s="1108" t="s">
        <v>1657</v>
      </c>
      <c r="D255" s="1108" t="s">
        <v>1788</v>
      </c>
      <c r="E255" s="1108" t="s">
        <v>1789</v>
      </c>
      <c r="F255" s="1109">
        <v>0.1</v>
      </c>
      <c r="G255" s="1109">
        <v>0.0</v>
      </c>
      <c r="H255" s="1107"/>
    </row>
    <row r="256" ht="18.75" customHeight="1">
      <c r="A256" s="1107"/>
      <c r="B256" s="1108" t="s">
        <v>1285</v>
      </c>
      <c r="C256" s="1108" t="s">
        <v>1657</v>
      </c>
      <c r="D256" s="1108" t="s">
        <v>1790</v>
      </c>
      <c r="E256" s="1108" t="s">
        <v>1791</v>
      </c>
      <c r="F256" s="1109">
        <v>0.1</v>
      </c>
      <c r="G256" s="1109">
        <v>0.0</v>
      </c>
      <c r="H256" s="1107"/>
    </row>
    <row r="257" ht="18.75" customHeight="1">
      <c r="A257" s="1107"/>
      <c r="B257" s="1108" t="s">
        <v>1285</v>
      </c>
      <c r="C257" s="1108" t="s">
        <v>1657</v>
      </c>
      <c r="D257" s="1108" t="s">
        <v>1792</v>
      </c>
      <c r="E257" s="1108" t="s">
        <v>1793</v>
      </c>
      <c r="F257" s="1109">
        <v>0.1</v>
      </c>
      <c r="G257" s="1109">
        <v>0.0</v>
      </c>
      <c r="H257" s="1107"/>
    </row>
    <row r="258" ht="18.75" customHeight="1">
      <c r="A258" s="1107"/>
      <c r="B258" s="1108" t="s">
        <v>1285</v>
      </c>
      <c r="C258" s="1108" t="s">
        <v>1657</v>
      </c>
      <c r="D258" s="1108" t="s">
        <v>1794</v>
      </c>
      <c r="E258" s="1108" t="s">
        <v>1795</v>
      </c>
      <c r="F258" s="1109">
        <v>0.1</v>
      </c>
      <c r="G258" s="1109">
        <v>0.0</v>
      </c>
      <c r="H258" s="1107"/>
    </row>
    <row r="259" ht="18.75" customHeight="1">
      <c r="A259" s="1107"/>
      <c r="B259" s="1108" t="s">
        <v>1285</v>
      </c>
      <c r="C259" s="1108" t="s">
        <v>1657</v>
      </c>
      <c r="D259" s="1108" t="s">
        <v>1796</v>
      </c>
      <c r="E259" s="1108" t="s">
        <v>1797</v>
      </c>
      <c r="F259" s="1109">
        <v>0.1</v>
      </c>
      <c r="G259" s="1109">
        <v>0.0</v>
      </c>
      <c r="H259" s="1107"/>
    </row>
    <row r="260" ht="18.75" customHeight="1">
      <c r="A260" s="1107"/>
      <c r="B260" s="1108" t="s">
        <v>1285</v>
      </c>
      <c r="C260" s="1108" t="s">
        <v>1657</v>
      </c>
      <c r="D260" s="1108" t="s">
        <v>1798</v>
      </c>
      <c r="E260" s="1108" t="s">
        <v>1799</v>
      </c>
      <c r="F260" s="1109">
        <v>0.1</v>
      </c>
      <c r="G260" s="1109">
        <v>0.0</v>
      </c>
      <c r="H260" s="1107"/>
    </row>
    <row r="261" ht="18.75" customHeight="1">
      <c r="A261" s="1107"/>
      <c r="B261" s="1108" t="s">
        <v>1285</v>
      </c>
      <c r="C261" s="1108" t="s">
        <v>1657</v>
      </c>
      <c r="D261" s="1108" t="s">
        <v>1800</v>
      </c>
      <c r="E261" s="1108" t="s">
        <v>1801</v>
      </c>
      <c r="F261" s="1109">
        <v>0.1</v>
      </c>
      <c r="G261" s="1109">
        <v>0.0</v>
      </c>
      <c r="H261" s="1107"/>
    </row>
    <row r="262" ht="18.75" customHeight="1">
      <c r="A262" s="1107"/>
      <c r="B262" s="1108" t="s">
        <v>1285</v>
      </c>
      <c r="C262" s="1108" t="s">
        <v>1657</v>
      </c>
      <c r="D262" s="1108" t="s">
        <v>1802</v>
      </c>
      <c r="E262" s="1108" t="s">
        <v>1803</v>
      </c>
      <c r="F262" s="1109">
        <v>0.1</v>
      </c>
      <c r="G262" s="1109">
        <v>0.0</v>
      </c>
      <c r="H262" s="1107"/>
    </row>
    <row r="263" ht="18.75" customHeight="1">
      <c r="A263" s="1107"/>
      <c r="B263" s="1108" t="s">
        <v>1285</v>
      </c>
      <c r="C263" s="1108" t="s">
        <v>1657</v>
      </c>
      <c r="D263" s="1108" t="s">
        <v>1804</v>
      </c>
      <c r="E263" s="1108" t="s">
        <v>1805</v>
      </c>
      <c r="F263" s="1109">
        <v>0.1</v>
      </c>
      <c r="G263" s="1109">
        <v>0.0</v>
      </c>
      <c r="H263" s="1107"/>
    </row>
    <row r="264" ht="18.75" customHeight="1">
      <c r="A264" s="1107"/>
      <c r="B264" s="1108" t="s">
        <v>1285</v>
      </c>
      <c r="C264" s="1108" t="s">
        <v>1657</v>
      </c>
      <c r="D264" s="1108" t="s">
        <v>1806</v>
      </c>
      <c r="E264" s="1108" t="s">
        <v>1807</v>
      </c>
      <c r="F264" s="1109">
        <v>0.1</v>
      </c>
      <c r="G264" s="1109">
        <v>0.0</v>
      </c>
      <c r="H264" s="1107"/>
    </row>
    <row r="265" ht="18.75" customHeight="1">
      <c r="A265" s="1107"/>
      <c r="B265" s="1108" t="s">
        <v>1285</v>
      </c>
      <c r="C265" s="1108" t="s">
        <v>1657</v>
      </c>
      <c r="D265" s="1108" t="s">
        <v>1808</v>
      </c>
      <c r="E265" s="1108" t="s">
        <v>1809</v>
      </c>
      <c r="F265" s="1109">
        <v>0.1</v>
      </c>
      <c r="G265" s="1109">
        <v>0.0</v>
      </c>
      <c r="H265" s="1107"/>
    </row>
    <row r="266" ht="18.75" customHeight="1">
      <c r="A266" s="1107"/>
      <c r="B266" s="1108" t="s">
        <v>1285</v>
      </c>
      <c r="C266" s="1108" t="s">
        <v>1657</v>
      </c>
      <c r="D266" s="1108" t="s">
        <v>1810</v>
      </c>
      <c r="E266" s="1108" t="s">
        <v>1811</v>
      </c>
      <c r="F266" s="1109">
        <v>0.1</v>
      </c>
      <c r="G266" s="1109">
        <v>0.0</v>
      </c>
      <c r="H266" s="1107"/>
    </row>
    <row r="267" ht="18.75" customHeight="1">
      <c r="A267" s="1107"/>
      <c r="B267" s="1108" t="s">
        <v>1285</v>
      </c>
      <c r="C267" s="1108" t="s">
        <v>1657</v>
      </c>
      <c r="D267" s="1108" t="s">
        <v>1812</v>
      </c>
      <c r="E267" s="1108" t="s">
        <v>1813</v>
      </c>
      <c r="F267" s="1109">
        <v>0.1</v>
      </c>
      <c r="G267" s="1109">
        <v>0.0</v>
      </c>
      <c r="H267" s="1107"/>
    </row>
    <row r="268" ht="18.75" customHeight="1">
      <c r="A268" s="1107"/>
      <c r="B268" s="1108" t="s">
        <v>1285</v>
      </c>
      <c r="C268" s="1108" t="s">
        <v>1657</v>
      </c>
      <c r="D268" s="1108" t="s">
        <v>1814</v>
      </c>
      <c r="E268" s="1108" t="s">
        <v>1815</v>
      </c>
      <c r="F268" s="1109">
        <v>0.1</v>
      </c>
      <c r="G268" s="1109">
        <v>0.0</v>
      </c>
      <c r="H268" s="1107"/>
    </row>
    <row r="269" ht="18.75" customHeight="1">
      <c r="A269" s="1107"/>
      <c r="B269" s="1108" t="s">
        <v>1285</v>
      </c>
      <c r="C269" s="1108" t="s">
        <v>1657</v>
      </c>
      <c r="D269" s="1108" t="s">
        <v>1816</v>
      </c>
      <c r="E269" s="1108" t="s">
        <v>1817</v>
      </c>
      <c r="F269" s="1109">
        <v>0.1</v>
      </c>
      <c r="G269" s="1109">
        <v>0.0</v>
      </c>
      <c r="H269" s="1107"/>
    </row>
    <row r="270" ht="18.75" customHeight="1">
      <c r="A270" s="1107"/>
      <c r="B270" s="1108" t="s">
        <v>1285</v>
      </c>
      <c r="C270" s="1108" t="s">
        <v>1657</v>
      </c>
      <c r="D270" s="1108" t="s">
        <v>1818</v>
      </c>
      <c r="E270" s="1108" t="s">
        <v>1819</v>
      </c>
      <c r="F270" s="1109">
        <v>0.1</v>
      </c>
      <c r="G270" s="1109">
        <v>0.0</v>
      </c>
      <c r="H270" s="1107"/>
    </row>
    <row r="271" ht="18.75" customHeight="1">
      <c r="A271" s="1107"/>
      <c r="B271" s="1108" t="s">
        <v>1285</v>
      </c>
      <c r="C271" s="1108" t="s">
        <v>1657</v>
      </c>
      <c r="D271" s="1108" t="s">
        <v>1820</v>
      </c>
      <c r="E271" s="1108" t="s">
        <v>1821</v>
      </c>
      <c r="F271" s="1109">
        <v>0.1</v>
      </c>
      <c r="G271" s="1109">
        <v>0.0</v>
      </c>
      <c r="H271" s="1107"/>
    </row>
    <row r="272" ht="18.75" customHeight="1">
      <c r="A272" s="1107"/>
      <c r="B272" s="1108" t="s">
        <v>1285</v>
      </c>
      <c r="C272" s="1108" t="s">
        <v>1657</v>
      </c>
      <c r="D272" s="1108" t="s">
        <v>1822</v>
      </c>
      <c r="E272" s="1108" t="s">
        <v>1823</v>
      </c>
      <c r="F272" s="1109">
        <v>0.1</v>
      </c>
      <c r="G272" s="1109">
        <v>0.0</v>
      </c>
      <c r="H272" s="1107"/>
    </row>
    <row r="273" ht="18.75" customHeight="1">
      <c r="A273" s="1107"/>
      <c r="B273" s="1108" t="s">
        <v>1285</v>
      </c>
      <c r="C273" s="1108" t="s">
        <v>1657</v>
      </c>
      <c r="D273" s="1108" t="s">
        <v>1824</v>
      </c>
      <c r="E273" s="1108" t="s">
        <v>1825</v>
      </c>
      <c r="F273" s="1109">
        <v>0.1</v>
      </c>
      <c r="G273" s="1109">
        <v>0.0</v>
      </c>
      <c r="H273" s="1107"/>
    </row>
    <row r="274" ht="18.75" customHeight="1">
      <c r="A274" s="1107"/>
      <c r="B274" s="1108" t="s">
        <v>1285</v>
      </c>
      <c r="C274" s="1108" t="s">
        <v>1657</v>
      </c>
      <c r="D274" s="1108" t="s">
        <v>1826</v>
      </c>
      <c r="E274" s="1108" t="s">
        <v>1827</v>
      </c>
      <c r="F274" s="1109">
        <v>0.1</v>
      </c>
      <c r="G274" s="1109">
        <v>0.0</v>
      </c>
      <c r="H274" s="1107"/>
    </row>
    <row r="275" ht="18.75" customHeight="1">
      <c r="A275" s="1107"/>
      <c r="B275" s="1108" t="s">
        <v>1285</v>
      </c>
      <c r="C275" s="1108" t="s">
        <v>1657</v>
      </c>
      <c r="D275" s="1108" t="s">
        <v>1828</v>
      </c>
      <c r="E275" s="1108" t="s">
        <v>1829</v>
      </c>
      <c r="F275" s="1109">
        <v>0.1</v>
      </c>
      <c r="G275" s="1109">
        <v>0.0</v>
      </c>
      <c r="H275" s="1107"/>
    </row>
    <row r="276" ht="18.75" customHeight="1">
      <c r="A276" s="1107"/>
      <c r="B276" s="1108" t="s">
        <v>1285</v>
      </c>
      <c r="C276" s="1108" t="s">
        <v>1657</v>
      </c>
      <c r="D276" s="1108" t="s">
        <v>1830</v>
      </c>
      <c r="E276" s="1108" t="s">
        <v>1829</v>
      </c>
      <c r="F276" s="1109">
        <v>0.1</v>
      </c>
      <c r="G276" s="1109">
        <v>0.0</v>
      </c>
      <c r="H276" s="1107"/>
    </row>
    <row r="277" ht="18.75" customHeight="1">
      <c r="A277" s="1107"/>
      <c r="B277" s="1108" t="s">
        <v>1285</v>
      </c>
      <c r="C277" s="1108" t="s">
        <v>1657</v>
      </c>
      <c r="D277" s="1108" t="s">
        <v>1831</v>
      </c>
      <c r="E277" s="1108" t="s">
        <v>1832</v>
      </c>
      <c r="F277" s="1109">
        <v>0.1</v>
      </c>
      <c r="G277" s="1109">
        <v>0.0</v>
      </c>
      <c r="H277" s="1107"/>
    </row>
    <row r="278" ht="18.75" customHeight="1">
      <c r="A278" s="1107"/>
      <c r="B278" s="1108" t="s">
        <v>1285</v>
      </c>
      <c r="C278" s="1108" t="s">
        <v>1657</v>
      </c>
      <c r="D278" s="1108" t="s">
        <v>1833</v>
      </c>
      <c r="E278" s="1108" t="s">
        <v>1834</v>
      </c>
      <c r="F278" s="1109">
        <v>0.1</v>
      </c>
      <c r="G278" s="1109">
        <v>0.0</v>
      </c>
      <c r="H278" s="1107"/>
    </row>
    <row r="279" ht="18.75" customHeight="1">
      <c r="A279" s="1107"/>
      <c r="B279" s="1108" t="s">
        <v>1285</v>
      </c>
      <c r="C279" s="1108" t="s">
        <v>1657</v>
      </c>
      <c r="D279" s="1108" t="s">
        <v>1835</v>
      </c>
      <c r="E279" s="1108" t="s">
        <v>1836</v>
      </c>
      <c r="F279" s="1109">
        <v>0.1</v>
      </c>
      <c r="G279" s="1109">
        <v>0.0</v>
      </c>
      <c r="H279" s="1107"/>
    </row>
    <row r="280" ht="18.75" customHeight="1">
      <c r="A280" s="1107"/>
      <c r="B280" s="1108" t="s">
        <v>1285</v>
      </c>
      <c r="C280" s="1108" t="s">
        <v>1657</v>
      </c>
      <c r="D280" s="1108" t="s">
        <v>1837</v>
      </c>
      <c r="E280" s="1108" t="s">
        <v>1838</v>
      </c>
      <c r="F280" s="1109">
        <v>0.1</v>
      </c>
      <c r="G280" s="1109">
        <v>0.0</v>
      </c>
      <c r="H280" s="1107"/>
    </row>
    <row r="281" ht="18.75" customHeight="1">
      <c r="A281" s="1107"/>
      <c r="B281" s="1108" t="s">
        <v>1285</v>
      </c>
      <c r="C281" s="1108" t="s">
        <v>1657</v>
      </c>
      <c r="D281" s="1108" t="s">
        <v>1839</v>
      </c>
      <c r="E281" s="1108" t="s">
        <v>1840</v>
      </c>
      <c r="F281" s="1109">
        <v>0.1</v>
      </c>
      <c r="G281" s="1109">
        <v>0.0</v>
      </c>
      <c r="H281" s="1107"/>
    </row>
    <row r="282" ht="18.75" customHeight="1">
      <c r="A282" s="1107"/>
      <c r="B282" s="1108" t="s">
        <v>1285</v>
      </c>
      <c r="C282" s="1108" t="s">
        <v>1657</v>
      </c>
      <c r="D282" s="1108" t="s">
        <v>1841</v>
      </c>
      <c r="E282" s="1108" t="s">
        <v>1842</v>
      </c>
      <c r="F282" s="1109">
        <v>0.1</v>
      </c>
      <c r="G282" s="1109">
        <v>0.0</v>
      </c>
      <c r="H282" s="1107"/>
    </row>
    <row r="283" ht="18.75" customHeight="1">
      <c r="A283" s="1107"/>
      <c r="B283" s="1108" t="s">
        <v>1285</v>
      </c>
      <c r="C283" s="1108" t="s">
        <v>1657</v>
      </c>
      <c r="D283" s="1108" t="s">
        <v>1843</v>
      </c>
      <c r="E283" s="1108" t="s">
        <v>1844</v>
      </c>
      <c r="F283" s="1109">
        <v>0.1</v>
      </c>
      <c r="G283" s="1109">
        <v>0.0</v>
      </c>
      <c r="H283" s="1107"/>
    </row>
    <row r="284" ht="18.75" customHeight="1">
      <c r="A284" s="1107"/>
      <c r="B284" s="1108" t="s">
        <v>1285</v>
      </c>
      <c r="C284" s="1108" t="s">
        <v>1657</v>
      </c>
      <c r="D284" s="1108" t="s">
        <v>1845</v>
      </c>
      <c r="E284" s="1108" t="s">
        <v>1846</v>
      </c>
      <c r="F284" s="1109">
        <v>0.1</v>
      </c>
      <c r="G284" s="1109">
        <v>0.0</v>
      </c>
      <c r="H284" s="1107"/>
    </row>
    <row r="285" ht="18.75" customHeight="1">
      <c r="A285" s="1107"/>
      <c r="B285" s="1108" t="s">
        <v>1285</v>
      </c>
      <c r="C285" s="1108" t="s">
        <v>1657</v>
      </c>
      <c r="D285" s="1108" t="s">
        <v>1847</v>
      </c>
      <c r="E285" s="1108" t="s">
        <v>1848</v>
      </c>
      <c r="F285" s="1109">
        <v>0.1</v>
      </c>
      <c r="G285" s="1109">
        <v>0.0</v>
      </c>
      <c r="H285" s="1107"/>
    </row>
    <row r="286" ht="18.75" customHeight="1">
      <c r="A286" s="1107"/>
      <c r="B286" s="1108" t="s">
        <v>1285</v>
      </c>
      <c r="C286" s="1108" t="s">
        <v>1657</v>
      </c>
      <c r="D286" s="1108" t="s">
        <v>1849</v>
      </c>
      <c r="E286" s="1108" t="s">
        <v>1850</v>
      </c>
      <c r="F286" s="1109">
        <v>0.1</v>
      </c>
      <c r="G286" s="1109">
        <v>0.0</v>
      </c>
      <c r="H286" s="1107"/>
    </row>
    <row r="287" ht="18.75" customHeight="1">
      <c r="A287" s="1107"/>
      <c r="B287" s="1108" t="s">
        <v>1285</v>
      </c>
      <c r="C287" s="1108" t="s">
        <v>1657</v>
      </c>
      <c r="D287" s="1108" t="s">
        <v>1851</v>
      </c>
      <c r="E287" s="1108" t="s">
        <v>1852</v>
      </c>
      <c r="F287" s="1109">
        <v>0.1</v>
      </c>
      <c r="G287" s="1109">
        <v>0.0</v>
      </c>
      <c r="H287" s="1107"/>
    </row>
    <row r="288" ht="18.75" customHeight="1">
      <c r="A288" s="1107"/>
      <c r="B288" s="1108" t="s">
        <v>1285</v>
      </c>
      <c r="C288" s="1108" t="s">
        <v>1657</v>
      </c>
      <c r="D288" s="1108" t="s">
        <v>1853</v>
      </c>
      <c r="E288" s="1108" t="s">
        <v>1854</v>
      </c>
      <c r="F288" s="1109">
        <v>0.1</v>
      </c>
      <c r="G288" s="1109">
        <v>0.0</v>
      </c>
      <c r="H288" s="1107"/>
    </row>
    <row r="289" ht="18.75" customHeight="1">
      <c r="A289" s="1107"/>
      <c r="B289" s="1108" t="s">
        <v>1285</v>
      </c>
      <c r="C289" s="1108" t="s">
        <v>1657</v>
      </c>
      <c r="D289" s="1108" t="s">
        <v>1855</v>
      </c>
      <c r="E289" s="1108" t="s">
        <v>1856</v>
      </c>
      <c r="F289" s="1109">
        <v>0.1</v>
      </c>
      <c r="G289" s="1109">
        <v>0.0</v>
      </c>
      <c r="H289" s="1107"/>
    </row>
    <row r="290" ht="18.75" customHeight="1">
      <c r="A290" s="1107"/>
      <c r="B290" s="1108" t="s">
        <v>1285</v>
      </c>
      <c r="C290" s="1108" t="s">
        <v>1657</v>
      </c>
      <c r="D290" s="1108" t="s">
        <v>1857</v>
      </c>
      <c r="E290" s="1108" t="s">
        <v>1858</v>
      </c>
      <c r="F290" s="1109">
        <v>0.1</v>
      </c>
      <c r="G290" s="1109">
        <v>0.0</v>
      </c>
      <c r="H290" s="1107"/>
    </row>
    <row r="291" ht="18.75" customHeight="1">
      <c r="A291" s="1107"/>
      <c r="B291" s="1108" t="s">
        <v>1285</v>
      </c>
      <c r="C291" s="1108" t="s">
        <v>1657</v>
      </c>
      <c r="D291" s="1108" t="s">
        <v>1859</v>
      </c>
      <c r="E291" s="1108" t="s">
        <v>1860</v>
      </c>
      <c r="F291" s="1109">
        <v>0.1</v>
      </c>
      <c r="G291" s="1109">
        <v>0.0</v>
      </c>
      <c r="H291" s="1107"/>
    </row>
    <row r="292" ht="18.75" customHeight="1">
      <c r="A292" s="1107"/>
      <c r="B292" s="1108" t="s">
        <v>1285</v>
      </c>
      <c r="C292" s="1108" t="s">
        <v>1657</v>
      </c>
      <c r="D292" s="1108" t="s">
        <v>1861</v>
      </c>
      <c r="E292" s="1108" t="s">
        <v>1862</v>
      </c>
      <c r="F292" s="1109">
        <v>0.1</v>
      </c>
      <c r="G292" s="1109">
        <v>0.0</v>
      </c>
      <c r="H292" s="1107"/>
    </row>
    <row r="293" ht="18.75" customHeight="1">
      <c r="A293" s="1107"/>
      <c r="B293" s="1108" t="s">
        <v>1285</v>
      </c>
      <c r="C293" s="1108" t="s">
        <v>1657</v>
      </c>
      <c r="D293" s="1108" t="s">
        <v>1863</v>
      </c>
      <c r="E293" s="1108" t="s">
        <v>1864</v>
      </c>
      <c r="F293" s="1109">
        <v>0.1</v>
      </c>
      <c r="G293" s="1109">
        <v>0.0</v>
      </c>
      <c r="H293" s="1107"/>
    </row>
    <row r="294" ht="18.75" customHeight="1">
      <c r="A294" s="1107"/>
      <c r="B294" s="1108" t="s">
        <v>1285</v>
      </c>
      <c r="C294" s="1108" t="s">
        <v>1657</v>
      </c>
      <c r="D294" s="1108" t="s">
        <v>1865</v>
      </c>
      <c r="E294" s="1108" t="s">
        <v>1866</v>
      </c>
      <c r="F294" s="1109">
        <v>0.1</v>
      </c>
      <c r="G294" s="1109">
        <v>0.0</v>
      </c>
      <c r="H294" s="1107"/>
    </row>
    <row r="295" ht="18.75" customHeight="1">
      <c r="A295" s="1107"/>
      <c r="B295" s="1108" t="s">
        <v>1285</v>
      </c>
      <c r="C295" s="1108" t="s">
        <v>1657</v>
      </c>
      <c r="D295" s="1108" t="s">
        <v>1867</v>
      </c>
      <c r="E295" s="1108" t="s">
        <v>1868</v>
      </c>
      <c r="F295" s="1109">
        <v>0.1</v>
      </c>
      <c r="G295" s="1109">
        <v>0.0</v>
      </c>
      <c r="H295" s="1107"/>
    </row>
    <row r="296" ht="18.75" customHeight="1">
      <c r="A296" s="1107"/>
      <c r="B296" s="1108" t="s">
        <v>1285</v>
      </c>
      <c r="C296" s="1108" t="s">
        <v>1657</v>
      </c>
      <c r="D296" s="1108" t="s">
        <v>1869</v>
      </c>
      <c r="E296" s="1108" t="s">
        <v>1870</v>
      </c>
      <c r="F296" s="1109">
        <v>0.1</v>
      </c>
      <c r="G296" s="1109">
        <v>0.0</v>
      </c>
      <c r="H296" s="1107"/>
    </row>
    <row r="297" ht="18.75" customHeight="1">
      <c r="A297" s="1107"/>
      <c r="B297" s="1108" t="s">
        <v>1285</v>
      </c>
      <c r="C297" s="1108" t="s">
        <v>1657</v>
      </c>
      <c r="D297" s="1108" t="s">
        <v>1871</v>
      </c>
      <c r="E297" s="1108" t="s">
        <v>1872</v>
      </c>
      <c r="F297" s="1109">
        <v>0.1</v>
      </c>
      <c r="G297" s="1109">
        <v>0.0</v>
      </c>
      <c r="H297" s="1107"/>
    </row>
    <row r="298" ht="18.75" customHeight="1">
      <c r="A298" s="1107"/>
      <c r="B298" s="1108" t="s">
        <v>1285</v>
      </c>
      <c r="C298" s="1108" t="s">
        <v>1657</v>
      </c>
      <c r="D298" s="1108" t="s">
        <v>1873</v>
      </c>
      <c r="E298" s="1108" t="s">
        <v>1874</v>
      </c>
      <c r="F298" s="1109">
        <v>0.1</v>
      </c>
      <c r="G298" s="1109">
        <v>0.0</v>
      </c>
      <c r="H298" s="1107"/>
    </row>
    <row r="299" ht="18.75" customHeight="1">
      <c r="A299" s="1107"/>
      <c r="B299" s="1108" t="s">
        <v>1285</v>
      </c>
      <c r="C299" s="1108" t="s">
        <v>1657</v>
      </c>
      <c r="D299" s="1108" t="s">
        <v>1875</v>
      </c>
      <c r="E299" s="1108" t="s">
        <v>1876</v>
      </c>
      <c r="F299" s="1109">
        <v>0.1</v>
      </c>
      <c r="G299" s="1109">
        <v>0.0</v>
      </c>
      <c r="H299" s="1107"/>
    </row>
    <row r="300" ht="18.75" customHeight="1">
      <c r="A300" s="1107"/>
      <c r="B300" s="1108" t="s">
        <v>1285</v>
      </c>
      <c r="C300" s="1108" t="s">
        <v>1657</v>
      </c>
      <c r="D300" s="1108" t="s">
        <v>1877</v>
      </c>
      <c r="E300" s="1108" t="s">
        <v>1878</v>
      </c>
      <c r="F300" s="1109">
        <v>0.1</v>
      </c>
      <c r="G300" s="1109">
        <v>0.0</v>
      </c>
      <c r="H300" s="1107"/>
    </row>
    <row r="301" ht="18.75" customHeight="1">
      <c r="A301" s="1107"/>
      <c r="B301" s="1108" t="s">
        <v>1285</v>
      </c>
      <c r="C301" s="1108" t="s">
        <v>1657</v>
      </c>
      <c r="D301" s="1108" t="s">
        <v>1879</v>
      </c>
      <c r="E301" s="1108" t="s">
        <v>1880</v>
      </c>
      <c r="F301" s="1109">
        <v>0.1</v>
      </c>
      <c r="G301" s="1109">
        <v>0.0</v>
      </c>
      <c r="H301" s="1107"/>
    </row>
    <row r="302" ht="18.75" customHeight="1">
      <c r="A302" s="1107"/>
      <c r="B302" s="1108" t="s">
        <v>1285</v>
      </c>
      <c r="C302" s="1108" t="s">
        <v>1657</v>
      </c>
      <c r="D302" s="1108" t="s">
        <v>1881</v>
      </c>
      <c r="E302" s="1108" t="s">
        <v>1882</v>
      </c>
      <c r="F302" s="1109">
        <v>0.1</v>
      </c>
      <c r="G302" s="1109">
        <v>0.0</v>
      </c>
      <c r="H302" s="1107"/>
    </row>
    <row r="303" ht="18.75" customHeight="1">
      <c r="A303" s="1107"/>
      <c r="B303" s="1108" t="s">
        <v>1285</v>
      </c>
      <c r="C303" s="1108" t="s">
        <v>1657</v>
      </c>
      <c r="D303" s="1108" t="s">
        <v>1883</v>
      </c>
      <c r="E303" s="1108" t="s">
        <v>1884</v>
      </c>
      <c r="F303" s="1109">
        <v>0.1</v>
      </c>
      <c r="G303" s="1109">
        <v>0.0</v>
      </c>
      <c r="H303" s="1107"/>
    </row>
    <row r="304" ht="18.75" customHeight="1">
      <c r="A304" s="1107"/>
      <c r="B304" s="1108" t="s">
        <v>1285</v>
      </c>
      <c r="C304" s="1108" t="s">
        <v>1657</v>
      </c>
      <c r="D304" s="1108" t="s">
        <v>1885</v>
      </c>
      <c r="E304" s="1108" t="s">
        <v>1886</v>
      </c>
      <c r="F304" s="1109">
        <v>0.1</v>
      </c>
      <c r="G304" s="1109">
        <v>0.0</v>
      </c>
      <c r="H304" s="1107"/>
    </row>
    <row r="305" ht="18.75" customHeight="1">
      <c r="A305" s="1107"/>
      <c r="B305" s="1108" t="s">
        <v>1285</v>
      </c>
      <c r="C305" s="1108" t="s">
        <v>1657</v>
      </c>
      <c r="D305" s="1108" t="s">
        <v>1887</v>
      </c>
      <c r="E305" s="1108" t="s">
        <v>1888</v>
      </c>
      <c r="F305" s="1109">
        <v>0.1</v>
      </c>
      <c r="G305" s="1109">
        <v>0.0</v>
      </c>
      <c r="H305" s="1107"/>
    </row>
    <row r="306" ht="18.75" customHeight="1">
      <c r="A306" s="1107"/>
      <c r="B306" s="1108" t="s">
        <v>1285</v>
      </c>
      <c r="C306" s="1108" t="s">
        <v>1657</v>
      </c>
      <c r="D306" s="1108" t="s">
        <v>1889</v>
      </c>
      <c r="E306" s="1108" t="s">
        <v>1890</v>
      </c>
      <c r="F306" s="1109">
        <v>0.1</v>
      </c>
      <c r="G306" s="1109">
        <v>0.0</v>
      </c>
      <c r="H306" s="1107"/>
    </row>
    <row r="307" ht="18.75" customHeight="1">
      <c r="A307" s="1107"/>
      <c r="B307" s="1108" t="s">
        <v>1285</v>
      </c>
      <c r="C307" s="1108" t="s">
        <v>1657</v>
      </c>
      <c r="D307" s="1108" t="s">
        <v>1891</v>
      </c>
      <c r="E307" s="1108" t="s">
        <v>1892</v>
      </c>
      <c r="F307" s="1109">
        <v>0.1</v>
      </c>
      <c r="G307" s="1109">
        <v>0.0</v>
      </c>
      <c r="H307" s="1107"/>
    </row>
    <row r="308" ht="18.75" customHeight="1">
      <c r="A308" s="1107"/>
      <c r="B308" s="1108" t="s">
        <v>1285</v>
      </c>
      <c r="C308" s="1108" t="s">
        <v>1657</v>
      </c>
      <c r="D308" s="1108" t="s">
        <v>1893</v>
      </c>
      <c r="E308" s="1108" t="s">
        <v>1894</v>
      </c>
      <c r="F308" s="1109">
        <v>0.1</v>
      </c>
      <c r="G308" s="1109">
        <v>0.0</v>
      </c>
      <c r="H308" s="1107"/>
    </row>
    <row r="309" ht="18.75" customHeight="1">
      <c r="A309" s="1107"/>
      <c r="B309" s="1108" t="s">
        <v>1285</v>
      </c>
      <c r="C309" s="1108" t="s">
        <v>1657</v>
      </c>
      <c r="D309" s="1108" t="s">
        <v>1895</v>
      </c>
      <c r="E309" s="1108" t="s">
        <v>1896</v>
      </c>
      <c r="F309" s="1109">
        <v>0.1</v>
      </c>
      <c r="G309" s="1109">
        <v>0.0</v>
      </c>
      <c r="H309" s="1107"/>
    </row>
    <row r="310" ht="18.75" customHeight="1">
      <c r="A310" s="1107"/>
      <c r="B310" s="1108" t="s">
        <v>1285</v>
      </c>
      <c r="C310" s="1108" t="s">
        <v>1657</v>
      </c>
      <c r="D310" s="1108" t="s">
        <v>1897</v>
      </c>
      <c r="E310" s="1108" t="s">
        <v>1898</v>
      </c>
      <c r="F310" s="1109">
        <v>0.1</v>
      </c>
      <c r="G310" s="1109">
        <v>0.0</v>
      </c>
      <c r="H310" s="1107"/>
    </row>
    <row r="311" ht="18.75" customHeight="1">
      <c r="A311" s="1107"/>
      <c r="B311" s="1108" t="s">
        <v>1285</v>
      </c>
      <c r="C311" s="1108" t="s">
        <v>1657</v>
      </c>
      <c r="D311" s="1108" t="s">
        <v>1899</v>
      </c>
      <c r="E311" s="1108" t="s">
        <v>1900</v>
      </c>
      <c r="F311" s="1109">
        <v>0.1</v>
      </c>
      <c r="G311" s="1109">
        <v>0.0</v>
      </c>
      <c r="H311" s="1107"/>
    </row>
    <row r="312" ht="18.75" customHeight="1">
      <c r="A312" s="1107"/>
      <c r="B312" s="1108" t="s">
        <v>1285</v>
      </c>
      <c r="C312" s="1108" t="s">
        <v>1657</v>
      </c>
      <c r="D312" s="1108" t="s">
        <v>1901</v>
      </c>
      <c r="E312" s="1108" t="s">
        <v>1902</v>
      </c>
      <c r="F312" s="1109">
        <v>0.1</v>
      </c>
      <c r="G312" s="1109">
        <v>0.0</v>
      </c>
      <c r="H312" s="1107"/>
    </row>
    <row r="313" ht="18.75" customHeight="1">
      <c r="A313" s="1107"/>
      <c r="B313" s="1108" t="s">
        <v>1285</v>
      </c>
      <c r="C313" s="1108" t="s">
        <v>1657</v>
      </c>
      <c r="D313" s="1108" t="s">
        <v>1903</v>
      </c>
      <c r="E313" s="1108" t="s">
        <v>1904</v>
      </c>
      <c r="F313" s="1109">
        <v>0.1</v>
      </c>
      <c r="G313" s="1109">
        <v>0.0</v>
      </c>
      <c r="H313" s="1107"/>
    </row>
    <row r="314" ht="18.75" customHeight="1">
      <c r="A314" s="1107"/>
      <c r="B314" s="1108" t="s">
        <v>1285</v>
      </c>
      <c r="C314" s="1108" t="s">
        <v>1657</v>
      </c>
      <c r="D314" s="1108" t="s">
        <v>1905</v>
      </c>
      <c r="E314" s="1108" t="s">
        <v>1906</v>
      </c>
      <c r="F314" s="1109">
        <v>0.1</v>
      </c>
      <c r="G314" s="1109">
        <v>0.0</v>
      </c>
      <c r="H314" s="1107"/>
    </row>
    <row r="315" ht="18.75" customHeight="1">
      <c r="A315" s="1107"/>
      <c r="B315" s="1108" t="s">
        <v>1285</v>
      </c>
      <c r="C315" s="1108" t="s">
        <v>1657</v>
      </c>
      <c r="D315" s="1108" t="s">
        <v>1907</v>
      </c>
      <c r="E315" s="1108" t="s">
        <v>1908</v>
      </c>
      <c r="F315" s="1109">
        <v>0.1</v>
      </c>
      <c r="G315" s="1109">
        <v>0.0</v>
      </c>
      <c r="H315" s="1107"/>
    </row>
    <row r="316" ht="18.75" customHeight="1">
      <c r="A316" s="1107"/>
      <c r="B316" s="1108" t="s">
        <v>1285</v>
      </c>
      <c r="C316" s="1108" t="s">
        <v>1657</v>
      </c>
      <c r="D316" s="1108" t="s">
        <v>1909</v>
      </c>
      <c r="E316" s="1108" t="s">
        <v>1910</v>
      </c>
      <c r="F316" s="1109">
        <v>0.1</v>
      </c>
      <c r="G316" s="1109">
        <v>0.0</v>
      </c>
      <c r="H316" s="1107"/>
    </row>
    <row r="317" ht="18.75" customHeight="1">
      <c r="A317" s="1107"/>
      <c r="B317" s="1108" t="s">
        <v>1285</v>
      </c>
      <c r="C317" s="1108" t="s">
        <v>1657</v>
      </c>
      <c r="D317" s="1108" t="s">
        <v>1911</v>
      </c>
      <c r="E317" s="1108" t="s">
        <v>1912</v>
      </c>
      <c r="F317" s="1109">
        <v>0.1</v>
      </c>
      <c r="G317" s="1109">
        <v>0.0</v>
      </c>
      <c r="H317" s="1107"/>
    </row>
    <row r="318" ht="18.75" customHeight="1">
      <c r="A318" s="1107"/>
      <c r="B318" s="1108" t="s">
        <v>1285</v>
      </c>
      <c r="C318" s="1108" t="s">
        <v>1657</v>
      </c>
      <c r="D318" s="1108" t="s">
        <v>1913</v>
      </c>
      <c r="E318" s="1108" t="s">
        <v>1914</v>
      </c>
      <c r="F318" s="1109">
        <v>0.1</v>
      </c>
      <c r="G318" s="1109">
        <v>0.0</v>
      </c>
      <c r="H318" s="1107"/>
    </row>
    <row r="319" ht="18.75" customHeight="1">
      <c r="A319" s="1107"/>
      <c r="B319" s="1108" t="s">
        <v>1285</v>
      </c>
      <c r="C319" s="1108" t="s">
        <v>1657</v>
      </c>
      <c r="D319" s="1108" t="s">
        <v>1915</v>
      </c>
      <c r="E319" s="1108" t="s">
        <v>1916</v>
      </c>
      <c r="F319" s="1109">
        <v>0.1</v>
      </c>
      <c r="G319" s="1109">
        <v>0.0</v>
      </c>
      <c r="H319" s="1107"/>
    </row>
    <row r="320" ht="18.75" customHeight="1">
      <c r="A320" s="1107"/>
      <c r="B320" s="1108" t="s">
        <v>1285</v>
      </c>
      <c r="C320" s="1108" t="s">
        <v>1657</v>
      </c>
      <c r="D320" s="1108" t="s">
        <v>1917</v>
      </c>
      <c r="E320" s="1108" t="s">
        <v>1918</v>
      </c>
      <c r="F320" s="1109">
        <v>0.1</v>
      </c>
      <c r="G320" s="1109">
        <v>0.0</v>
      </c>
      <c r="H320" s="1107"/>
    </row>
    <row r="321" ht="18.75" customHeight="1">
      <c r="A321" s="1107"/>
      <c r="B321" s="1108" t="s">
        <v>1285</v>
      </c>
      <c r="C321" s="1108" t="s">
        <v>1657</v>
      </c>
      <c r="D321" s="1108" t="s">
        <v>1919</v>
      </c>
      <c r="E321" s="1108" t="s">
        <v>1920</v>
      </c>
      <c r="F321" s="1109">
        <v>0.1</v>
      </c>
      <c r="G321" s="1109">
        <v>0.0</v>
      </c>
      <c r="H321" s="1107"/>
    </row>
    <row r="322" ht="18.75" customHeight="1">
      <c r="A322" s="1107"/>
      <c r="B322" s="1108" t="s">
        <v>1285</v>
      </c>
      <c r="C322" s="1108" t="s">
        <v>1657</v>
      </c>
      <c r="D322" s="1108" t="s">
        <v>1921</v>
      </c>
      <c r="E322" s="1108" t="s">
        <v>1922</v>
      </c>
      <c r="F322" s="1109">
        <v>0.1</v>
      </c>
      <c r="G322" s="1109">
        <v>0.0</v>
      </c>
      <c r="H322" s="1107"/>
    </row>
    <row r="323" ht="18.75" customHeight="1">
      <c r="A323" s="1107"/>
      <c r="B323" s="1108" t="s">
        <v>1285</v>
      </c>
      <c r="C323" s="1108" t="s">
        <v>1657</v>
      </c>
      <c r="D323" s="1108" t="s">
        <v>1923</v>
      </c>
      <c r="E323" s="1108" t="s">
        <v>1924</v>
      </c>
      <c r="F323" s="1109">
        <v>0.1</v>
      </c>
      <c r="G323" s="1109">
        <v>0.0</v>
      </c>
      <c r="H323" s="1107"/>
    </row>
    <row r="324" ht="18.75" customHeight="1">
      <c r="A324" s="1107"/>
      <c r="B324" s="1108" t="s">
        <v>1285</v>
      </c>
      <c r="C324" s="1108" t="s">
        <v>1657</v>
      </c>
      <c r="D324" s="1108" t="s">
        <v>1925</v>
      </c>
      <c r="E324" s="1108" t="s">
        <v>1829</v>
      </c>
      <c r="F324" s="1109">
        <v>0.1</v>
      </c>
      <c r="G324" s="1109">
        <v>0.0</v>
      </c>
      <c r="H324" s="1107"/>
    </row>
    <row r="325" ht="18.75" customHeight="1">
      <c r="A325" s="1107"/>
      <c r="B325" s="1108" t="s">
        <v>1285</v>
      </c>
      <c r="C325" s="1108" t="s">
        <v>1657</v>
      </c>
      <c r="D325" s="1108" t="s">
        <v>1926</v>
      </c>
      <c r="E325" s="1108" t="s">
        <v>1927</v>
      </c>
      <c r="F325" s="1109">
        <v>0.1</v>
      </c>
      <c r="G325" s="1109">
        <v>0.0</v>
      </c>
      <c r="H325" s="1107"/>
    </row>
    <row r="326" ht="18.75" customHeight="1">
      <c r="A326" s="1107"/>
      <c r="B326" s="1108" t="s">
        <v>1285</v>
      </c>
      <c r="C326" s="1108" t="s">
        <v>1657</v>
      </c>
      <c r="D326" s="1108" t="s">
        <v>1928</v>
      </c>
      <c r="E326" s="1108" t="s">
        <v>1929</v>
      </c>
      <c r="F326" s="1109">
        <v>0.1</v>
      </c>
      <c r="G326" s="1109">
        <v>0.0</v>
      </c>
      <c r="H326" s="1107"/>
    </row>
    <row r="327" ht="18.75" customHeight="1">
      <c r="A327" s="1107"/>
      <c r="B327" s="1108" t="s">
        <v>1285</v>
      </c>
      <c r="C327" s="1108" t="s">
        <v>1657</v>
      </c>
      <c r="D327" s="1108" t="s">
        <v>1930</v>
      </c>
      <c r="E327" s="1108" t="s">
        <v>1931</v>
      </c>
      <c r="F327" s="1109">
        <v>0.1</v>
      </c>
      <c r="G327" s="1109">
        <v>0.0</v>
      </c>
      <c r="H327" s="1107"/>
    </row>
    <row r="328" ht="18.75" customHeight="1">
      <c r="A328" s="1107"/>
      <c r="B328" s="1108" t="s">
        <v>1285</v>
      </c>
      <c r="C328" s="1108" t="s">
        <v>1657</v>
      </c>
      <c r="D328" s="1108" t="s">
        <v>1932</v>
      </c>
      <c r="E328" s="1108" t="s">
        <v>1933</v>
      </c>
      <c r="F328" s="1109">
        <v>0.1</v>
      </c>
      <c r="G328" s="1109">
        <v>0.0</v>
      </c>
      <c r="H328" s="1107"/>
    </row>
    <row r="329" ht="18.75" customHeight="1">
      <c r="A329" s="1107"/>
      <c r="B329" s="1108" t="s">
        <v>1285</v>
      </c>
      <c r="C329" s="1108" t="s">
        <v>1657</v>
      </c>
      <c r="D329" s="1108" t="s">
        <v>1934</v>
      </c>
      <c r="E329" s="1108" t="s">
        <v>1935</v>
      </c>
      <c r="F329" s="1109">
        <v>0.1</v>
      </c>
      <c r="G329" s="1109">
        <v>0.0</v>
      </c>
      <c r="H329" s="1107"/>
    </row>
    <row r="330" ht="18.75" customHeight="1">
      <c r="A330" s="1107"/>
      <c r="B330" s="1108" t="s">
        <v>1285</v>
      </c>
      <c r="C330" s="1108" t="s">
        <v>1657</v>
      </c>
      <c r="D330" s="1108" t="s">
        <v>1936</v>
      </c>
      <c r="E330" s="1108" t="s">
        <v>1937</v>
      </c>
      <c r="F330" s="1109">
        <v>0.1</v>
      </c>
      <c r="G330" s="1109">
        <v>0.0</v>
      </c>
      <c r="H330" s="1107"/>
    </row>
    <row r="331" ht="18.75" customHeight="1">
      <c r="A331" s="1107"/>
      <c r="B331" s="1108" t="s">
        <v>1285</v>
      </c>
      <c r="C331" s="1108" t="s">
        <v>1657</v>
      </c>
      <c r="D331" s="1108" t="s">
        <v>1938</v>
      </c>
      <c r="E331" s="1108" t="s">
        <v>1939</v>
      </c>
      <c r="F331" s="1109">
        <v>0.1</v>
      </c>
      <c r="G331" s="1109">
        <v>0.0</v>
      </c>
      <c r="H331" s="1107"/>
    </row>
    <row r="332" ht="18.75" customHeight="1">
      <c r="A332" s="1107"/>
      <c r="B332" s="1108" t="s">
        <v>1285</v>
      </c>
      <c r="C332" s="1108" t="s">
        <v>1657</v>
      </c>
      <c r="D332" s="1108" t="s">
        <v>1940</v>
      </c>
      <c r="E332" s="1108" t="s">
        <v>1941</v>
      </c>
      <c r="F332" s="1109">
        <v>0.1</v>
      </c>
      <c r="G332" s="1109">
        <v>0.0</v>
      </c>
      <c r="H332" s="1107"/>
    </row>
    <row r="333" ht="18.75" customHeight="1">
      <c r="A333" s="1107"/>
      <c r="B333" s="1108" t="s">
        <v>1285</v>
      </c>
      <c r="C333" s="1108" t="s">
        <v>1657</v>
      </c>
      <c r="D333" s="1108" t="s">
        <v>1942</v>
      </c>
      <c r="E333" s="1108" t="s">
        <v>1943</v>
      </c>
      <c r="F333" s="1109">
        <v>0.1</v>
      </c>
      <c r="G333" s="1109">
        <v>0.0</v>
      </c>
      <c r="H333" s="1107"/>
    </row>
    <row r="334" ht="18.75" customHeight="1">
      <c r="A334" s="1107"/>
      <c r="B334" s="1108" t="s">
        <v>1285</v>
      </c>
      <c r="C334" s="1108" t="s">
        <v>1657</v>
      </c>
      <c r="D334" s="1108" t="s">
        <v>1944</v>
      </c>
      <c r="E334" s="1108" t="s">
        <v>1945</v>
      </c>
      <c r="F334" s="1109">
        <v>0.1</v>
      </c>
      <c r="G334" s="1109">
        <v>0.0</v>
      </c>
      <c r="H334" s="1107"/>
    </row>
    <row r="335" ht="18.75" customHeight="1">
      <c r="A335" s="1107"/>
      <c r="B335" s="1108" t="s">
        <v>1285</v>
      </c>
      <c r="C335" s="1108" t="s">
        <v>1657</v>
      </c>
      <c r="D335" s="1108" t="s">
        <v>1946</v>
      </c>
      <c r="E335" s="1108" t="s">
        <v>1947</v>
      </c>
      <c r="F335" s="1109">
        <v>0.1</v>
      </c>
      <c r="G335" s="1109">
        <v>0.0</v>
      </c>
      <c r="H335" s="1107"/>
    </row>
    <row r="336" ht="18.75" customHeight="1">
      <c r="A336" s="1107"/>
      <c r="B336" s="1108" t="s">
        <v>1285</v>
      </c>
      <c r="C336" s="1108" t="s">
        <v>1657</v>
      </c>
      <c r="D336" s="1108" t="s">
        <v>1948</v>
      </c>
      <c r="E336" s="1108" t="s">
        <v>1949</v>
      </c>
      <c r="F336" s="1109">
        <v>0.1</v>
      </c>
      <c r="G336" s="1109">
        <v>0.0</v>
      </c>
      <c r="H336" s="1107"/>
    </row>
    <row r="337" ht="18.75" customHeight="1">
      <c r="A337" s="1107"/>
      <c r="B337" s="1108" t="s">
        <v>1285</v>
      </c>
      <c r="C337" s="1108" t="s">
        <v>1657</v>
      </c>
      <c r="D337" s="1108" t="s">
        <v>1950</v>
      </c>
      <c r="E337" s="1108" t="s">
        <v>1951</v>
      </c>
      <c r="F337" s="1109">
        <v>0.1</v>
      </c>
      <c r="G337" s="1109">
        <v>0.0</v>
      </c>
      <c r="H337" s="1107"/>
    </row>
    <row r="338" ht="18.75" customHeight="1">
      <c r="A338" s="1107"/>
      <c r="B338" s="1108" t="s">
        <v>1285</v>
      </c>
      <c r="C338" s="1108" t="s">
        <v>1657</v>
      </c>
      <c r="D338" s="1108" t="s">
        <v>1952</v>
      </c>
      <c r="E338" s="1108" t="s">
        <v>1953</v>
      </c>
      <c r="F338" s="1109">
        <v>0.1</v>
      </c>
      <c r="G338" s="1109">
        <v>0.0</v>
      </c>
      <c r="H338" s="1107"/>
    </row>
    <row r="339" ht="18.75" customHeight="1">
      <c r="A339" s="1107"/>
      <c r="B339" s="1108" t="s">
        <v>1285</v>
      </c>
      <c r="C339" s="1108" t="s">
        <v>1657</v>
      </c>
      <c r="D339" s="1108" t="s">
        <v>1954</v>
      </c>
      <c r="E339" s="1108" t="s">
        <v>1955</v>
      </c>
      <c r="F339" s="1109">
        <v>0.1</v>
      </c>
      <c r="G339" s="1109">
        <v>0.0</v>
      </c>
      <c r="H339" s="1107"/>
    </row>
    <row r="340" ht="18.75" customHeight="1">
      <c r="A340" s="1107"/>
      <c r="B340" s="1108" t="s">
        <v>1285</v>
      </c>
      <c r="C340" s="1108" t="s">
        <v>1657</v>
      </c>
      <c r="D340" s="1108" t="s">
        <v>1956</v>
      </c>
      <c r="E340" s="1108" t="s">
        <v>1957</v>
      </c>
      <c r="F340" s="1109">
        <v>0.1</v>
      </c>
      <c r="G340" s="1109">
        <v>0.0</v>
      </c>
      <c r="H340" s="1107"/>
    </row>
    <row r="341" ht="18.75" customHeight="1">
      <c r="A341" s="1107"/>
      <c r="B341" s="1108" t="s">
        <v>1285</v>
      </c>
      <c r="C341" s="1108" t="s">
        <v>1657</v>
      </c>
      <c r="D341" s="1108" t="s">
        <v>1958</v>
      </c>
      <c r="E341" s="1108" t="s">
        <v>1959</v>
      </c>
      <c r="F341" s="1109">
        <v>0.1</v>
      </c>
      <c r="G341" s="1109">
        <v>0.0</v>
      </c>
      <c r="H341" s="1107"/>
    </row>
    <row r="342" ht="18.75" customHeight="1">
      <c r="A342" s="1107"/>
      <c r="B342" s="1108" t="s">
        <v>1285</v>
      </c>
      <c r="C342" s="1108" t="s">
        <v>1657</v>
      </c>
      <c r="D342" s="1108" t="s">
        <v>1960</v>
      </c>
      <c r="E342" s="1108" t="s">
        <v>1961</v>
      </c>
      <c r="F342" s="1109">
        <v>0.1</v>
      </c>
      <c r="G342" s="1109">
        <v>0.0</v>
      </c>
      <c r="H342" s="1107"/>
    </row>
    <row r="343" ht="18.75" customHeight="1">
      <c r="A343" s="1107"/>
      <c r="B343" s="1108" t="s">
        <v>1285</v>
      </c>
      <c r="C343" s="1108" t="s">
        <v>1657</v>
      </c>
      <c r="D343" s="1108" t="s">
        <v>1962</v>
      </c>
      <c r="E343" s="1108" t="s">
        <v>1963</v>
      </c>
      <c r="F343" s="1109">
        <v>0.1</v>
      </c>
      <c r="G343" s="1109">
        <v>0.0</v>
      </c>
      <c r="H343" s="1107"/>
    </row>
    <row r="344" ht="18.75" customHeight="1">
      <c r="A344" s="1107"/>
      <c r="B344" s="1108" t="s">
        <v>1285</v>
      </c>
      <c r="C344" s="1108" t="s">
        <v>1657</v>
      </c>
      <c r="D344" s="1108" t="s">
        <v>1964</v>
      </c>
      <c r="E344" s="1108" t="s">
        <v>1965</v>
      </c>
      <c r="F344" s="1109">
        <v>0.1</v>
      </c>
      <c r="G344" s="1109">
        <v>0.0</v>
      </c>
      <c r="H344" s="1107"/>
    </row>
    <row r="345" ht="18.75" customHeight="1">
      <c r="A345" s="1107"/>
      <c r="B345" s="1108" t="s">
        <v>1285</v>
      </c>
      <c r="C345" s="1108" t="s">
        <v>1657</v>
      </c>
      <c r="D345" s="1108" t="s">
        <v>1966</v>
      </c>
      <c r="E345" s="1108" t="s">
        <v>1967</v>
      </c>
      <c r="F345" s="1109">
        <v>0.1</v>
      </c>
      <c r="G345" s="1109">
        <v>0.0</v>
      </c>
      <c r="H345" s="1107"/>
    </row>
    <row r="346" ht="18.75" customHeight="1">
      <c r="A346" s="1107"/>
      <c r="B346" s="1108" t="s">
        <v>1285</v>
      </c>
      <c r="C346" s="1108" t="s">
        <v>1657</v>
      </c>
      <c r="D346" s="1108" t="s">
        <v>1968</v>
      </c>
      <c r="E346" s="1108" t="s">
        <v>1969</v>
      </c>
      <c r="F346" s="1109">
        <v>0.1</v>
      </c>
      <c r="G346" s="1109">
        <v>0.0</v>
      </c>
      <c r="H346" s="1107"/>
    </row>
    <row r="347" ht="18.75" customHeight="1">
      <c r="A347" s="1107"/>
      <c r="B347" s="1108" t="s">
        <v>1285</v>
      </c>
      <c r="C347" s="1108" t="s">
        <v>1657</v>
      </c>
      <c r="D347" s="1108" t="s">
        <v>1970</v>
      </c>
      <c r="E347" s="1108" t="s">
        <v>1971</v>
      </c>
      <c r="F347" s="1109">
        <v>0.1</v>
      </c>
      <c r="G347" s="1109">
        <v>0.0</v>
      </c>
      <c r="H347" s="1107"/>
    </row>
    <row r="348" ht="18.75" customHeight="1">
      <c r="A348" s="1107"/>
      <c r="B348" s="1108" t="s">
        <v>1285</v>
      </c>
      <c r="C348" s="1108" t="s">
        <v>1657</v>
      </c>
      <c r="D348" s="1108" t="s">
        <v>1972</v>
      </c>
      <c r="E348" s="1108" t="s">
        <v>1973</v>
      </c>
      <c r="F348" s="1109">
        <v>0.1</v>
      </c>
      <c r="G348" s="1109">
        <v>0.0</v>
      </c>
      <c r="H348" s="1107"/>
    </row>
    <row r="349" ht="18.75" customHeight="1">
      <c r="A349" s="1107"/>
      <c r="B349" s="1108" t="s">
        <v>1285</v>
      </c>
      <c r="C349" s="1108" t="s">
        <v>1657</v>
      </c>
      <c r="D349" s="1108" t="s">
        <v>1974</v>
      </c>
      <c r="E349" s="1108" t="s">
        <v>1975</v>
      </c>
      <c r="F349" s="1109">
        <v>0.1</v>
      </c>
      <c r="G349" s="1109">
        <v>0.0</v>
      </c>
      <c r="H349" s="1107"/>
    </row>
    <row r="350" ht="18.75" customHeight="1">
      <c r="A350" s="1107"/>
      <c r="B350" s="1108" t="s">
        <v>1285</v>
      </c>
      <c r="C350" s="1108" t="s">
        <v>1657</v>
      </c>
      <c r="D350" s="1108" t="s">
        <v>1976</v>
      </c>
      <c r="E350" s="1108" t="s">
        <v>1977</v>
      </c>
      <c r="F350" s="1109">
        <v>0.1</v>
      </c>
      <c r="G350" s="1109">
        <v>0.0</v>
      </c>
      <c r="H350" s="1107"/>
    </row>
    <row r="351" ht="18.75" customHeight="1">
      <c r="A351" s="1107"/>
      <c r="B351" s="1108" t="s">
        <v>1285</v>
      </c>
      <c r="C351" s="1108" t="s">
        <v>1657</v>
      </c>
      <c r="D351" s="1108" t="s">
        <v>1978</v>
      </c>
      <c r="E351" s="1108" t="s">
        <v>1979</v>
      </c>
      <c r="F351" s="1109">
        <v>0.1</v>
      </c>
      <c r="G351" s="1109">
        <v>0.0</v>
      </c>
      <c r="H351" s="1107"/>
    </row>
    <row r="352" ht="18.75" customHeight="1">
      <c r="A352" s="1107"/>
      <c r="B352" s="1108" t="s">
        <v>1285</v>
      </c>
      <c r="C352" s="1108" t="s">
        <v>1657</v>
      </c>
      <c r="D352" s="1108" t="s">
        <v>1980</v>
      </c>
      <c r="E352" s="1108" t="s">
        <v>1981</v>
      </c>
      <c r="F352" s="1109">
        <v>0.1</v>
      </c>
      <c r="G352" s="1109">
        <v>0.0</v>
      </c>
      <c r="H352" s="1107"/>
    </row>
    <row r="353" ht="18.75" customHeight="1">
      <c r="A353" s="1107"/>
      <c r="B353" s="1108" t="s">
        <v>1285</v>
      </c>
      <c r="C353" s="1108" t="s">
        <v>1657</v>
      </c>
      <c r="D353" s="1108" t="s">
        <v>1982</v>
      </c>
      <c r="E353" s="1108" t="s">
        <v>1983</v>
      </c>
      <c r="F353" s="1109">
        <v>0.1</v>
      </c>
      <c r="G353" s="1109">
        <v>0.0</v>
      </c>
      <c r="H353" s="1107"/>
    </row>
    <row r="354" ht="18.75" customHeight="1">
      <c r="A354" s="1107"/>
      <c r="B354" s="1108" t="s">
        <v>1285</v>
      </c>
      <c r="C354" s="1108" t="s">
        <v>1657</v>
      </c>
      <c r="D354" s="1108" t="s">
        <v>1984</v>
      </c>
      <c r="E354" s="1108" t="s">
        <v>1985</v>
      </c>
      <c r="F354" s="1109">
        <v>0.1</v>
      </c>
      <c r="G354" s="1109">
        <v>0.0</v>
      </c>
      <c r="H354" s="1107"/>
    </row>
    <row r="355" ht="18.75" customHeight="1">
      <c r="A355" s="1107"/>
      <c r="B355" s="1108" t="s">
        <v>1285</v>
      </c>
      <c r="C355" s="1108" t="s">
        <v>1657</v>
      </c>
      <c r="D355" s="1108" t="s">
        <v>1986</v>
      </c>
      <c r="E355" s="1108" t="s">
        <v>1987</v>
      </c>
      <c r="F355" s="1109">
        <v>0.1</v>
      </c>
      <c r="G355" s="1109">
        <v>0.0</v>
      </c>
      <c r="H355" s="1107"/>
    </row>
    <row r="356" ht="18.75" customHeight="1">
      <c r="A356" s="1107"/>
      <c r="B356" s="1108" t="s">
        <v>1285</v>
      </c>
      <c r="C356" s="1108" t="s">
        <v>1657</v>
      </c>
      <c r="D356" s="1108" t="s">
        <v>1988</v>
      </c>
      <c r="E356" s="1108" t="s">
        <v>1989</v>
      </c>
      <c r="F356" s="1109">
        <v>0.1</v>
      </c>
      <c r="G356" s="1109">
        <v>0.0</v>
      </c>
      <c r="H356" s="1107"/>
    </row>
    <row r="357" ht="18.75" customHeight="1">
      <c r="A357" s="1107"/>
      <c r="B357" s="1108" t="s">
        <v>1285</v>
      </c>
      <c r="C357" s="1108" t="s">
        <v>1657</v>
      </c>
      <c r="D357" s="1108" t="s">
        <v>1990</v>
      </c>
      <c r="E357" s="1108" t="s">
        <v>1991</v>
      </c>
      <c r="F357" s="1109">
        <v>0.1</v>
      </c>
      <c r="G357" s="1109">
        <v>0.0</v>
      </c>
      <c r="H357" s="1107"/>
    </row>
    <row r="358" ht="18.75" customHeight="1">
      <c r="A358" s="1107"/>
      <c r="B358" s="1108" t="s">
        <v>1285</v>
      </c>
      <c r="C358" s="1108" t="s">
        <v>1657</v>
      </c>
      <c r="D358" s="1108" t="s">
        <v>1992</v>
      </c>
      <c r="E358" s="1108" t="s">
        <v>1993</v>
      </c>
      <c r="F358" s="1109">
        <v>0.1</v>
      </c>
      <c r="G358" s="1109">
        <v>0.0</v>
      </c>
      <c r="H358" s="1107"/>
    </row>
    <row r="359" ht="18.75" customHeight="1">
      <c r="A359" s="1107"/>
      <c r="B359" s="1108" t="s">
        <v>1285</v>
      </c>
      <c r="C359" s="1108" t="s">
        <v>1657</v>
      </c>
      <c r="D359" s="1108" t="s">
        <v>1994</v>
      </c>
      <c r="E359" s="1108" t="s">
        <v>1995</v>
      </c>
      <c r="F359" s="1109">
        <v>0.1</v>
      </c>
      <c r="G359" s="1109">
        <v>0.0</v>
      </c>
      <c r="H359" s="1107"/>
    </row>
    <row r="360" ht="18.75" customHeight="1">
      <c r="A360" s="1107"/>
      <c r="B360" s="1108" t="s">
        <v>1285</v>
      </c>
      <c r="C360" s="1108" t="s">
        <v>1657</v>
      </c>
      <c r="D360" s="1108" t="s">
        <v>1996</v>
      </c>
      <c r="E360" s="1108" t="s">
        <v>1997</v>
      </c>
      <c r="F360" s="1109">
        <v>0.1</v>
      </c>
      <c r="G360" s="1109">
        <v>0.0</v>
      </c>
      <c r="H360" s="1107"/>
    </row>
    <row r="361" ht="18.75" customHeight="1">
      <c r="A361" s="1107"/>
      <c r="B361" s="1108" t="s">
        <v>1285</v>
      </c>
      <c r="C361" s="1108" t="s">
        <v>1657</v>
      </c>
      <c r="D361" s="1108" t="s">
        <v>1998</v>
      </c>
      <c r="E361" s="1108" t="s">
        <v>1999</v>
      </c>
      <c r="F361" s="1109">
        <v>0.1</v>
      </c>
      <c r="G361" s="1109">
        <v>0.0</v>
      </c>
      <c r="H361" s="1107"/>
    </row>
    <row r="362" ht="18.75" customHeight="1">
      <c r="A362" s="1107"/>
      <c r="B362" s="1108" t="s">
        <v>1285</v>
      </c>
      <c r="C362" s="1108" t="s">
        <v>1657</v>
      </c>
      <c r="D362" s="1108" t="s">
        <v>2000</v>
      </c>
      <c r="E362" s="1108" t="s">
        <v>2001</v>
      </c>
      <c r="F362" s="1109">
        <v>0.1</v>
      </c>
      <c r="G362" s="1109">
        <v>0.0</v>
      </c>
      <c r="H362" s="1107"/>
    </row>
    <row r="363" ht="18.75" customHeight="1">
      <c r="A363" s="1107"/>
      <c r="B363" s="1108" t="s">
        <v>1285</v>
      </c>
      <c r="C363" s="1108" t="s">
        <v>1657</v>
      </c>
      <c r="D363" s="1108" t="s">
        <v>2002</v>
      </c>
      <c r="E363" s="1108" t="s">
        <v>2003</v>
      </c>
      <c r="F363" s="1109">
        <v>0.1</v>
      </c>
      <c r="G363" s="1109">
        <v>0.0</v>
      </c>
      <c r="H363" s="1107"/>
    </row>
    <row r="364" ht="18.75" customHeight="1">
      <c r="A364" s="1107"/>
      <c r="B364" s="1108" t="s">
        <v>1285</v>
      </c>
      <c r="C364" s="1108" t="s">
        <v>1657</v>
      </c>
      <c r="D364" s="1108" t="s">
        <v>2004</v>
      </c>
      <c r="E364" s="1108" t="s">
        <v>2005</v>
      </c>
      <c r="F364" s="1109">
        <v>0.1</v>
      </c>
      <c r="G364" s="1109">
        <v>0.0</v>
      </c>
      <c r="H364" s="1107"/>
    </row>
    <row r="365" ht="18.75" customHeight="1">
      <c r="A365" s="1107"/>
      <c r="B365" s="1108" t="s">
        <v>1285</v>
      </c>
      <c r="C365" s="1108" t="s">
        <v>1657</v>
      </c>
      <c r="D365" s="1108" t="s">
        <v>2006</v>
      </c>
      <c r="E365" s="1108" t="s">
        <v>2007</v>
      </c>
      <c r="F365" s="1109">
        <v>0.1</v>
      </c>
      <c r="G365" s="1109">
        <v>0.0</v>
      </c>
      <c r="H365" s="1107"/>
    </row>
    <row r="366" ht="18.75" customHeight="1">
      <c r="A366" s="1107"/>
      <c r="B366" s="1108" t="s">
        <v>1285</v>
      </c>
      <c r="C366" s="1108" t="s">
        <v>1657</v>
      </c>
      <c r="D366" s="1108" t="s">
        <v>2008</v>
      </c>
      <c r="E366" s="1108" t="s">
        <v>2009</v>
      </c>
      <c r="F366" s="1109">
        <v>0.1</v>
      </c>
      <c r="G366" s="1109">
        <v>0.0</v>
      </c>
      <c r="H366" s="1107"/>
    </row>
    <row r="367" ht="18.75" customHeight="1">
      <c r="A367" s="1107"/>
      <c r="B367" s="1108" t="s">
        <v>1285</v>
      </c>
      <c r="C367" s="1108" t="s">
        <v>1657</v>
      </c>
      <c r="D367" s="1108" t="s">
        <v>2010</v>
      </c>
      <c r="E367" s="1108" t="s">
        <v>2011</v>
      </c>
      <c r="F367" s="1109">
        <v>0.1</v>
      </c>
      <c r="G367" s="1109">
        <v>0.0</v>
      </c>
      <c r="H367" s="1107"/>
    </row>
    <row r="368" ht="18.75" customHeight="1">
      <c r="A368" s="1107"/>
      <c r="B368" s="1108" t="s">
        <v>1285</v>
      </c>
      <c r="C368" s="1108" t="s">
        <v>1657</v>
      </c>
      <c r="D368" s="1108" t="s">
        <v>2012</v>
      </c>
      <c r="E368" s="1108" t="s">
        <v>2013</v>
      </c>
      <c r="F368" s="1109">
        <v>0.1</v>
      </c>
      <c r="G368" s="1109">
        <v>0.0</v>
      </c>
      <c r="H368" s="1107"/>
    </row>
    <row r="369" ht="18.75" customHeight="1">
      <c r="A369" s="1107"/>
      <c r="B369" s="1108" t="s">
        <v>1285</v>
      </c>
      <c r="C369" s="1108" t="s">
        <v>1657</v>
      </c>
      <c r="D369" s="1108" t="s">
        <v>2014</v>
      </c>
      <c r="E369" s="1108" t="s">
        <v>2015</v>
      </c>
      <c r="F369" s="1109">
        <v>0.1</v>
      </c>
      <c r="G369" s="1109">
        <v>0.0</v>
      </c>
      <c r="H369" s="1107"/>
    </row>
    <row r="370" ht="18.75" customHeight="1">
      <c r="A370" s="1107"/>
      <c r="B370" s="1108" t="s">
        <v>1285</v>
      </c>
      <c r="C370" s="1108" t="s">
        <v>1657</v>
      </c>
      <c r="D370" s="1108" t="s">
        <v>2016</v>
      </c>
      <c r="E370" s="1108" t="s">
        <v>2017</v>
      </c>
      <c r="F370" s="1109">
        <v>0.1</v>
      </c>
      <c r="G370" s="1109">
        <v>0.0</v>
      </c>
      <c r="H370" s="1107"/>
    </row>
    <row r="371" ht="18.75" customHeight="1">
      <c r="A371" s="1107"/>
      <c r="B371" s="1108" t="s">
        <v>1285</v>
      </c>
      <c r="C371" s="1108" t="s">
        <v>1657</v>
      </c>
      <c r="D371" s="1108" t="s">
        <v>2018</v>
      </c>
      <c r="E371" s="1108" t="s">
        <v>2019</v>
      </c>
      <c r="F371" s="1109">
        <v>0.1</v>
      </c>
      <c r="G371" s="1109">
        <v>0.0</v>
      </c>
      <c r="H371" s="1107"/>
    </row>
    <row r="372" ht="18.75" customHeight="1">
      <c r="A372" s="1107"/>
      <c r="B372" s="1108" t="s">
        <v>1285</v>
      </c>
      <c r="C372" s="1108" t="s">
        <v>1657</v>
      </c>
      <c r="D372" s="1108" t="s">
        <v>2020</v>
      </c>
      <c r="E372" s="1108" t="s">
        <v>2021</v>
      </c>
      <c r="F372" s="1109">
        <v>0.1</v>
      </c>
      <c r="G372" s="1109">
        <v>0.0</v>
      </c>
      <c r="H372" s="1107"/>
    </row>
    <row r="373" ht="18.75" customHeight="1">
      <c r="A373" s="1107"/>
      <c r="B373" s="1108" t="s">
        <v>1285</v>
      </c>
      <c r="C373" s="1108" t="s">
        <v>1657</v>
      </c>
      <c r="D373" s="1108" t="s">
        <v>2022</v>
      </c>
      <c r="E373" s="1108" t="s">
        <v>2023</v>
      </c>
      <c r="F373" s="1109">
        <v>0.1</v>
      </c>
      <c r="G373" s="1109">
        <v>0.0</v>
      </c>
      <c r="H373" s="1107"/>
    </row>
    <row r="374" ht="18.75" customHeight="1">
      <c r="A374" s="1107"/>
      <c r="B374" s="1108" t="s">
        <v>1285</v>
      </c>
      <c r="C374" s="1108" t="s">
        <v>1657</v>
      </c>
      <c r="D374" s="1108" t="s">
        <v>2024</v>
      </c>
      <c r="E374" s="1108" t="s">
        <v>2025</v>
      </c>
      <c r="F374" s="1109">
        <v>0.1</v>
      </c>
      <c r="G374" s="1109">
        <v>0.0</v>
      </c>
      <c r="H374" s="1107"/>
    </row>
    <row r="375" ht="18.75" customHeight="1">
      <c r="A375" s="1107"/>
      <c r="B375" s="1108" t="s">
        <v>1285</v>
      </c>
      <c r="C375" s="1108" t="s">
        <v>1657</v>
      </c>
      <c r="D375" s="1108" t="s">
        <v>2026</v>
      </c>
      <c r="E375" s="1108" t="s">
        <v>2027</v>
      </c>
      <c r="F375" s="1109">
        <v>0.1</v>
      </c>
      <c r="G375" s="1109">
        <v>0.0</v>
      </c>
      <c r="H375" s="1107"/>
    </row>
    <row r="376" ht="18.75" customHeight="1">
      <c r="A376" s="1107"/>
      <c r="B376" s="1108" t="s">
        <v>1285</v>
      </c>
      <c r="C376" s="1108" t="s">
        <v>1657</v>
      </c>
      <c r="D376" s="1108" t="s">
        <v>2028</v>
      </c>
      <c r="E376" s="1108" t="s">
        <v>2029</v>
      </c>
      <c r="F376" s="1109">
        <v>0.1</v>
      </c>
      <c r="G376" s="1109">
        <v>0.0</v>
      </c>
      <c r="H376" s="1107"/>
    </row>
    <row r="377" ht="18.75" customHeight="1">
      <c r="A377" s="1107"/>
      <c r="B377" s="1108" t="s">
        <v>1285</v>
      </c>
      <c r="C377" s="1108" t="s">
        <v>2030</v>
      </c>
      <c r="D377" s="1108" t="s">
        <v>2031</v>
      </c>
      <c r="E377" s="1108" t="s">
        <v>2032</v>
      </c>
      <c r="F377" s="1109">
        <v>0.1</v>
      </c>
      <c r="G377" s="1109">
        <v>0.0</v>
      </c>
      <c r="H377" s="1107"/>
    </row>
    <row r="378" ht="18.75" customHeight="1">
      <c r="A378" s="1107"/>
      <c r="B378" s="1108" t="s">
        <v>1285</v>
      </c>
      <c r="C378" s="1108" t="s">
        <v>1657</v>
      </c>
      <c r="D378" s="1108" t="s">
        <v>2033</v>
      </c>
      <c r="E378" s="1108" t="s">
        <v>2034</v>
      </c>
      <c r="F378" s="1109">
        <v>0.1</v>
      </c>
      <c r="G378" s="1109">
        <v>0.0</v>
      </c>
      <c r="H378" s="1107"/>
    </row>
    <row r="379" ht="18.75" customHeight="1">
      <c r="A379" s="1107"/>
      <c r="B379" s="1108" t="s">
        <v>1285</v>
      </c>
      <c r="C379" s="1108" t="s">
        <v>1657</v>
      </c>
      <c r="D379" s="1108" t="s">
        <v>2035</v>
      </c>
      <c r="E379" s="1108" t="s">
        <v>2036</v>
      </c>
      <c r="F379" s="1109">
        <v>0.1</v>
      </c>
      <c r="G379" s="1109">
        <v>0.0</v>
      </c>
      <c r="H379" s="1107"/>
    </row>
    <row r="380" ht="18.75" customHeight="1">
      <c r="A380" s="1107"/>
      <c r="B380" s="1108" t="s">
        <v>1285</v>
      </c>
      <c r="C380" s="1108" t="s">
        <v>1657</v>
      </c>
      <c r="D380" s="1108" t="s">
        <v>2037</v>
      </c>
      <c r="E380" s="1108" t="s">
        <v>2038</v>
      </c>
      <c r="F380" s="1109">
        <v>0.1</v>
      </c>
      <c r="G380" s="1109">
        <v>0.0</v>
      </c>
      <c r="H380" s="1107"/>
    </row>
    <row r="381" ht="18.75" customHeight="1">
      <c r="A381" s="1107"/>
      <c r="B381" s="1108" t="s">
        <v>1285</v>
      </c>
      <c r="C381" s="1108" t="s">
        <v>1657</v>
      </c>
      <c r="D381" s="1108" t="s">
        <v>2039</v>
      </c>
      <c r="E381" s="1108" t="s">
        <v>2040</v>
      </c>
      <c r="F381" s="1109">
        <v>0.1</v>
      </c>
      <c r="G381" s="1109">
        <v>0.0</v>
      </c>
      <c r="H381" s="1107"/>
    </row>
    <row r="382" ht="18.75" customHeight="1">
      <c r="A382" s="1107"/>
      <c r="B382" s="1108" t="s">
        <v>1285</v>
      </c>
      <c r="C382" s="1108" t="s">
        <v>1657</v>
      </c>
      <c r="D382" s="1108" t="s">
        <v>2041</v>
      </c>
      <c r="E382" s="1108" t="s">
        <v>2042</v>
      </c>
      <c r="F382" s="1109">
        <v>0.1</v>
      </c>
      <c r="G382" s="1109">
        <v>0.0</v>
      </c>
      <c r="H382" s="1107"/>
    </row>
    <row r="383" ht="18.75" customHeight="1">
      <c r="A383" s="1107"/>
      <c r="B383" s="1108" t="s">
        <v>1285</v>
      </c>
      <c r="C383" s="1108" t="s">
        <v>1657</v>
      </c>
      <c r="D383" s="1108" t="s">
        <v>2043</v>
      </c>
      <c r="E383" s="1108" t="s">
        <v>2044</v>
      </c>
      <c r="F383" s="1109">
        <v>0.1</v>
      </c>
      <c r="G383" s="1109">
        <v>0.0</v>
      </c>
      <c r="H383" s="1107"/>
    </row>
    <row r="384" ht="18.75" customHeight="1">
      <c r="A384" s="1107"/>
      <c r="B384" s="1108" t="s">
        <v>1285</v>
      </c>
      <c r="C384" s="1108" t="s">
        <v>1657</v>
      </c>
      <c r="D384" s="1108" t="s">
        <v>2045</v>
      </c>
      <c r="E384" s="1108" t="s">
        <v>2046</v>
      </c>
      <c r="F384" s="1109">
        <v>0.1</v>
      </c>
      <c r="G384" s="1109">
        <v>0.0</v>
      </c>
      <c r="H384" s="1107"/>
    </row>
    <row r="385" ht="18.75" customHeight="1">
      <c r="A385" s="1107"/>
      <c r="B385" s="1108" t="s">
        <v>1285</v>
      </c>
      <c r="C385" s="1108" t="s">
        <v>1657</v>
      </c>
      <c r="D385" s="1108" t="s">
        <v>2047</v>
      </c>
      <c r="E385" s="1108" t="s">
        <v>2048</v>
      </c>
      <c r="F385" s="1109">
        <v>0.1</v>
      </c>
      <c r="G385" s="1109">
        <v>0.0</v>
      </c>
      <c r="H385" s="1107"/>
    </row>
    <row r="386" ht="18.75" customHeight="1">
      <c r="A386" s="1107"/>
      <c r="B386" s="1108" t="s">
        <v>1285</v>
      </c>
      <c r="C386" s="1108" t="s">
        <v>1657</v>
      </c>
      <c r="D386" s="1108" t="s">
        <v>2049</v>
      </c>
      <c r="E386" s="1108" t="s">
        <v>2050</v>
      </c>
      <c r="F386" s="1109">
        <v>0.1</v>
      </c>
      <c r="G386" s="1109">
        <v>0.0</v>
      </c>
      <c r="H386" s="1107"/>
    </row>
    <row r="387" ht="18.75" customHeight="1">
      <c r="A387" s="1107"/>
      <c r="B387" s="1108" t="s">
        <v>1285</v>
      </c>
      <c r="C387" s="1108" t="s">
        <v>1657</v>
      </c>
      <c r="D387" s="1108" t="s">
        <v>2051</v>
      </c>
      <c r="E387" s="1108" t="s">
        <v>2052</v>
      </c>
      <c r="F387" s="1109">
        <v>0.1</v>
      </c>
      <c r="G387" s="1109">
        <v>0.0</v>
      </c>
      <c r="H387" s="1107"/>
    </row>
    <row r="388" ht="18.75" customHeight="1">
      <c r="A388" s="1107"/>
      <c r="B388" s="1108" t="s">
        <v>1285</v>
      </c>
      <c r="C388" s="1108" t="s">
        <v>1657</v>
      </c>
      <c r="D388" s="1108" t="s">
        <v>2053</v>
      </c>
      <c r="E388" s="1108" t="s">
        <v>2054</v>
      </c>
      <c r="F388" s="1109">
        <v>0.1</v>
      </c>
      <c r="G388" s="1109">
        <v>0.0</v>
      </c>
      <c r="H388" s="1107"/>
    </row>
    <row r="389" ht="18.75" customHeight="1">
      <c r="A389" s="1107"/>
      <c r="B389" s="1108" t="s">
        <v>1285</v>
      </c>
      <c r="C389" s="1108" t="s">
        <v>1657</v>
      </c>
      <c r="D389" s="1108" t="s">
        <v>2055</v>
      </c>
      <c r="E389" s="1108" t="s">
        <v>2056</v>
      </c>
      <c r="F389" s="1109">
        <v>0.1</v>
      </c>
      <c r="G389" s="1109">
        <v>0.0</v>
      </c>
      <c r="H389" s="1107"/>
    </row>
    <row r="390" ht="18.75" customHeight="1">
      <c r="A390" s="1107"/>
      <c r="B390" s="1108" t="s">
        <v>1285</v>
      </c>
      <c r="C390" s="1108" t="s">
        <v>1657</v>
      </c>
      <c r="D390" s="1108" t="s">
        <v>2057</v>
      </c>
      <c r="E390" s="1108" t="s">
        <v>2058</v>
      </c>
      <c r="F390" s="1109">
        <v>0.1</v>
      </c>
      <c r="G390" s="1109">
        <v>0.0</v>
      </c>
      <c r="H390" s="1107"/>
    </row>
    <row r="391" ht="18.75" customHeight="1">
      <c r="A391" s="1107"/>
      <c r="B391" s="1108" t="s">
        <v>1285</v>
      </c>
      <c r="C391" s="1108" t="s">
        <v>1657</v>
      </c>
      <c r="D391" s="1108" t="s">
        <v>2059</v>
      </c>
      <c r="E391" s="1108" t="s">
        <v>2060</v>
      </c>
      <c r="F391" s="1109">
        <v>0.1</v>
      </c>
      <c r="G391" s="1109">
        <v>0.0</v>
      </c>
      <c r="H391" s="1107"/>
    </row>
    <row r="392" ht="18.75" customHeight="1">
      <c r="A392" s="1107"/>
      <c r="B392" s="1108" t="s">
        <v>1285</v>
      </c>
      <c r="C392" s="1108" t="s">
        <v>1657</v>
      </c>
      <c r="D392" s="1108" t="s">
        <v>2061</v>
      </c>
      <c r="E392" s="1108" t="s">
        <v>2062</v>
      </c>
      <c r="F392" s="1109">
        <v>0.1</v>
      </c>
      <c r="G392" s="1109">
        <v>0.0</v>
      </c>
      <c r="H392" s="1107"/>
    </row>
    <row r="393" ht="18.75" customHeight="1">
      <c r="A393" s="1107"/>
      <c r="B393" s="1108" t="s">
        <v>1285</v>
      </c>
      <c r="C393" s="1108" t="s">
        <v>1657</v>
      </c>
      <c r="D393" s="1108" t="s">
        <v>2063</v>
      </c>
      <c r="E393" s="1108" t="s">
        <v>2064</v>
      </c>
      <c r="F393" s="1109">
        <v>0.1</v>
      </c>
      <c r="G393" s="1109">
        <v>0.0</v>
      </c>
      <c r="H393" s="1107"/>
    </row>
    <row r="394" ht="18.75" customHeight="1">
      <c r="A394" s="1107"/>
      <c r="B394" s="1108" t="s">
        <v>1285</v>
      </c>
      <c r="C394" s="1108" t="s">
        <v>1657</v>
      </c>
      <c r="D394" s="1108" t="s">
        <v>2065</v>
      </c>
      <c r="E394" s="1108" t="s">
        <v>2066</v>
      </c>
      <c r="F394" s="1109">
        <v>0.1</v>
      </c>
      <c r="G394" s="1109">
        <v>0.0</v>
      </c>
      <c r="H394" s="1107"/>
    </row>
    <row r="395" ht="18.75" customHeight="1">
      <c r="A395" s="1107"/>
      <c r="B395" s="1108" t="s">
        <v>1285</v>
      </c>
      <c r="C395" s="1108" t="s">
        <v>1657</v>
      </c>
      <c r="D395" s="1108" t="s">
        <v>2067</v>
      </c>
      <c r="E395" s="1108" t="s">
        <v>2068</v>
      </c>
      <c r="F395" s="1109">
        <v>0.1</v>
      </c>
      <c r="G395" s="1109">
        <v>0.0</v>
      </c>
      <c r="H395" s="1107"/>
    </row>
    <row r="396" ht="18.75" customHeight="1">
      <c r="A396" s="1107"/>
      <c r="B396" s="1108" t="s">
        <v>1285</v>
      </c>
      <c r="C396" s="1108" t="s">
        <v>1657</v>
      </c>
      <c r="D396" s="1108" t="s">
        <v>2069</v>
      </c>
      <c r="E396" s="1108" t="s">
        <v>2070</v>
      </c>
      <c r="F396" s="1109">
        <v>0.1</v>
      </c>
      <c r="G396" s="1109">
        <v>0.0</v>
      </c>
      <c r="H396" s="1107"/>
    </row>
    <row r="397" ht="18.75" customHeight="1">
      <c r="A397" s="1107"/>
      <c r="B397" s="1108" t="s">
        <v>1285</v>
      </c>
      <c r="C397" s="1108" t="s">
        <v>1657</v>
      </c>
      <c r="D397" s="1108" t="s">
        <v>2071</v>
      </c>
      <c r="E397" s="1108" t="s">
        <v>2072</v>
      </c>
      <c r="F397" s="1109">
        <v>0.1</v>
      </c>
      <c r="G397" s="1109">
        <v>0.0</v>
      </c>
      <c r="H397" s="1107"/>
    </row>
    <row r="398" ht="18.75" customHeight="1">
      <c r="A398" s="1107"/>
      <c r="B398" s="1108" t="s">
        <v>1285</v>
      </c>
      <c r="C398" s="1108" t="s">
        <v>1657</v>
      </c>
      <c r="D398" s="1108" t="s">
        <v>2073</v>
      </c>
      <c r="E398" s="1108" t="s">
        <v>2074</v>
      </c>
      <c r="F398" s="1109">
        <v>0.1</v>
      </c>
      <c r="G398" s="1109">
        <v>0.0</v>
      </c>
      <c r="H398" s="1107"/>
    </row>
    <row r="399" ht="18.75" customHeight="1">
      <c r="A399" s="1107"/>
      <c r="B399" s="1108" t="s">
        <v>1285</v>
      </c>
      <c r="C399" s="1108" t="s">
        <v>1657</v>
      </c>
      <c r="D399" s="1108" t="s">
        <v>2075</v>
      </c>
      <c r="E399" s="1108" t="s">
        <v>2076</v>
      </c>
      <c r="F399" s="1109">
        <v>0.1</v>
      </c>
      <c r="G399" s="1109">
        <v>0.0</v>
      </c>
      <c r="H399" s="1107"/>
    </row>
    <row r="400" ht="18.75" customHeight="1">
      <c r="A400" s="1107"/>
      <c r="B400" s="1108" t="s">
        <v>1285</v>
      </c>
      <c r="C400" s="1108" t="s">
        <v>1657</v>
      </c>
      <c r="D400" s="1108" t="s">
        <v>2077</v>
      </c>
      <c r="E400" s="1108" t="s">
        <v>2078</v>
      </c>
      <c r="F400" s="1109">
        <v>0.1</v>
      </c>
      <c r="G400" s="1109">
        <v>0.0</v>
      </c>
      <c r="H400" s="1107"/>
    </row>
    <row r="401" ht="18.75" customHeight="1">
      <c r="A401" s="1107"/>
      <c r="B401" s="1108" t="s">
        <v>1285</v>
      </c>
      <c r="C401" s="1108" t="s">
        <v>1657</v>
      </c>
      <c r="D401" s="1108" t="s">
        <v>2079</v>
      </c>
      <c r="E401" s="1108" t="s">
        <v>2080</v>
      </c>
      <c r="F401" s="1109">
        <v>0.1</v>
      </c>
      <c r="G401" s="1109">
        <v>0.0</v>
      </c>
      <c r="H401" s="1107"/>
    </row>
    <row r="402" ht="18.75" customHeight="1">
      <c r="A402" s="1107"/>
      <c r="B402" s="1108" t="s">
        <v>1285</v>
      </c>
      <c r="C402" s="1108" t="s">
        <v>1657</v>
      </c>
      <c r="D402" s="1108" t="s">
        <v>2081</v>
      </c>
      <c r="E402" s="1108" t="s">
        <v>2082</v>
      </c>
      <c r="F402" s="1109">
        <v>0.1</v>
      </c>
      <c r="G402" s="1109">
        <v>0.0</v>
      </c>
      <c r="H402" s="1107"/>
    </row>
    <row r="403" ht="18.75" customHeight="1">
      <c r="A403" s="1107"/>
      <c r="B403" s="1108" t="s">
        <v>1285</v>
      </c>
      <c r="C403" s="1108" t="s">
        <v>1657</v>
      </c>
      <c r="D403" s="1108" t="s">
        <v>2083</v>
      </c>
      <c r="E403" s="1108" t="s">
        <v>2084</v>
      </c>
      <c r="F403" s="1109">
        <v>0.1</v>
      </c>
      <c r="G403" s="1109">
        <v>0.0</v>
      </c>
      <c r="H403" s="1107"/>
    </row>
    <row r="404" ht="18.75" customHeight="1">
      <c r="A404" s="1107"/>
      <c r="B404" s="1108" t="s">
        <v>1285</v>
      </c>
      <c r="C404" s="1108" t="s">
        <v>1657</v>
      </c>
      <c r="D404" s="1108" t="s">
        <v>2085</v>
      </c>
      <c r="E404" s="1108" t="s">
        <v>2086</v>
      </c>
      <c r="F404" s="1109">
        <v>0.1</v>
      </c>
      <c r="G404" s="1109">
        <v>0.0</v>
      </c>
      <c r="H404" s="1107"/>
    </row>
    <row r="405" ht="18.75" customHeight="1">
      <c r="A405" s="1107"/>
      <c r="B405" s="1108" t="s">
        <v>1285</v>
      </c>
      <c r="C405" s="1108" t="s">
        <v>1657</v>
      </c>
      <c r="D405" s="1108" t="s">
        <v>2087</v>
      </c>
      <c r="E405" s="1108" t="s">
        <v>2088</v>
      </c>
      <c r="F405" s="1109">
        <v>0.1</v>
      </c>
      <c r="G405" s="1109">
        <v>0.0</v>
      </c>
      <c r="H405" s="1107"/>
    </row>
    <row r="406" ht="18.75" customHeight="1">
      <c r="A406" s="1107"/>
      <c r="B406" s="1108" t="s">
        <v>1285</v>
      </c>
      <c r="C406" s="1108" t="s">
        <v>1657</v>
      </c>
      <c r="D406" s="1108" t="s">
        <v>2089</v>
      </c>
      <c r="E406" s="1108" t="s">
        <v>2090</v>
      </c>
      <c r="F406" s="1109">
        <v>0.1</v>
      </c>
      <c r="G406" s="1109">
        <v>0.0</v>
      </c>
      <c r="H406" s="1107"/>
    </row>
    <row r="407" ht="18.75" customHeight="1">
      <c r="A407" s="1107"/>
      <c r="B407" s="1108" t="s">
        <v>1285</v>
      </c>
      <c r="C407" s="1108" t="s">
        <v>1657</v>
      </c>
      <c r="D407" s="1108" t="s">
        <v>2091</v>
      </c>
      <c r="E407" s="1108" t="s">
        <v>2092</v>
      </c>
      <c r="F407" s="1109">
        <v>0.1</v>
      </c>
      <c r="G407" s="1109">
        <v>0.0</v>
      </c>
      <c r="H407" s="1107"/>
    </row>
    <row r="408" ht="18.75" customHeight="1">
      <c r="A408" s="1107"/>
      <c r="B408" s="1108" t="s">
        <v>1285</v>
      </c>
      <c r="C408" s="1108" t="s">
        <v>1657</v>
      </c>
      <c r="D408" s="1108" t="s">
        <v>2093</v>
      </c>
      <c r="E408" s="1108" t="s">
        <v>2094</v>
      </c>
      <c r="F408" s="1109">
        <v>0.1</v>
      </c>
      <c r="G408" s="1109">
        <v>0.0</v>
      </c>
      <c r="H408" s="1107"/>
    </row>
    <row r="409" ht="18.75" customHeight="1">
      <c r="A409" s="1107"/>
      <c r="B409" s="1108" t="s">
        <v>1285</v>
      </c>
      <c r="C409" s="1108" t="s">
        <v>1657</v>
      </c>
      <c r="D409" s="1108" t="s">
        <v>2095</v>
      </c>
      <c r="E409" s="1108" t="s">
        <v>2096</v>
      </c>
      <c r="F409" s="1109">
        <v>0.1</v>
      </c>
      <c r="G409" s="1109">
        <v>0.0</v>
      </c>
      <c r="H409" s="1107"/>
    </row>
    <row r="410" ht="18.75" customHeight="1">
      <c r="A410" s="1107"/>
      <c r="B410" s="1108" t="s">
        <v>1285</v>
      </c>
      <c r="C410" s="1108" t="s">
        <v>1657</v>
      </c>
      <c r="D410" s="1108" t="s">
        <v>2097</v>
      </c>
      <c r="E410" s="1108" t="s">
        <v>2098</v>
      </c>
      <c r="F410" s="1109">
        <v>0.1</v>
      </c>
      <c r="G410" s="1109">
        <v>0.0</v>
      </c>
      <c r="H410" s="1107"/>
    </row>
    <row r="411" ht="18.75" customHeight="1">
      <c r="A411" s="1107"/>
      <c r="B411" s="1108" t="s">
        <v>1285</v>
      </c>
      <c r="C411" s="1108" t="s">
        <v>1657</v>
      </c>
      <c r="D411" s="1108" t="s">
        <v>2099</v>
      </c>
      <c r="E411" s="1108" t="s">
        <v>2100</v>
      </c>
      <c r="F411" s="1109">
        <v>0.1</v>
      </c>
      <c r="G411" s="1109">
        <v>0.0</v>
      </c>
      <c r="H411" s="1107"/>
    </row>
    <row r="412" ht="18.75" customHeight="1">
      <c r="A412" s="1107"/>
      <c r="B412" s="1108" t="s">
        <v>1285</v>
      </c>
      <c r="C412" s="1108" t="s">
        <v>1657</v>
      </c>
      <c r="D412" s="1108" t="s">
        <v>2101</v>
      </c>
      <c r="E412" s="1108" t="s">
        <v>2102</v>
      </c>
      <c r="F412" s="1109">
        <v>0.1</v>
      </c>
      <c r="G412" s="1109">
        <v>0.0</v>
      </c>
      <c r="H412" s="1107"/>
    </row>
    <row r="413" ht="18.75" customHeight="1">
      <c r="A413" s="1107"/>
      <c r="B413" s="1108" t="s">
        <v>1285</v>
      </c>
      <c r="C413" s="1108" t="s">
        <v>1657</v>
      </c>
      <c r="D413" s="1108" t="s">
        <v>2103</v>
      </c>
      <c r="E413" s="1108" t="s">
        <v>2104</v>
      </c>
      <c r="F413" s="1109">
        <v>0.1</v>
      </c>
      <c r="G413" s="1109">
        <v>0.0</v>
      </c>
      <c r="H413" s="1107"/>
    </row>
    <row r="414" ht="18.75" customHeight="1">
      <c r="A414" s="1107"/>
      <c r="B414" s="1108" t="s">
        <v>1285</v>
      </c>
      <c r="C414" s="1108" t="s">
        <v>1657</v>
      </c>
      <c r="D414" s="1108" t="s">
        <v>2105</v>
      </c>
      <c r="E414" s="1108" t="s">
        <v>2106</v>
      </c>
      <c r="F414" s="1109">
        <v>0.1</v>
      </c>
      <c r="G414" s="1109">
        <v>0.0</v>
      </c>
      <c r="H414" s="1107"/>
    </row>
    <row r="415" ht="18.75" customHeight="1">
      <c r="A415" s="1107"/>
      <c r="B415" s="1108" t="s">
        <v>1285</v>
      </c>
      <c r="C415" s="1108" t="s">
        <v>1657</v>
      </c>
      <c r="D415" s="1108" t="s">
        <v>2107</v>
      </c>
      <c r="E415" s="1108" t="s">
        <v>2108</v>
      </c>
      <c r="F415" s="1109">
        <v>0.1</v>
      </c>
      <c r="G415" s="1109">
        <v>0.0</v>
      </c>
      <c r="H415" s="1107"/>
    </row>
    <row r="416" ht="18.75" customHeight="1">
      <c r="A416" s="1107"/>
      <c r="B416" s="1108" t="s">
        <v>1285</v>
      </c>
      <c r="C416" s="1108" t="s">
        <v>1657</v>
      </c>
      <c r="D416" s="1108" t="s">
        <v>2109</v>
      </c>
      <c r="E416" s="1108" t="s">
        <v>2110</v>
      </c>
      <c r="F416" s="1109">
        <v>0.1</v>
      </c>
      <c r="G416" s="1109">
        <v>0.0</v>
      </c>
      <c r="H416" s="1107"/>
    </row>
    <row r="417" ht="18.75" customHeight="1">
      <c r="A417" s="1107"/>
      <c r="B417" s="1108" t="s">
        <v>1285</v>
      </c>
      <c r="C417" s="1108" t="s">
        <v>1657</v>
      </c>
      <c r="D417" s="1108" t="s">
        <v>2111</v>
      </c>
      <c r="E417" s="1108" t="s">
        <v>2112</v>
      </c>
      <c r="F417" s="1109">
        <v>0.1</v>
      </c>
      <c r="G417" s="1109">
        <v>0.0</v>
      </c>
      <c r="H417" s="1107"/>
    </row>
    <row r="418" ht="18.75" customHeight="1">
      <c r="A418" s="1107"/>
      <c r="B418" s="1108" t="s">
        <v>1285</v>
      </c>
      <c r="C418" s="1108" t="s">
        <v>1657</v>
      </c>
      <c r="D418" s="1108" t="s">
        <v>2113</v>
      </c>
      <c r="E418" s="1108" t="s">
        <v>2114</v>
      </c>
      <c r="F418" s="1109">
        <v>0.1</v>
      </c>
      <c r="G418" s="1109">
        <v>0.0</v>
      </c>
      <c r="H418" s="1107"/>
    </row>
    <row r="419" ht="18.75" customHeight="1">
      <c r="A419" s="1107"/>
      <c r="B419" s="1108" t="s">
        <v>1285</v>
      </c>
      <c r="C419" s="1108" t="s">
        <v>1657</v>
      </c>
      <c r="D419" s="1108" t="s">
        <v>2115</v>
      </c>
      <c r="E419" s="1108" t="s">
        <v>2116</v>
      </c>
      <c r="F419" s="1109">
        <v>0.1</v>
      </c>
      <c r="G419" s="1109">
        <v>0.0</v>
      </c>
      <c r="H419" s="1107"/>
    </row>
    <row r="420" ht="18.75" customHeight="1">
      <c r="A420" s="1107"/>
      <c r="B420" s="1108" t="s">
        <v>1285</v>
      </c>
      <c r="C420" s="1108" t="s">
        <v>1657</v>
      </c>
      <c r="D420" s="1108" t="s">
        <v>2117</v>
      </c>
      <c r="E420" s="1108" t="s">
        <v>2118</v>
      </c>
      <c r="F420" s="1109">
        <v>0.1</v>
      </c>
      <c r="G420" s="1109">
        <v>0.0</v>
      </c>
      <c r="H420" s="1107"/>
    </row>
    <row r="421" ht="18.75" customHeight="1">
      <c r="A421" s="1107"/>
      <c r="B421" s="1108" t="s">
        <v>1285</v>
      </c>
      <c r="C421" s="1108" t="s">
        <v>1657</v>
      </c>
      <c r="D421" s="1108" t="s">
        <v>2119</v>
      </c>
      <c r="E421" s="1108" t="s">
        <v>2120</v>
      </c>
      <c r="F421" s="1109">
        <v>0.1</v>
      </c>
      <c r="G421" s="1109">
        <v>0.0</v>
      </c>
      <c r="H421" s="1107"/>
    </row>
    <row r="422" ht="18.75" customHeight="1">
      <c r="A422" s="1107"/>
      <c r="B422" s="1108" t="s">
        <v>1285</v>
      </c>
      <c r="C422" s="1108" t="s">
        <v>1657</v>
      </c>
      <c r="D422" s="1108" t="s">
        <v>2121</v>
      </c>
      <c r="E422" s="1108" t="s">
        <v>2122</v>
      </c>
      <c r="F422" s="1109">
        <v>0.1</v>
      </c>
      <c r="G422" s="1109">
        <v>0.0</v>
      </c>
      <c r="H422" s="1107"/>
    </row>
    <row r="423" ht="18.75" customHeight="1">
      <c r="A423" s="1107"/>
      <c r="B423" s="1108" t="s">
        <v>1285</v>
      </c>
      <c r="C423" s="1108" t="s">
        <v>1657</v>
      </c>
      <c r="D423" s="1108" t="s">
        <v>2123</v>
      </c>
      <c r="E423" s="1108" t="s">
        <v>2124</v>
      </c>
      <c r="F423" s="1109">
        <v>0.1</v>
      </c>
      <c r="G423" s="1109">
        <v>0.0</v>
      </c>
      <c r="H423" s="1107"/>
    </row>
    <row r="424" ht="18.75" customHeight="1">
      <c r="A424" s="1107"/>
      <c r="B424" s="1108" t="s">
        <v>1285</v>
      </c>
      <c r="C424" s="1108" t="s">
        <v>1657</v>
      </c>
      <c r="D424" s="1108" t="s">
        <v>2125</v>
      </c>
      <c r="E424" s="1108" t="s">
        <v>2126</v>
      </c>
      <c r="F424" s="1109">
        <v>0.1</v>
      </c>
      <c r="G424" s="1109">
        <v>0.0</v>
      </c>
      <c r="H424" s="1107"/>
    </row>
    <row r="425" ht="18.75" customHeight="1">
      <c r="A425" s="1107"/>
      <c r="B425" s="1108" t="s">
        <v>1285</v>
      </c>
      <c r="C425" s="1108" t="s">
        <v>1657</v>
      </c>
      <c r="D425" s="1108" t="s">
        <v>2127</v>
      </c>
      <c r="E425" s="1108" t="s">
        <v>2128</v>
      </c>
      <c r="F425" s="1109">
        <v>0.1</v>
      </c>
      <c r="G425" s="1109">
        <v>0.0</v>
      </c>
      <c r="H425" s="1107"/>
    </row>
    <row r="426" ht="18.75" customHeight="1">
      <c r="A426" s="1107"/>
      <c r="B426" s="1108" t="s">
        <v>1285</v>
      </c>
      <c r="C426" s="1108" t="s">
        <v>2030</v>
      </c>
      <c r="D426" s="1108" t="s">
        <v>2129</v>
      </c>
      <c r="E426" s="1108" t="s">
        <v>2130</v>
      </c>
      <c r="F426" s="1109">
        <v>0.1</v>
      </c>
      <c r="G426" s="1109">
        <v>0.0</v>
      </c>
      <c r="H426" s="1107"/>
    </row>
    <row r="427" ht="18.75" customHeight="1">
      <c r="A427" s="1107"/>
      <c r="B427" s="1108" t="s">
        <v>1285</v>
      </c>
      <c r="C427" s="1108" t="s">
        <v>1657</v>
      </c>
      <c r="D427" s="1108" t="s">
        <v>2131</v>
      </c>
      <c r="E427" s="1108" t="s">
        <v>2132</v>
      </c>
      <c r="F427" s="1109">
        <v>0.1</v>
      </c>
      <c r="G427" s="1109">
        <v>0.0</v>
      </c>
      <c r="H427" s="1107"/>
    </row>
    <row r="428" ht="18.75" customHeight="1">
      <c r="A428" s="1107"/>
      <c r="B428" s="1108" t="s">
        <v>1285</v>
      </c>
      <c r="C428" s="1108" t="s">
        <v>1657</v>
      </c>
      <c r="D428" s="1108" t="s">
        <v>2133</v>
      </c>
      <c r="E428" s="1108" t="s">
        <v>2134</v>
      </c>
      <c r="F428" s="1109">
        <v>0.1</v>
      </c>
      <c r="G428" s="1109">
        <v>0.0</v>
      </c>
      <c r="H428" s="1107"/>
    </row>
    <row r="429" ht="18.75" customHeight="1">
      <c r="A429" s="1107"/>
      <c r="B429" s="1108" t="s">
        <v>1285</v>
      </c>
      <c r="C429" s="1108" t="s">
        <v>1657</v>
      </c>
      <c r="D429" s="1108" t="s">
        <v>2135</v>
      </c>
      <c r="E429" s="1108" t="s">
        <v>2136</v>
      </c>
      <c r="F429" s="1109">
        <v>0.1</v>
      </c>
      <c r="G429" s="1109">
        <v>0.0</v>
      </c>
      <c r="H429" s="1107"/>
    </row>
    <row r="430" ht="18.75" customHeight="1">
      <c r="A430" s="1107"/>
      <c r="B430" s="1108" t="s">
        <v>1285</v>
      </c>
      <c r="C430" s="1108" t="s">
        <v>1657</v>
      </c>
      <c r="D430" s="1108" t="s">
        <v>2137</v>
      </c>
      <c r="E430" s="1108" t="s">
        <v>2138</v>
      </c>
      <c r="F430" s="1109">
        <v>0.1</v>
      </c>
      <c r="G430" s="1109">
        <v>0.0</v>
      </c>
      <c r="H430" s="1107"/>
    </row>
    <row r="431" ht="18.75" customHeight="1">
      <c r="A431" s="1107"/>
      <c r="B431" s="1108" t="s">
        <v>1285</v>
      </c>
      <c r="C431" s="1108" t="s">
        <v>1657</v>
      </c>
      <c r="D431" s="1108" t="s">
        <v>2139</v>
      </c>
      <c r="E431" s="1108" t="s">
        <v>2140</v>
      </c>
      <c r="F431" s="1109">
        <v>0.1</v>
      </c>
      <c r="G431" s="1109">
        <v>0.0</v>
      </c>
      <c r="H431" s="1107"/>
    </row>
    <row r="432" ht="18.75" customHeight="1">
      <c r="A432" s="1107"/>
      <c r="B432" s="1108" t="s">
        <v>1285</v>
      </c>
      <c r="C432" s="1108" t="s">
        <v>1657</v>
      </c>
      <c r="D432" s="1108" t="s">
        <v>2141</v>
      </c>
      <c r="E432" s="1108" t="s">
        <v>2142</v>
      </c>
      <c r="F432" s="1109">
        <v>0.1</v>
      </c>
      <c r="G432" s="1109">
        <v>0.0</v>
      </c>
      <c r="H432" s="1107"/>
    </row>
    <row r="433" ht="18.75" customHeight="1">
      <c r="A433" s="1107"/>
      <c r="B433" s="1108" t="s">
        <v>1285</v>
      </c>
      <c r="C433" s="1108" t="s">
        <v>2030</v>
      </c>
      <c r="D433" s="1108" t="s">
        <v>2143</v>
      </c>
      <c r="E433" s="1108" t="s">
        <v>2144</v>
      </c>
      <c r="F433" s="1109">
        <v>0.1</v>
      </c>
      <c r="G433" s="1109">
        <v>0.0</v>
      </c>
      <c r="H433" s="1107"/>
    </row>
    <row r="434" ht="18.75" customHeight="1">
      <c r="A434" s="1107"/>
      <c r="B434" s="1108" t="s">
        <v>1285</v>
      </c>
      <c r="C434" s="1108" t="s">
        <v>1657</v>
      </c>
      <c r="D434" s="1108" t="s">
        <v>2145</v>
      </c>
      <c r="E434" s="1108" t="s">
        <v>2146</v>
      </c>
      <c r="F434" s="1109">
        <v>0.1</v>
      </c>
      <c r="G434" s="1109">
        <v>0.0</v>
      </c>
      <c r="H434" s="1107"/>
    </row>
    <row r="435" ht="18.75" customHeight="1">
      <c r="A435" s="1107"/>
      <c r="B435" s="1108" t="s">
        <v>1285</v>
      </c>
      <c r="C435" s="1108" t="s">
        <v>1657</v>
      </c>
      <c r="D435" s="1108" t="s">
        <v>2147</v>
      </c>
      <c r="E435" s="1108" t="s">
        <v>2148</v>
      </c>
      <c r="F435" s="1109">
        <v>0.1</v>
      </c>
      <c r="G435" s="1109">
        <v>0.0</v>
      </c>
      <c r="H435" s="1107"/>
    </row>
    <row r="436" ht="18.75" customHeight="1">
      <c r="A436" s="1107"/>
      <c r="B436" s="1108" t="s">
        <v>1285</v>
      </c>
      <c r="C436" s="1108" t="s">
        <v>1657</v>
      </c>
      <c r="D436" s="1108" t="s">
        <v>2149</v>
      </c>
      <c r="E436" s="1108" t="s">
        <v>2150</v>
      </c>
      <c r="F436" s="1109">
        <v>0.1</v>
      </c>
      <c r="G436" s="1109">
        <v>0.0</v>
      </c>
      <c r="H436" s="1107"/>
    </row>
    <row r="437" ht="18.75" customHeight="1">
      <c r="A437" s="1107"/>
      <c r="B437" s="1108" t="s">
        <v>1285</v>
      </c>
      <c r="C437" s="1108" t="s">
        <v>1657</v>
      </c>
      <c r="D437" s="1108" t="s">
        <v>2151</v>
      </c>
      <c r="E437" s="1108" t="s">
        <v>2152</v>
      </c>
      <c r="F437" s="1109">
        <v>0.1</v>
      </c>
      <c r="G437" s="1109">
        <v>0.0</v>
      </c>
      <c r="H437" s="1107"/>
    </row>
    <row r="438" ht="18.75" customHeight="1">
      <c r="A438" s="1107"/>
      <c r="B438" s="1108" t="s">
        <v>1285</v>
      </c>
      <c r="C438" s="1108" t="s">
        <v>2153</v>
      </c>
      <c r="D438" s="1108" t="s">
        <v>2154</v>
      </c>
      <c r="E438" s="1108" t="s">
        <v>2155</v>
      </c>
      <c r="F438" s="1109">
        <v>0.1</v>
      </c>
      <c r="G438" s="1109">
        <v>0.0</v>
      </c>
      <c r="H438" s="1107"/>
    </row>
    <row r="439" ht="18.75" customHeight="1">
      <c r="A439" s="1107"/>
      <c r="B439" s="1108" t="s">
        <v>1285</v>
      </c>
      <c r="C439" s="1108" t="s">
        <v>1657</v>
      </c>
      <c r="D439" s="1108" t="s">
        <v>2156</v>
      </c>
      <c r="E439" s="1108" t="s">
        <v>2157</v>
      </c>
      <c r="F439" s="1109">
        <v>0.1</v>
      </c>
      <c r="G439" s="1109">
        <v>0.0</v>
      </c>
      <c r="H439" s="1107"/>
    </row>
    <row r="440" ht="18.75" customHeight="1">
      <c r="A440" s="1107"/>
      <c r="B440" s="1108" t="s">
        <v>1285</v>
      </c>
      <c r="C440" s="1108" t="s">
        <v>1657</v>
      </c>
      <c r="D440" s="1108" t="s">
        <v>2158</v>
      </c>
      <c r="E440" s="1108" t="s">
        <v>2159</v>
      </c>
      <c r="F440" s="1109">
        <v>0.1</v>
      </c>
      <c r="G440" s="1109">
        <v>0.0</v>
      </c>
      <c r="H440" s="1107"/>
    </row>
    <row r="441" ht="18.75" customHeight="1">
      <c r="A441" s="1107"/>
      <c r="B441" s="1108" t="s">
        <v>1285</v>
      </c>
      <c r="C441" s="1108" t="s">
        <v>1657</v>
      </c>
      <c r="D441" s="1108" t="s">
        <v>2160</v>
      </c>
      <c r="E441" s="1108" t="s">
        <v>2161</v>
      </c>
      <c r="F441" s="1109">
        <v>0.1</v>
      </c>
      <c r="G441" s="1109">
        <v>0.0</v>
      </c>
      <c r="H441" s="1107"/>
    </row>
    <row r="442" ht="18.75" customHeight="1">
      <c r="A442" s="1107"/>
      <c r="B442" s="1108" t="s">
        <v>1285</v>
      </c>
      <c r="C442" s="1108" t="s">
        <v>1657</v>
      </c>
      <c r="D442" s="1108" t="s">
        <v>2162</v>
      </c>
      <c r="E442" s="1108" t="s">
        <v>2163</v>
      </c>
      <c r="F442" s="1109">
        <v>0.1</v>
      </c>
      <c r="G442" s="1109">
        <v>0.0</v>
      </c>
      <c r="H442" s="1107"/>
    </row>
    <row r="443" ht="18.75" customHeight="1">
      <c r="A443" s="1107"/>
      <c r="B443" s="1108" t="s">
        <v>1285</v>
      </c>
      <c r="C443" s="1108" t="s">
        <v>1657</v>
      </c>
      <c r="D443" s="1108" t="s">
        <v>2164</v>
      </c>
      <c r="E443" s="1108" t="s">
        <v>2165</v>
      </c>
      <c r="F443" s="1109">
        <v>0.1</v>
      </c>
      <c r="G443" s="1109">
        <v>0.0</v>
      </c>
      <c r="H443" s="1107"/>
    </row>
    <row r="444" ht="18.75" customHeight="1">
      <c r="A444" s="1107"/>
      <c r="B444" s="1108" t="s">
        <v>1285</v>
      </c>
      <c r="C444" s="1108" t="s">
        <v>1657</v>
      </c>
      <c r="D444" s="1108" t="s">
        <v>2166</v>
      </c>
      <c r="E444" s="1108" t="s">
        <v>2167</v>
      </c>
      <c r="F444" s="1109">
        <v>0.1</v>
      </c>
      <c r="G444" s="1109">
        <v>0.0</v>
      </c>
      <c r="H444" s="1107"/>
    </row>
    <row r="445" ht="18.75" customHeight="1">
      <c r="A445" s="1107"/>
      <c r="B445" s="1108" t="s">
        <v>1285</v>
      </c>
      <c r="C445" s="1108" t="s">
        <v>1657</v>
      </c>
      <c r="D445" s="1108" t="s">
        <v>2168</v>
      </c>
      <c r="E445" s="1108" t="s">
        <v>2169</v>
      </c>
      <c r="F445" s="1109">
        <v>0.1</v>
      </c>
      <c r="G445" s="1109">
        <v>0.0</v>
      </c>
      <c r="H445" s="1107"/>
    </row>
    <row r="446" ht="18.75" customHeight="1">
      <c r="A446" s="1107"/>
      <c r="B446" s="1108" t="s">
        <v>1285</v>
      </c>
      <c r="C446" s="1108" t="s">
        <v>1657</v>
      </c>
      <c r="D446" s="1108" t="s">
        <v>2170</v>
      </c>
      <c r="E446" s="1108" t="s">
        <v>2171</v>
      </c>
      <c r="F446" s="1109">
        <v>0.1</v>
      </c>
      <c r="G446" s="1109">
        <v>0.0</v>
      </c>
      <c r="H446" s="1107"/>
    </row>
    <row r="447" ht="18.75" customHeight="1">
      <c r="A447" s="1107"/>
      <c r="B447" s="1108" t="s">
        <v>1285</v>
      </c>
      <c r="C447" s="1108" t="s">
        <v>1657</v>
      </c>
      <c r="D447" s="1108" t="s">
        <v>2172</v>
      </c>
      <c r="E447" s="1108" t="s">
        <v>2173</v>
      </c>
      <c r="F447" s="1109">
        <v>0.1</v>
      </c>
      <c r="G447" s="1109">
        <v>0.0</v>
      </c>
      <c r="H447" s="1107"/>
    </row>
    <row r="448" ht="18.75" customHeight="1">
      <c r="A448" s="1107"/>
      <c r="B448" s="1108" t="s">
        <v>1285</v>
      </c>
      <c r="C448" s="1108" t="s">
        <v>2153</v>
      </c>
      <c r="D448" s="1108" t="s">
        <v>2174</v>
      </c>
      <c r="E448" s="1108" t="s">
        <v>2175</v>
      </c>
      <c r="F448" s="1109">
        <v>0.1</v>
      </c>
      <c r="G448" s="1109">
        <v>0.0</v>
      </c>
      <c r="H448" s="1107"/>
    </row>
    <row r="449" ht="18.75" customHeight="1">
      <c r="A449" s="1107"/>
      <c r="B449" s="1108" t="s">
        <v>1285</v>
      </c>
      <c r="C449" s="1108" t="s">
        <v>1657</v>
      </c>
      <c r="D449" s="1108" t="s">
        <v>2176</v>
      </c>
      <c r="E449" s="1108" t="s">
        <v>2177</v>
      </c>
      <c r="F449" s="1109">
        <v>0.1</v>
      </c>
      <c r="G449" s="1109">
        <v>0.0</v>
      </c>
      <c r="H449" s="1107"/>
    </row>
    <row r="450" ht="18.75" customHeight="1">
      <c r="A450" s="1107"/>
      <c r="B450" s="1108" t="s">
        <v>1285</v>
      </c>
      <c r="C450" s="1108" t="s">
        <v>1657</v>
      </c>
      <c r="D450" s="1108" t="s">
        <v>2178</v>
      </c>
      <c r="E450" s="1108" t="s">
        <v>2179</v>
      </c>
      <c r="F450" s="1109">
        <v>0.1</v>
      </c>
      <c r="G450" s="1109">
        <v>0.0</v>
      </c>
      <c r="H450" s="1107"/>
    </row>
    <row r="451" ht="18.75" customHeight="1">
      <c r="A451" s="1107"/>
      <c r="B451" s="1108" t="s">
        <v>1285</v>
      </c>
      <c r="C451" s="1108" t="s">
        <v>1657</v>
      </c>
      <c r="D451" s="1108" t="s">
        <v>2180</v>
      </c>
      <c r="E451" s="1108" t="s">
        <v>2181</v>
      </c>
      <c r="F451" s="1109">
        <v>0.1</v>
      </c>
      <c r="G451" s="1109">
        <v>0.0</v>
      </c>
      <c r="H451" s="1107"/>
    </row>
    <row r="452" ht="18.75" customHeight="1">
      <c r="A452" s="1107"/>
      <c r="B452" s="1108" t="s">
        <v>1285</v>
      </c>
      <c r="C452" s="1108" t="s">
        <v>1657</v>
      </c>
      <c r="D452" s="1108" t="s">
        <v>2182</v>
      </c>
      <c r="E452" s="1108" t="s">
        <v>2183</v>
      </c>
      <c r="F452" s="1109">
        <v>0.1</v>
      </c>
      <c r="G452" s="1109">
        <v>0.0</v>
      </c>
      <c r="H452" s="1107"/>
    </row>
    <row r="453" ht="18.75" customHeight="1">
      <c r="A453" s="1107"/>
      <c r="B453" s="1108" t="s">
        <v>1285</v>
      </c>
      <c r="C453" s="1108" t="s">
        <v>1657</v>
      </c>
      <c r="D453" s="1108" t="s">
        <v>2184</v>
      </c>
      <c r="E453" s="1108" t="s">
        <v>2185</v>
      </c>
      <c r="F453" s="1109">
        <v>0.1</v>
      </c>
      <c r="G453" s="1109">
        <v>0.0</v>
      </c>
      <c r="H453" s="1107"/>
    </row>
    <row r="454" ht="18.75" customHeight="1">
      <c r="A454" s="1107"/>
      <c r="B454" s="1108" t="s">
        <v>1285</v>
      </c>
      <c r="C454" s="1108" t="s">
        <v>1657</v>
      </c>
      <c r="D454" s="1108" t="s">
        <v>2186</v>
      </c>
      <c r="E454" s="1108" t="s">
        <v>2187</v>
      </c>
      <c r="F454" s="1109">
        <v>0.1</v>
      </c>
      <c r="G454" s="1109">
        <v>0.0</v>
      </c>
      <c r="H454" s="1107"/>
    </row>
    <row r="455" ht="18.75" customHeight="1">
      <c r="A455" s="1107"/>
      <c r="B455" s="1108" t="s">
        <v>1285</v>
      </c>
      <c r="C455" s="1108" t="s">
        <v>1657</v>
      </c>
      <c r="D455" s="1108" t="s">
        <v>2188</v>
      </c>
      <c r="E455" s="1108" t="s">
        <v>2189</v>
      </c>
      <c r="F455" s="1109">
        <v>0.1</v>
      </c>
      <c r="G455" s="1109">
        <v>0.0</v>
      </c>
      <c r="H455" s="1107"/>
    </row>
    <row r="456" ht="18.75" customHeight="1">
      <c r="A456" s="1107"/>
      <c r="B456" s="1108" t="s">
        <v>1285</v>
      </c>
      <c r="C456" s="1108" t="s">
        <v>1657</v>
      </c>
      <c r="D456" s="1108" t="s">
        <v>2190</v>
      </c>
      <c r="E456" s="1108" t="s">
        <v>2191</v>
      </c>
      <c r="F456" s="1109">
        <v>0.1</v>
      </c>
      <c r="G456" s="1109">
        <v>0.0</v>
      </c>
      <c r="H456" s="1107"/>
    </row>
    <row r="457" ht="18.75" customHeight="1">
      <c r="A457" s="1107"/>
      <c r="B457" s="1108" t="s">
        <v>1285</v>
      </c>
      <c r="C457" s="1108" t="s">
        <v>1657</v>
      </c>
      <c r="D457" s="1108" t="s">
        <v>2192</v>
      </c>
      <c r="E457" s="1108" t="s">
        <v>2193</v>
      </c>
      <c r="F457" s="1109">
        <v>0.1</v>
      </c>
      <c r="G457" s="1109">
        <v>0.0</v>
      </c>
      <c r="H457" s="1107"/>
    </row>
    <row r="458" ht="18.75" customHeight="1">
      <c r="A458" s="1107"/>
      <c r="B458" s="1108" t="s">
        <v>1285</v>
      </c>
      <c r="C458" s="1108" t="s">
        <v>1657</v>
      </c>
      <c r="D458" s="1108" t="s">
        <v>2194</v>
      </c>
      <c r="E458" s="1108" t="s">
        <v>2195</v>
      </c>
      <c r="F458" s="1109">
        <v>0.1</v>
      </c>
      <c r="G458" s="1109">
        <v>0.0</v>
      </c>
      <c r="H458" s="1107"/>
    </row>
    <row r="459" ht="18.75" customHeight="1">
      <c r="A459" s="1107"/>
      <c r="B459" s="1108" t="s">
        <v>1285</v>
      </c>
      <c r="C459" s="1108" t="s">
        <v>1657</v>
      </c>
      <c r="D459" s="1108" t="s">
        <v>2196</v>
      </c>
      <c r="E459" s="1108" t="s">
        <v>2197</v>
      </c>
      <c r="F459" s="1109">
        <v>0.1</v>
      </c>
      <c r="G459" s="1109">
        <v>0.0</v>
      </c>
      <c r="H459" s="1107"/>
    </row>
    <row r="460" ht="18.75" customHeight="1">
      <c r="A460" s="1107"/>
      <c r="B460" s="1108" t="s">
        <v>1285</v>
      </c>
      <c r="C460" s="1108" t="s">
        <v>1657</v>
      </c>
      <c r="D460" s="1108" t="s">
        <v>2198</v>
      </c>
      <c r="E460" s="1108" t="s">
        <v>2199</v>
      </c>
      <c r="F460" s="1109">
        <v>0.1</v>
      </c>
      <c r="G460" s="1109">
        <v>0.0</v>
      </c>
      <c r="H460" s="1107"/>
    </row>
    <row r="461" ht="18.75" customHeight="1">
      <c r="A461" s="1107"/>
      <c r="B461" s="1108" t="s">
        <v>1285</v>
      </c>
      <c r="C461" s="1108" t="s">
        <v>1657</v>
      </c>
      <c r="D461" s="1108" t="s">
        <v>2200</v>
      </c>
      <c r="E461" s="1108" t="s">
        <v>2201</v>
      </c>
      <c r="F461" s="1109">
        <v>0.1</v>
      </c>
      <c r="G461" s="1109">
        <v>0.0</v>
      </c>
      <c r="H461" s="1107"/>
    </row>
    <row r="462" ht="18.75" customHeight="1">
      <c r="A462" s="1107"/>
      <c r="B462" s="1108" t="s">
        <v>1285</v>
      </c>
      <c r="C462" s="1108" t="s">
        <v>1657</v>
      </c>
      <c r="D462" s="1108" t="s">
        <v>2202</v>
      </c>
      <c r="E462" s="1108" t="s">
        <v>2203</v>
      </c>
      <c r="F462" s="1109">
        <v>0.1</v>
      </c>
      <c r="G462" s="1109">
        <v>0.0</v>
      </c>
      <c r="H462" s="1107"/>
    </row>
    <row r="463" ht="18.75" customHeight="1">
      <c r="A463" s="1107"/>
      <c r="B463" s="1108" t="s">
        <v>1285</v>
      </c>
      <c r="C463" s="1108" t="s">
        <v>1657</v>
      </c>
      <c r="D463" s="1108" t="s">
        <v>2204</v>
      </c>
      <c r="E463" s="1108" t="s">
        <v>2205</v>
      </c>
      <c r="F463" s="1109">
        <v>0.1</v>
      </c>
      <c r="G463" s="1109">
        <v>0.0</v>
      </c>
      <c r="H463" s="1107"/>
    </row>
    <row r="464" ht="18.75" customHeight="1">
      <c r="A464" s="1107"/>
      <c r="B464" s="1108" t="s">
        <v>1285</v>
      </c>
      <c r="C464" s="1108" t="s">
        <v>1657</v>
      </c>
      <c r="D464" s="1108" t="s">
        <v>2206</v>
      </c>
      <c r="E464" s="1108" t="s">
        <v>2207</v>
      </c>
      <c r="F464" s="1109">
        <v>0.1</v>
      </c>
      <c r="G464" s="1109">
        <v>0.0</v>
      </c>
      <c r="H464" s="1107"/>
    </row>
    <row r="465" ht="18.75" customHeight="1">
      <c r="A465" s="1107"/>
      <c r="B465" s="1108" t="s">
        <v>1285</v>
      </c>
      <c r="C465" s="1108" t="s">
        <v>1657</v>
      </c>
      <c r="D465" s="1108" t="s">
        <v>2208</v>
      </c>
      <c r="E465" s="1108" t="s">
        <v>2209</v>
      </c>
      <c r="F465" s="1109">
        <v>0.1</v>
      </c>
      <c r="G465" s="1109">
        <v>0.0</v>
      </c>
      <c r="H465" s="1107"/>
    </row>
    <row r="466" ht="18.75" customHeight="1">
      <c r="A466" s="1107"/>
      <c r="B466" s="1108" t="s">
        <v>1285</v>
      </c>
      <c r="C466" s="1108" t="s">
        <v>1657</v>
      </c>
      <c r="D466" s="1108" t="s">
        <v>2210</v>
      </c>
      <c r="E466" s="1108" t="s">
        <v>2211</v>
      </c>
      <c r="F466" s="1109">
        <v>0.1</v>
      </c>
      <c r="G466" s="1109">
        <v>0.0</v>
      </c>
      <c r="H466" s="1107"/>
    </row>
    <row r="467" ht="18.75" customHeight="1">
      <c r="A467" s="1107"/>
      <c r="B467" s="1108" t="s">
        <v>1285</v>
      </c>
      <c r="C467" s="1108" t="s">
        <v>1657</v>
      </c>
      <c r="D467" s="1108" t="s">
        <v>2212</v>
      </c>
      <c r="E467" s="1108" t="s">
        <v>2213</v>
      </c>
      <c r="F467" s="1109">
        <v>0.1</v>
      </c>
      <c r="G467" s="1109">
        <v>0.0</v>
      </c>
      <c r="H467" s="1107"/>
    </row>
    <row r="468" ht="18.75" customHeight="1">
      <c r="A468" s="1107"/>
      <c r="B468" s="1108" t="s">
        <v>1285</v>
      </c>
      <c r="C468" s="1108" t="s">
        <v>1657</v>
      </c>
      <c r="D468" s="1108" t="s">
        <v>2214</v>
      </c>
      <c r="E468" s="1108" t="s">
        <v>2215</v>
      </c>
      <c r="F468" s="1109">
        <v>0.1</v>
      </c>
      <c r="G468" s="1109">
        <v>0.0</v>
      </c>
      <c r="H468" s="1107"/>
    </row>
    <row r="469" ht="18.75" customHeight="1">
      <c r="A469" s="1107"/>
      <c r="B469" s="1108" t="s">
        <v>1285</v>
      </c>
      <c r="C469" s="1108" t="s">
        <v>1657</v>
      </c>
      <c r="D469" s="1108" t="s">
        <v>2216</v>
      </c>
      <c r="E469" s="1108" t="s">
        <v>2217</v>
      </c>
      <c r="F469" s="1109">
        <v>0.1</v>
      </c>
      <c r="G469" s="1109">
        <v>0.0</v>
      </c>
      <c r="H469" s="1107"/>
    </row>
    <row r="470" ht="18.75" customHeight="1">
      <c r="A470" s="1107"/>
      <c r="B470" s="1108" t="s">
        <v>1285</v>
      </c>
      <c r="C470" s="1108" t="s">
        <v>1657</v>
      </c>
      <c r="D470" s="1108" t="s">
        <v>2218</v>
      </c>
      <c r="E470" s="1108" t="s">
        <v>2219</v>
      </c>
      <c r="F470" s="1109">
        <v>0.1</v>
      </c>
      <c r="G470" s="1109">
        <v>0.0</v>
      </c>
      <c r="H470" s="1107"/>
    </row>
    <row r="471" ht="18.75" customHeight="1">
      <c r="A471" s="1107"/>
      <c r="B471" s="1108" t="s">
        <v>1285</v>
      </c>
      <c r="C471" s="1108" t="s">
        <v>1657</v>
      </c>
      <c r="D471" s="1108" t="s">
        <v>2220</v>
      </c>
      <c r="E471" s="1108" t="s">
        <v>2221</v>
      </c>
      <c r="F471" s="1109">
        <v>0.1</v>
      </c>
      <c r="G471" s="1109">
        <v>0.0</v>
      </c>
      <c r="H471" s="1107"/>
    </row>
    <row r="472" ht="18.75" customHeight="1">
      <c r="A472" s="1107"/>
      <c r="B472" s="1108" t="s">
        <v>1285</v>
      </c>
      <c r="C472" s="1108" t="s">
        <v>1657</v>
      </c>
      <c r="D472" s="1108" t="s">
        <v>2222</v>
      </c>
      <c r="E472" s="1108" t="s">
        <v>2223</v>
      </c>
      <c r="F472" s="1109">
        <v>0.1</v>
      </c>
      <c r="G472" s="1109">
        <v>0.0</v>
      </c>
      <c r="H472" s="1107"/>
    </row>
    <row r="473" ht="18.75" customHeight="1">
      <c r="A473" s="1107"/>
      <c r="B473" s="1108" t="s">
        <v>1285</v>
      </c>
      <c r="C473" s="1108" t="s">
        <v>1657</v>
      </c>
      <c r="D473" s="1108" t="s">
        <v>2224</v>
      </c>
      <c r="E473" s="1108" t="s">
        <v>2225</v>
      </c>
      <c r="F473" s="1109">
        <v>0.1</v>
      </c>
      <c r="G473" s="1109">
        <v>0.0</v>
      </c>
      <c r="H473" s="1107"/>
    </row>
    <row r="474" ht="18.75" customHeight="1">
      <c r="A474" s="1107"/>
      <c r="B474" s="1108" t="s">
        <v>1285</v>
      </c>
      <c r="C474" s="1108" t="s">
        <v>1657</v>
      </c>
      <c r="D474" s="1108" t="s">
        <v>2226</v>
      </c>
      <c r="E474" s="1108" t="s">
        <v>2227</v>
      </c>
      <c r="F474" s="1109">
        <v>0.1</v>
      </c>
      <c r="G474" s="1109">
        <v>0.0</v>
      </c>
      <c r="H474" s="1107"/>
    </row>
    <row r="475" ht="18.75" customHeight="1">
      <c r="A475" s="1107"/>
      <c r="B475" s="1108" t="s">
        <v>1285</v>
      </c>
      <c r="C475" s="1108" t="s">
        <v>1657</v>
      </c>
      <c r="D475" s="1108" t="s">
        <v>2228</v>
      </c>
      <c r="E475" s="1108" t="s">
        <v>2229</v>
      </c>
      <c r="F475" s="1109">
        <v>0.1</v>
      </c>
      <c r="G475" s="1109">
        <v>0.0</v>
      </c>
      <c r="H475" s="1107"/>
    </row>
    <row r="476" ht="18.75" customHeight="1">
      <c r="A476" s="1107"/>
      <c r="B476" s="1108" t="s">
        <v>1285</v>
      </c>
      <c r="C476" s="1108" t="s">
        <v>1657</v>
      </c>
      <c r="D476" s="1108" t="s">
        <v>2230</v>
      </c>
      <c r="E476" s="1108" t="s">
        <v>2231</v>
      </c>
      <c r="F476" s="1109">
        <v>0.1</v>
      </c>
      <c r="G476" s="1109">
        <v>0.0</v>
      </c>
      <c r="H476" s="1107"/>
    </row>
    <row r="477" ht="18.75" customHeight="1">
      <c r="A477" s="1107"/>
      <c r="B477" s="1108" t="s">
        <v>1285</v>
      </c>
      <c r="C477" s="1108" t="s">
        <v>1657</v>
      </c>
      <c r="D477" s="1108" t="s">
        <v>2232</v>
      </c>
      <c r="E477" s="1108" t="s">
        <v>2233</v>
      </c>
      <c r="F477" s="1109">
        <v>0.1</v>
      </c>
      <c r="G477" s="1109">
        <v>0.0</v>
      </c>
      <c r="H477" s="1107"/>
    </row>
    <row r="478" ht="18.75" customHeight="1">
      <c r="A478" s="1107"/>
      <c r="B478" s="1108" t="s">
        <v>1285</v>
      </c>
      <c r="C478" s="1108" t="s">
        <v>1657</v>
      </c>
      <c r="D478" s="1108" t="s">
        <v>2234</v>
      </c>
      <c r="E478" s="1108" t="s">
        <v>2235</v>
      </c>
      <c r="F478" s="1109">
        <v>0.1</v>
      </c>
      <c r="G478" s="1109">
        <v>0.0</v>
      </c>
      <c r="H478" s="1107"/>
    </row>
    <row r="479" ht="18.75" customHeight="1">
      <c r="A479" s="1107"/>
      <c r="B479" s="1108" t="s">
        <v>1285</v>
      </c>
      <c r="C479" s="1108" t="s">
        <v>1657</v>
      </c>
      <c r="D479" s="1108" t="s">
        <v>2236</v>
      </c>
      <c r="E479" s="1108" t="s">
        <v>2237</v>
      </c>
      <c r="F479" s="1109">
        <v>0.1</v>
      </c>
      <c r="G479" s="1109">
        <v>0.0</v>
      </c>
      <c r="H479" s="1107"/>
    </row>
    <row r="480" ht="18.75" customHeight="1">
      <c r="A480" s="1107"/>
      <c r="B480" s="1108" t="s">
        <v>1285</v>
      </c>
      <c r="C480" s="1108" t="s">
        <v>1657</v>
      </c>
      <c r="D480" s="1108" t="s">
        <v>2238</v>
      </c>
      <c r="E480" s="1108" t="s">
        <v>2239</v>
      </c>
      <c r="F480" s="1109">
        <v>0.1</v>
      </c>
      <c r="G480" s="1109">
        <v>0.0</v>
      </c>
      <c r="H480" s="1107"/>
    </row>
    <row r="481" ht="18.75" customHeight="1">
      <c r="A481" s="1107"/>
      <c r="B481" s="1108" t="s">
        <v>1285</v>
      </c>
      <c r="C481" s="1108" t="s">
        <v>1657</v>
      </c>
      <c r="D481" s="1108" t="s">
        <v>2240</v>
      </c>
      <c r="E481" s="1108" t="s">
        <v>2241</v>
      </c>
      <c r="F481" s="1109">
        <v>0.1</v>
      </c>
      <c r="G481" s="1109">
        <v>0.0</v>
      </c>
      <c r="H481" s="1107"/>
    </row>
    <row r="482" ht="18.75" customHeight="1">
      <c r="A482" s="1107"/>
      <c r="B482" s="1108" t="s">
        <v>1285</v>
      </c>
      <c r="C482" s="1108" t="s">
        <v>1657</v>
      </c>
      <c r="D482" s="1108" t="s">
        <v>2242</v>
      </c>
      <c r="E482" s="1108" t="s">
        <v>2243</v>
      </c>
      <c r="F482" s="1109">
        <v>0.1</v>
      </c>
      <c r="G482" s="1109">
        <v>0.0</v>
      </c>
      <c r="H482" s="1107"/>
    </row>
    <row r="483" ht="18.75" customHeight="1">
      <c r="A483" s="1107"/>
      <c r="B483" s="1108" t="s">
        <v>1285</v>
      </c>
      <c r="C483" s="1108" t="s">
        <v>1657</v>
      </c>
      <c r="D483" s="1108" t="s">
        <v>2244</v>
      </c>
      <c r="E483" s="1108" t="s">
        <v>2245</v>
      </c>
      <c r="F483" s="1109">
        <v>0.1</v>
      </c>
      <c r="G483" s="1109">
        <v>0.0</v>
      </c>
      <c r="H483" s="1107"/>
    </row>
    <row r="484" ht="18.75" customHeight="1">
      <c r="A484" s="1107"/>
      <c r="B484" s="1108" t="s">
        <v>1285</v>
      </c>
      <c r="C484" s="1108" t="s">
        <v>1657</v>
      </c>
      <c r="D484" s="1108" t="s">
        <v>2246</v>
      </c>
      <c r="E484" s="1108" t="s">
        <v>2247</v>
      </c>
      <c r="F484" s="1109">
        <v>0.1</v>
      </c>
      <c r="G484" s="1109">
        <v>0.0</v>
      </c>
      <c r="H484" s="1107"/>
    </row>
    <row r="485" ht="18.75" customHeight="1">
      <c r="A485" s="1107"/>
      <c r="B485" s="1108" t="s">
        <v>1285</v>
      </c>
      <c r="C485" s="1108" t="s">
        <v>1657</v>
      </c>
      <c r="D485" s="1108" t="s">
        <v>2248</v>
      </c>
      <c r="E485" s="1108" t="s">
        <v>2249</v>
      </c>
      <c r="F485" s="1109">
        <v>0.1</v>
      </c>
      <c r="G485" s="1109">
        <v>0.0</v>
      </c>
      <c r="H485" s="1107"/>
    </row>
    <row r="486" ht="18.75" customHeight="1">
      <c r="A486" s="1107"/>
      <c r="B486" s="1108" t="s">
        <v>1285</v>
      </c>
      <c r="C486" s="1108" t="s">
        <v>1657</v>
      </c>
      <c r="D486" s="1108" t="s">
        <v>2250</v>
      </c>
      <c r="E486" s="1108" t="s">
        <v>2251</v>
      </c>
      <c r="F486" s="1109">
        <v>0.1</v>
      </c>
      <c r="G486" s="1109">
        <v>0.0</v>
      </c>
      <c r="H486" s="1107"/>
    </row>
    <row r="487" ht="18.75" customHeight="1">
      <c r="A487" s="1107"/>
      <c r="B487" s="1108" t="s">
        <v>1285</v>
      </c>
      <c r="C487" s="1108" t="s">
        <v>1657</v>
      </c>
      <c r="D487" s="1108" t="s">
        <v>2252</v>
      </c>
      <c r="E487" s="1108" t="s">
        <v>2253</v>
      </c>
      <c r="F487" s="1109">
        <v>0.1</v>
      </c>
      <c r="G487" s="1109">
        <v>0.0</v>
      </c>
      <c r="H487" s="1107"/>
    </row>
    <row r="488" ht="18.75" customHeight="1">
      <c r="A488" s="1107"/>
      <c r="B488" s="1108" t="s">
        <v>1285</v>
      </c>
      <c r="C488" s="1108" t="s">
        <v>1657</v>
      </c>
      <c r="D488" s="1108" t="s">
        <v>2254</v>
      </c>
      <c r="E488" s="1108" t="s">
        <v>2255</v>
      </c>
      <c r="F488" s="1109">
        <v>0.1</v>
      </c>
      <c r="G488" s="1109">
        <v>0.0</v>
      </c>
      <c r="H488" s="1107"/>
    </row>
    <row r="489" ht="18.75" customHeight="1">
      <c r="A489" s="1107"/>
      <c r="B489" s="1108" t="s">
        <v>1285</v>
      </c>
      <c r="C489" s="1108" t="s">
        <v>1657</v>
      </c>
      <c r="D489" s="1108" t="s">
        <v>2256</v>
      </c>
      <c r="E489" s="1108" t="s">
        <v>2257</v>
      </c>
      <c r="F489" s="1109">
        <v>0.1</v>
      </c>
      <c r="G489" s="1109">
        <v>0.0</v>
      </c>
      <c r="H489" s="1107"/>
    </row>
    <row r="490" ht="18.75" customHeight="1">
      <c r="A490" s="1107"/>
      <c r="B490" s="1108" t="s">
        <v>1285</v>
      </c>
      <c r="C490" s="1108" t="s">
        <v>1657</v>
      </c>
      <c r="D490" s="1108" t="s">
        <v>2258</v>
      </c>
      <c r="E490" s="1108" t="s">
        <v>2259</v>
      </c>
      <c r="F490" s="1109">
        <v>0.1</v>
      </c>
      <c r="G490" s="1109">
        <v>0.0</v>
      </c>
      <c r="H490" s="1107"/>
    </row>
    <row r="491" ht="18.75" customHeight="1">
      <c r="A491" s="1107"/>
      <c r="B491" s="1108" t="s">
        <v>1285</v>
      </c>
      <c r="C491" s="1108" t="s">
        <v>1657</v>
      </c>
      <c r="D491" s="1108" t="s">
        <v>2260</v>
      </c>
      <c r="E491" s="1108" t="s">
        <v>2261</v>
      </c>
      <c r="F491" s="1109">
        <v>0.1</v>
      </c>
      <c r="G491" s="1109">
        <v>0.0</v>
      </c>
      <c r="H491" s="1107"/>
    </row>
    <row r="492" ht="18.75" customHeight="1">
      <c r="A492" s="1107"/>
      <c r="B492" s="1108" t="s">
        <v>1285</v>
      </c>
      <c r="C492" s="1108" t="s">
        <v>1657</v>
      </c>
      <c r="D492" s="1108" t="s">
        <v>2262</v>
      </c>
      <c r="E492" s="1108" t="s">
        <v>2263</v>
      </c>
      <c r="F492" s="1109">
        <v>0.1</v>
      </c>
      <c r="G492" s="1109">
        <v>0.0</v>
      </c>
      <c r="H492" s="1107"/>
    </row>
    <row r="493" ht="18.75" customHeight="1">
      <c r="A493" s="1107"/>
      <c r="B493" s="1108" t="s">
        <v>1285</v>
      </c>
      <c r="C493" s="1108" t="s">
        <v>1657</v>
      </c>
      <c r="D493" s="1108" t="s">
        <v>2264</v>
      </c>
      <c r="E493" s="1108" t="s">
        <v>2265</v>
      </c>
      <c r="F493" s="1109">
        <v>0.1</v>
      </c>
      <c r="G493" s="1109">
        <v>0.0</v>
      </c>
      <c r="H493" s="1107"/>
    </row>
    <row r="494" ht="18.75" customHeight="1">
      <c r="A494" s="1107"/>
      <c r="B494" s="1108" t="s">
        <v>1285</v>
      </c>
      <c r="C494" s="1108" t="s">
        <v>1657</v>
      </c>
      <c r="D494" s="1108" t="s">
        <v>2266</v>
      </c>
      <c r="E494" s="1108" t="s">
        <v>2267</v>
      </c>
      <c r="F494" s="1109">
        <v>0.1</v>
      </c>
      <c r="G494" s="1109">
        <v>0.0</v>
      </c>
      <c r="H494" s="1107"/>
    </row>
    <row r="495" ht="18.75" customHeight="1">
      <c r="A495" s="1107"/>
      <c r="B495" s="1108" t="s">
        <v>1285</v>
      </c>
      <c r="C495" s="1108" t="s">
        <v>1657</v>
      </c>
      <c r="D495" s="1108" t="s">
        <v>2268</v>
      </c>
      <c r="E495" s="1108" t="s">
        <v>2269</v>
      </c>
      <c r="F495" s="1109">
        <v>0.1</v>
      </c>
      <c r="G495" s="1109">
        <v>0.0</v>
      </c>
      <c r="H495" s="1107"/>
    </row>
    <row r="496" ht="18.75" customHeight="1">
      <c r="A496" s="1107"/>
      <c r="B496" s="1108" t="s">
        <v>1285</v>
      </c>
      <c r="C496" s="1108" t="s">
        <v>1657</v>
      </c>
      <c r="D496" s="1108" t="s">
        <v>2270</v>
      </c>
      <c r="E496" s="1108" t="s">
        <v>2271</v>
      </c>
      <c r="F496" s="1109">
        <v>0.1</v>
      </c>
      <c r="G496" s="1109">
        <v>0.0</v>
      </c>
      <c r="H496" s="1107"/>
    </row>
    <row r="497" ht="18.75" customHeight="1">
      <c r="A497" s="1107"/>
      <c r="B497" s="1108" t="s">
        <v>1285</v>
      </c>
      <c r="C497" s="1108" t="s">
        <v>1657</v>
      </c>
      <c r="D497" s="1108" t="s">
        <v>2272</v>
      </c>
      <c r="E497" s="1108" t="s">
        <v>2273</v>
      </c>
      <c r="F497" s="1109">
        <v>0.1</v>
      </c>
      <c r="G497" s="1109">
        <v>0.0</v>
      </c>
      <c r="H497" s="1107"/>
    </row>
    <row r="498" ht="18.75" customHeight="1">
      <c r="A498" s="1107"/>
      <c r="B498" s="1108" t="s">
        <v>1285</v>
      </c>
      <c r="C498" s="1108" t="s">
        <v>1657</v>
      </c>
      <c r="D498" s="1108" t="s">
        <v>2274</v>
      </c>
      <c r="E498" s="1108" t="s">
        <v>2275</v>
      </c>
      <c r="F498" s="1109">
        <v>0.1</v>
      </c>
      <c r="G498" s="1109">
        <v>0.0</v>
      </c>
      <c r="H498" s="1107"/>
    </row>
    <row r="499" ht="18.75" customHeight="1">
      <c r="A499" s="1107"/>
      <c r="B499" s="1108" t="s">
        <v>1285</v>
      </c>
      <c r="C499" s="1108" t="s">
        <v>1657</v>
      </c>
      <c r="D499" s="1108" t="s">
        <v>2276</v>
      </c>
      <c r="E499" s="1108" t="s">
        <v>2277</v>
      </c>
      <c r="F499" s="1109">
        <v>0.1</v>
      </c>
      <c r="G499" s="1109">
        <v>0.0</v>
      </c>
      <c r="H499" s="1107"/>
    </row>
    <row r="500" ht="18.75" customHeight="1">
      <c r="A500" s="1107"/>
      <c r="B500" s="1108" t="s">
        <v>1285</v>
      </c>
      <c r="C500" s="1108" t="s">
        <v>2153</v>
      </c>
      <c r="D500" s="1108" t="s">
        <v>2278</v>
      </c>
      <c r="E500" s="1108" t="s">
        <v>2279</v>
      </c>
      <c r="F500" s="1109">
        <v>0.1</v>
      </c>
      <c r="G500" s="1109">
        <v>0.0</v>
      </c>
      <c r="H500" s="1107"/>
    </row>
    <row r="501" ht="18.75" customHeight="1">
      <c r="A501" s="1107"/>
      <c r="B501" s="1108" t="s">
        <v>1285</v>
      </c>
      <c r="C501" s="1108" t="s">
        <v>1657</v>
      </c>
      <c r="D501" s="1108" t="s">
        <v>2280</v>
      </c>
      <c r="E501" s="1108" t="s">
        <v>2281</v>
      </c>
      <c r="F501" s="1109">
        <v>0.1</v>
      </c>
      <c r="G501" s="1109">
        <v>0.0</v>
      </c>
      <c r="H501" s="1107"/>
    </row>
    <row r="502" ht="18.75" customHeight="1">
      <c r="A502" s="1107"/>
      <c r="B502" s="1108" t="s">
        <v>1285</v>
      </c>
      <c r="C502" s="1108" t="s">
        <v>1657</v>
      </c>
      <c r="D502" s="1108" t="s">
        <v>2282</v>
      </c>
      <c r="E502" s="1108" t="s">
        <v>2283</v>
      </c>
      <c r="F502" s="1109">
        <v>0.1</v>
      </c>
      <c r="G502" s="1109">
        <v>0.0</v>
      </c>
      <c r="H502" s="1107"/>
    </row>
    <row r="503" ht="18.75" customHeight="1">
      <c r="A503" s="1107"/>
      <c r="B503" s="1108" t="s">
        <v>1285</v>
      </c>
      <c r="C503" s="1108" t="s">
        <v>1657</v>
      </c>
      <c r="D503" s="1108" t="s">
        <v>2284</v>
      </c>
      <c r="E503" s="1108" t="s">
        <v>2285</v>
      </c>
      <c r="F503" s="1109">
        <v>0.1</v>
      </c>
      <c r="G503" s="1109">
        <v>0.0</v>
      </c>
      <c r="H503" s="1107"/>
    </row>
    <row r="504" ht="18.75" customHeight="1">
      <c r="A504" s="1107"/>
      <c r="B504" s="1108" t="s">
        <v>1285</v>
      </c>
      <c r="C504" s="1108" t="s">
        <v>1657</v>
      </c>
      <c r="D504" s="1108" t="s">
        <v>2286</v>
      </c>
      <c r="E504" s="1108" t="s">
        <v>2287</v>
      </c>
      <c r="F504" s="1109">
        <v>0.1</v>
      </c>
      <c r="G504" s="1109">
        <v>0.0</v>
      </c>
      <c r="H504" s="1107"/>
    </row>
    <row r="505" ht="18.75" customHeight="1">
      <c r="A505" s="1107"/>
      <c r="B505" s="1108" t="s">
        <v>1285</v>
      </c>
      <c r="C505" s="1108" t="s">
        <v>1657</v>
      </c>
      <c r="D505" s="1108" t="s">
        <v>2288</v>
      </c>
      <c r="E505" s="1108" t="s">
        <v>2289</v>
      </c>
      <c r="F505" s="1109">
        <v>0.1</v>
      </c>
      <c r="G505" s="1109">
        <v>0.0</v>
      </c>
      <c r="H505" s="1107"/>
    </row>
    <row r="506" ht="18.75" customHeight="1">
      <c r="A506" s="1107"/>
      <c r="B506" s="1108" t="s">
        <v>1285</v>
      </c>
      <c r="C506" s="1108" t="s">
        <v>1657</v>
      </c>
      <c r="D506" s="1108" t="s">
        <v>2290</v>
      </c>
      <c r="E506" s="1108" t="s">
        <v>2291</v>
      </c>
      <c r="F506" s="1109">
        <v>0.1</v>
      </c>
      <c r="G506" s="1109">
        <v>0.0</v>
      </c>
      <c r="H506" s="1107"/>
    </row>
    <row r="507" ht="18.75" customHeight="1">
      <c r="A507" s="1107"/>
      <c r="B507" s="1108" t="s">
        <v>1285</v>
      </c>
      <c r="C507" s="1108" t="s">
        <v>1657</v>
      </c>
      <c r="D507" s="1108" t="s">
        <v>2292</v>
      </c>
      <c r="E507" s="1108" t="s">
        <v>2293</v>
      </c>
      <c r="F507" s="1109">
        <v>0.1</v>
      </c>
      <c r="G507" s="1109">
        <v>0.0</v>
      </c>
      <c r="H507" s="1107"/>
    </row>
    <row r="508" ht="18.75" customHeight="1">
      <c r="A508" s="1107"/>
      <c r="B508" s="1108" t="s">
        <v>1285</v>
      </c>
      <c r="C508" s="1108" t="s">
        <v>1657</v>
      </c>
      <c r="D508" s="1108" t="s">
        <v>2294</v>
      </c>
      <c r="E508" s="1108" t="s">
        <v>2295</v>
      </c>
      <c r="F508" s="1109">
        <v>0.1</v>
      </c>
      <c r="G508" s="1109">
        <v>0.0</v>
      </c>
      <c r="H508" s="1107"/>
    </row>
    <row r="509" ht="18.75" customHeight="1">
      <c r="A509" s="1107"/>
      <c r="B509" s="1108" t="s">
        <v>1285</v>
      </c>
      <c r="C509" s="1108" t="s">
        <v>1657</v>
      </c>
      <c r="D509" s="1108" t="s">
        <v>2296</v>
      </c>
      <c r="E509" s="1108" t="s">
        <v>2297</v>
      </c>
      <c r="F509" s="1109">
        <v>0.1</v>
      </c>
      <c r="G509" s="1109">
        <v>0.0</v>
      </c>
      <c r="H509" s="1107"/>
    </row>
    <row r="510" ht="18.75" customHeight="1">
      <c r="A510" s="1107"/>
      <c r="B510" s="1108" t="s">
        <v>1285</v>
      </c>
      <c r="C510" s="1108" t="s">
        <v>1657</v>
      </c>
      <c r="D510" s="1108" t="s">
        <v>2298</v>
      </c>
      <c r="E510" s="1108" t="s">
        <v>2299</v>
      </c>
      <c r="F510" s="1109">
        <v>0.1</v>
      </c>
      <c r="G510" s="1109">
        <v>0.0</v>
      </c>
      <c r="H510" s="1107"/>
    </row>
    <row r="511" ht="18.75" customHeight="1">
      <c r="A511" s="1107"/>
      <c r="B511" s="1108" t="s">
        <v>1285</v>
      </c>
      <c r="C511" s="1108" t="s">
        <v>1657</v>
      </c>
      <c r="D511" s="1108" t="s">
        <v>2300</v>
      </c>
      <c r="E511" s="1108" t="s">
        <v>2301</v>
      </c>
      <c r="F511" s="1109">
        <v>0.1</v>
      </c>
      <c r="G511" s="1109">
        <v>0.0</v>
      </c>
      <c r="H511" s="1107"/>
    </row>
    <row r="512" ht="18.75" customHeight="1">
      <c r="A512" s="1107"/>
      <c r="B512" s="1108" t="s">
        <v>1285</v>
      </c>
      <c r="C512" s="1108" t="s">
        <v>1657</v>
      </c>
      <c r="D512" s="1108" t="s">
        <v>2302</v>
      </c>
      <c r="E512" s="1108" t="s">
        <v>2303</v>
      </c>
      <c r="F512" s="1109">
        <v>0.1</v>
      </c>
      <c r="G512" s="1109">
        <v>0.0</v>
      </c>
      <c r="H512" s="1107"/>
    </row>
    <row r="513" ht="18.75" customHeight="1">
      <c r="A513" s="1107"/>
      <c r="B513" s="1108" t="s">
        <v>1285</v>
      </c>
      <c r="C513" s="1108" t="s">
        <v>1657</v>
      </c>
      <c r="D513" s="1108" t="s">
        <v>2304</v>
      </c>
      <c r="E513" s="1108" t="s">
        <v>2305</v>
      </c>
      <c r="F513" s="1109">
        <v>0.1</v>
      </c>
      <c r="G513" s="1109">
        <v>0.0</v>
      </c>
      <c r="H513" s="1107"/>
    </row>
    <row r="514" ht="18.75" customHeight="1">
      <c r="A514" s="1107"/>
      <c r="B514" s="1108" t="s">
        <v>1285</v>
      </c>
      <c r="C514" s="1108" t="s">
        <v>1657</v>
      </c>
      <c r="D514" s="1108" t="s">
        <v>2306</v>
      </c>
      <c r="E514" s="1108" t="s">
        <v>2307</v>
      </c>
      <c r="F514" s="1109">
        <v>0.1</v>
      </c>
      <c r="G514" s="1109">
        <v>0.0</v>
      </c>
      <c r="H514" s="1107"/>
    </row>
    <row r="515" ht="18.75" customHeight="1">
      <c r="A515" s="1107"/>
      <c r="B515" s="1108" t="s">
        <v>1285</v>
      </c>
      <c r="C515" s="1108" t="s">
        <v>1657</v>
      </c>
      <c r="D515" s="1108" t="s">
        <v>2308</v>
      </c>
      <c r="E515" s="1108" t="s">
        <v>2309</v>
      </c>
      <c r="F515" s="1109">
        <v>0.1</v>
      </c>
      <c r="G515" s="1109">
        <v>0.0</v>
      </c>
      <c r="H515" s="1107"/>
    </row>
    <row r="516" ht="18.75" customHeight="1">
      <c r="A516" s="1107"/>
      <c r="B516" s="1108" t="s">
        <v>1285</v>
      </c>
      <c r="C516" s="1108" t="s">
        <v>1657</v>
      </c>
      <c r="D516" s="1108" t="s">
        <v>2310</v>
      </c>
      <c r="E516" s="1108" t="s">
        <v>2311</v>
      </c>
      <c r="F516" s="1109">
        <v>0.1</v>
      </c>
      <c r="G516" s="1109">
        <v>0.0</v>
      </c>
      <c r="H516" s="1107"/>
    </row>
    <row r="517" ht="18.75" customHeight="1">
      <c r="A517" s="1107"/>
      <c r="B517" s="1108" t="s">
        <v>1285</v>
      </c>
      <c r="C517" s="1108" t="s">
        <v>1657</v>
      </c>
      <c r="D517" s="1108" t="s">
        <v>2312</v>
      </c>
      <c r="E517" s="1108" t="s">
        <v>2313</v>
      </c>
      <c r="F517" s="1109">
        <v>0.1</v>
      </c>
      <c r="G517" s="1109">
        <v>0.0</v>
      </c>
      <c r="H517" s="1107"/>
    </row>
    <row r="518" ht="18.75" customHeight="1">
      <c r="A518" s="1107"/>
      <c r="B518" s="1108" t="s">
        <v>1285</v>
      </c>
      <c r="C518" s="1108" t="s">
        <v>1657</v>
      </c>
      <c r="D518" s="1108" t="s">
        <v>2314</v>
      </c>
      <c r="E518" s="1108" t="s">
        <v>2315</v>
      </c>
      <c r="F518" s="1109">
        <v>0.1</v>
      </c>
      <c r="G518" s="1109">
        <v>0.0</v>
      </c>
      <c r="H518" s="1107"/>
    </row>
    <row r="519" ht="18.75" customHeight="1">
      <c r="A519" s="1107"/>
      <c r="B519" s="1108" t="s">
        <v>1285</v>
      </c>
      <c r="C519" s="1108" t="s">
        <v>1657</v>
      </c>
      <c r="D519" s="1108" t="s">
        <v>2316</v>
      </c>
      <c r="E519" s="1108" t="s">
        <v>2317</v>
      </c>
      <c r="F519" s="1109">
        <v>0.1</v>
      </c>
      <c r="G519" s="1109">
        <v>0.0</v>
      </c>
      <c r="H519" s="1107"/>
    </row>
    <row r="520" ht="18.75" customHeight="1">
      <c r="A520" s="1107"/>
      <c r="B520" s="1108" t="s">
        <v>1285</v>
      </c>
      <c r="C520" s="1108" t="s">
        <v>1657</v>
      </c>
      <c r="D520" s="1108" t="s">
        <v>2318</v>
      </c>
      <c r="E520" s="1108" t="s">
        <v>2319</v>
      </c>
      <c r="F520" s="1109">
        <v>0.1</v>
      </c>
      <c r="G520" s="1109">
        <v>0.0</v>
      </c>
      <c r="H520" s="1107"/>
    </row>
    <row r="521" ht="18.75" customHeight="1">
      <c r="A521" s="1107"/>
      <c r="B521" s="1108" t="s">
        <v>1285</v>
      </c>
      <c r="C521" s="1108" t="s">
        <v>1657</v>
      </c>
      <c r="D521" s="1108" t="s">
        <v>2320</v>
      </c>
      <c r="E521" s="1108" t="s">
        <v>2321</v>
      </c>
      <c r="F521" s="1109">
        <v>0.1</v>
      </c>
      <c r="G521" s="1109">
        <v>0.0</v>
      </c>
      <c r="H521" s="1107"/>
    </row>
    <row r="522" ht="18.75" customHeight="1">
      <c r="A522" s="1107"/>
      <c r="B522" s="1108" t="s">
        <v>1285</v>
      </c>
      <c r="C522" s="1108" t="s">
        <v>1657</v>
      </c>
      <c r="D522" s="1108" t="s">
        <v>2322</v>
      </c>
      <c r="E522" s="1108" t="s">
        <v>2323</v>
      </c>
      <c r="F522" s="1109">
        <v>0.1</v>
      </c>
      <c r="G522" s="1109">
        <v>0.0</v>
      </c>
      <c r="H522" s="1107"/>
    </row>
    <row r="523" ht="18.75" customHeight="1">
      <c r="A523" s="1107"/>
      <c r="B523" s="1108" t="s">
        <v>1285</v>
      </c>
      <c r="C523" s="1108" t="s">
        <v>1657</v>
      </c>
      <c r="D523" s="1108" t="s">
        <v>2324</v>
      </c>
      <c r="E523" s="1108" t="s">
        <v>2325</v>
      </c>
      <c r="F523" s="1109">
        <v>0.1</v>
      </c>
      <c r="G523" s="1109">
        <v>0.0</v>
      </c>
      <c r="H523" s="1107"/>
    </row>
    <row r="524" ht="18.75" customHeight="1">
      <c r="A524" s="1107"/>
      <c r="B524" s="1108" t="s">
        <v>1285</v>
      </c>
      <c r="C524" s="1108" t="s">
        <v>1657</v>
      </c>
      <c r="D524" s="1108" t="s">
        <v>2326</v>
      </c>
      <c r="E524" s="1108" t="s">
        <v>2327</v>
      </c>
      <c r="F524" s="1109">
        <v>0.1</v>
      </c>
      <c r="G524" s="1109">
        <v>0.0</v>
      </c>
      <c r="H524" s="1107"/>
    </row>
    <row r="525" ht="18.75" customHeight="1">
      <c r="A525" s="1107"/>
      <c r="B525" s="1108" t="s">
        <v>1285</v>
      </c>
      <c r="C525" s="1108" t="s">
        <v>1657</v>
      </c>
      <c r="D525" s="1108" t="s">
        <v>2328</v>
      </c>
      <c r="E525" s="1108" t="s">
        <v>2329</v>
      </c>
      <c r="F525" s="1109">
        <v>0.1</v>
      </c>
      <c r="G525" s="1109">
        <v>0.0</v>
      </c>
      <c r="H525" s="1107"/>
    </row>
    <row r="526" ht="18.75" customHeight="1">
      <c r="A526" s="1107"/>
      <c r="B526" s="1108" t="s">
        <v>1285</v>
      </c>
      <c r="C526" s="1108" t="s">
        <v>1657</v>
      </c>
      <c r="D526" s="1108" t="s">
        <v>2330</v>
      </c>
      <c r="E526" s="1108" t="s">
        <v>2331</v>
      </c>
      <c r="F526" s="1109">
        <v>0.1</v>
      </c>
      <c r="G526" s="1109">
        <v>0.0</v>
      </c>
      <c r="H526" s="1107"/>
    </row>
    <row r="527" ht="18.75" customHeight="1">
      <c r="A527" s="1107"/>
      <c r="B527" s="1108" t="s">
        <v>1285</v>
      </c>
      <c r="C527" s="1108" t="s">
        <v>1657</v>
      </c>
      <c r="D527" s="1108" t="s">
        <v>2332</v>
      </c>
      <c r="E527" s="1108" t="s">
        <v>2333</v>
      </c>
      <c r="F527" s="1109">
        <v>0.1</v>
      </c>
      <c r="G527" s="1109">
        <v>0.0</v>
      </c>
      <c r="H527" s="1107"/>
    </row>
    <row r="528" ht="18.75" customHeight="1">
      <c r="A528" s="1107"/>
      <c r="B528" s="1108" t="s">
        <v>1285</v>
      </c>
      <c r="C528" s="1108" t="s">
        <v>1657</v>
      </c>
      <c r="D528" s="1108" t="s">
        <v>2334</v>
      </c>
      <c r="E528" s="1108" t="s">
        <v>2335</v>
      </c>
      <c r="F528" s="1109">
        <v>0.1</v>
      </c>
      <c r="G528" s="1109">
        <v>0.0</v>
      </c>
      <c r="H528" s="1107"/>
    </row>
    <row r="529" ht="18.75" customHeight="1">
      <c r="A529" s="1107"/>
      <c r="B529" s="1108" t="s">
        <v>1285</v>
      </c>
      <c r="C529" s="1108" t="s">
        <v>1657</v>
      </c>
      <c r="D529" s="1108" t="s">
        <v>2336</v>
      </c>
      <c r="E529" s="1108" t="s">
        <v>2337</v>
      </c>
      <c r="F529" s="1109">
        <v>0.1</v>
      </c>
      <c r="G529" s="1109">
        <v>0.0</v>
      </c>
      <c r="H529" s="1107"/>
    </row>
    <row r="530" ht="18.75" customHeight="1">
      <c r="A530" s="1107"/>
      <c r="B530" s="1108" t="s">
        <v>1285</v>
      </c>
      <c r="C530" s="1108" t="s">
        <v>1657</v>
      </c>
      <c r="D530" s="1108" t="s">
        <v>2338</v>
      </c>
      <c r="E530" s="1108" t="s">
        <v>2339</v>
      </c>
      <c r="F530" s="1109">
        <v>0.1</v>
      </c>
      <c r="G530" s="1109">
        <v>0.0</v>
      </c>
      <c r="H530" s="1107"/>
    </row>
    <row r="531" ht="18.75" customHeight="1">
      <c r="A531" s="1107"/>
      <c r="B531" s="1108" t="s">
        <v>1285</v>
      </c>
      <c r="C531" s="1108" t="s">
        <v>1657</v>
      </c>
      <c r="D531" s="1108" t="s">
        <v>2340</v>
      </c>
      <c r="E531" s="1108" t="s">
        <v>2341</v>
      </c>
      <c r="F531" s="1109">
        <v>0.1</v>
      </c>
      <c r="G531" s="1109">
        <v>0.0</v>
      </c>
      <c r="H531" s="1107"/>
    </row>
    <row r="532" ht="18.75" customHeight="1">
      <c r="A532" s="1107"/>
      <c r="B532" s="1108" t="s">
        <v>1285</v>
      </c>
      <c r="C532" s="1108" t="s">
        <v>1657</v>
      </c>
      <c r="D532" s="1108" t="s">
        <v>2342</v>
      </c>
      <c r="E532" s="1108" t="s">
        <v>2343</v>
      </c>
      <c r="F532" s="1109">
        <v>0.1</v>
      </c>
      <c r="G532" s="1109">
        <v>0.0</v>
      </c>
      <c r="H532" s="1107"/>
    </row>
    <row r="533" ht="18.75" customHeight="1">
      <c r="A533" s="1107"/>
      <c r="B533" s="1108" t="s">
        <v>1285</v>
      </c>
      <c r="C533" s="1108" t="s">
        <v>1657</v>
      </c>
      <c r="D533" s="1108" t="s">
        <v>2344</v>
      </c>
      <c r="E533" s="1108" t="s">
        <v>2345</v>
      </c>
      <c r="F533" s="1109">
        <v>0.1</v>
      </c>
      <c r="G533" s="1109">
        <v>0.0</v>
      </c>
      <c r="H533" s="1107"/>
    </row>
    <row r="534" ht="18.75" customHeight="1">
      <c r="A534" s="1107"/>
      <c r="B534" s="1108" t="s">
        <v>1285</v>
      </c>
      <c r="C534" s="1108" t="s">
        <v>1657</v>
      </c>
      <c r="D534" s="1108" t="s">
        <v>2346</v>
      </c>
      <c r="E534" s="1108" t="s">
        <v>2347</v>
      </c>
      <c r="F534" s="1109">
        <v>0.1</v>
      </c>
      <c r="G534" s="1109">
        <v>0.0</v>
      </c>
      <c r="H534" s="1107"/>
    </row>
    <row r="535" ht="18.75" customHeight="1">
      <c r="A535" s="1107"/>
      <c r="B535" s="1108" t="s">
        <v>1285</v>
      </c>
      <c r="C535" s="1108" t="s">
        <v>1657</v>
      </c>
      <c r="D535" s="1108" t="s">
        <v>2348</v>
      </c>
      <c r="E535" s="1108" t="s">
        <v>2349</v>
      </c>
      <c r="F535" s="1109">
        <v>0.1</v>
      </c>
      <c r="G535" s="1109">
        <v>0.0</v>
      </c>
      <c r="H535" s="1107"/>
    </row>
    <row r="536" ht="18.75" customHeight="1">
      <c r="A536" s="1107"/>
      <c r="B536" s="1108" t="s">
        <v>1285</v>
      </c>
      <c r="C536" s="1108" t="s">
        <v>1657</v>
      </c>
      <c r="D536" s="1108" t="s">
        <v>2350</v>
      </c>
      <c r="E536" s="1108" t="s">
        <v>2351</v>
      </c>
      <c r="F536" s="1109">
        <v>0.1</v>
      </c>
      <c r="G536" s="1109">
        <v>0.0</v>
      </c>
      <c r="H536" s="1107"/>
    </row>
    <row r="537" ht="18.75" customHeight="1">
      <c r="A537" s="1107"/>
      <c r="B537" s="1108" t="s">
        <v>1285</v>
      </c>
      <c r="C537" s="1108" t="s">
        <v>1657</v>
      </c>
      <c r="D537" s="1108" t="s">
        <v>2352</v>
      </c>
      <c r="E537" s="1108" t="s">
        <v>2353</v>
      </c>
      <c r="F537" s="1109">
        <v>0.1</v>
      </c>
      <c r="G537" s="1109">
        <v>0.0</v>
      </c>
      <c r="H537" s="1107"/>
    </row>
    <row r="538" ht="18.75" customHeight="1">
      <c r="A538" s="1107"/>
      <c r="B538" s="1108" t="s">
        <v>1285</v>
      </c>
      <c r="C538" s="1108" t="s">
        <v>1657</v>
      </c>
      <c r="D538" s="1108" t="s">
        <v>2354</v>
      </c>
      <c r="E538" s="1108" t="s">
        <v>2355</v>
      </c>
      <c r="F538" s="1109">
        <v>0.1</v>
      </c>
      <c r="G538" s="1109">
        <v>0.0</v>
      </c>
      <c r="H538" s="1107"/>
    </row>
    <row r="539" ht="18.75" customHeight="1">
      <c r="A539" s="1107"/>
      <c r="B539" s="1108" t="s">
        <v>1285</v>
      </c>
      <c r="C539" s="1108" t="s">
        <v>1657</v>
      </c>
      <c r="D539" s="1108" t="s">
        <v>2356</v>
      </c>
      <c r="E539" s="1108" t="s">
        <v>2357</v>
      </c>
      <c r="F539" s="1109">
        <v>0.1</v>
      </c>
      <c r="G539" s="1109">
        <v>0.0</v>
      </c>
      <c r="H539" s="1107"/>
    </row>
    <row r="540" ht="18.75" customHeight="1">
      <c r="A540" s="1107"/>
      <c r="B540" s="1108" t="s">
        <v>1285</v>
      </c>
      <c r="C540" s="1108" t="s">
        <v>1657</v>
      </c>
      <c r="D540" s="1108" t="s">
        <v>2358</v>
      </c>
      <c r="E540" s="1108" t="s">
        <v>2359</v>
      </c>
      <c r="F540" s="1109">
        <v>0.1</v>
      </c>
      <c r="G540" s="1109">
        <v>0.0</v>
      </c>
      <c r="H540" s="1107"/>
    </row>
    <row r="541" ht="18.75" customHeight="1">
      <c r="A541" s="1107"/>
      <c r="B541" s="1108" t="s">
        <v>1285</v>
      </c>
      <c r="C541" s="1108" t="s">
        <v>1657</v>
      </c>
      <c r="D541" s="1108" t="s">
        <v>2360</v>
      </c>
      <c r="E541" s="1108" t="s">
        <v>2361</v>
      </c>
      <c r="F541" s="1109">
        <v>0.1</v>
      </c>
      <c r="G541" s="1109">
        <v>0.0</v>
      </c>
      <c r="H541" s="1107"/>
    </row>
    <row r="542" ht="18.75" customHeight="1">
      <c r="A542" s="1107"/>
      <c r="B542" s="1108" t="s">
        <v>1285</v>
      </c>
      <c r="C542" s="1108" t="s">
        <v>1657</v>
      </c>
      <c r="D542" s="1108" t="s">
        <v>2362</v>
      </c>
      <c r="E542" s="1108" t="s">
        <v>2363</v>
      </c>
      <c r="F542" s="1109">
        <v>0.1</v>
      </c>
      <c r="G542" s="1109">
        <v>0.0</v>
      </c>
      <c r="H542" s="1107"/>
    </row>
    <row r="543" ht="18.75" customHeight="1">
      <c r="A543" s="1107"/>
      <c r="B543" s="1108" t="s">
        <v>1285</v>
      </c>
      <c r="C543" s="1108" t="s">
        <v>1657</v>
      </c>
      <c r="D543" s="1108" t="s">
        <v>2364</v>
      </c>
      <c r="E543" s="1108" t="s">
        <v>2365</v>
      </c>
      <c r="F543" s="1109">
        <v>0.1</v>
      </c>
      <c r="G543" s="1109">
        <v>0.0</v>
      </c>
      <c r="H543" s="1107"/>
    </row>
    <row r="544" ht="18.75" customHeight="1">
      <c r="A544" s="1107"/>
      <c r="B544" s="1108" t="s">
        <v>1285</v>
      </c>
      <c r="C544" s="1108" t="s">
        <v>1657</v>
      </c>
      <c r="D544" s="1108" t="s">
        <v>2366</v>
      </c>
      <c r="E544" s="1108" t="s">
        <v>2367</v>
      </c>
      <c r="F544" s="1109">
        <v>0.1</v>
      </c>
      <c r="G544" s="1109">
        <v>0.0</v>
      </c>
      <c r="H544" s="1107"/>
    </row>
    <row r="545" ht="18.75" customHeight="1">
      <c r="A545" s="1107"/>
      <c r="B545" s="1108" t="s">
        <v>1285</v>
      </c>
      <c r="C545" s="1108" t="s">
        <v>1657</v>
      </c>
      <c r="D545" s="1108" t="s">
        <v>2368</v>
      </c>
      <c r="E545" s="1108" t="s">
        <v>2369</v>
      </c>
      <c r="F545" s="1109">
        <v>0.1</v>
      </c>
      <c r="G545" s="1109">
        <v>0.0</v>
      </c>
      <c r="H545" s="1107"/>
    </row>
    <row r="546" ht="18.75" customHeight="1">
      <c r="A546" s="1107"/>
      <c r="B546" s="1108" t="s">
        <v>1285</v>
      </c>
      <c r="C546" s="1108" t="s">
        <v>1657</v>
      </c>
      <c r="D546" s="1108" t="s">
        <v>2370</v>
      </c>
      <c r="E546" s="1108" t="s">
        <v>2371</v>
      </c>
      <c r="F546" s="1109">
        <v>0.1</v>
      </c>
      <c r="G546" s="1109">
        <v>0.0</v>
      </c>
      <c r="H546" s="1107"/>
    </row>
    <row r="547" ht="18.75" customHeight="1">
      <c r="A547" s="1107"/>
      <c r="B547" s="1108" t="s">
        <v>1285</v>
      </c>
      <c r="C547" s="1108" t="s">
        <v>1657</v>
      </c>
      <c r="D547" s="1108" t="s">
        <v>2372</v>
      </c>
      <c r="E547" s="1108" t="s">
        <v>2373</v>
      </c>
      <c r="F547" s="1109">
        <v>0.1</v>
      </c>
      <c r="G547" s="1109">
        <v>0.0</v>
      </c>
      <c r="H547" s="1107"/>
    </row>
    <row r="548" ht="18.75" customHeight="1">
      <c r="A548" s="1107"/>
      <c r="B548" s="1108" t="s">
        <v>1285</v>
      </c>
      <c r="C548" s="1108" t="s">
        <v>1657</v>
      </c>
      <c r="D548" s="1108" t="s">
        <v>2374</v>
      </c>
      <c r="E548" s="1108" t="s">
        <v>2375</v>
      </c>
      <c r="F548" s="1109">
        <v>0.1</v>
      </c>
      <c r="G548" s="1109">
        <v>0.0</v>
      </c>
      <c r="H548" s="1107"/>
    </row>
    <row r="549" ht="18.75" customHeight="1">
      <c r="A549" s="1107"/>
      <c r="B549" s="1108" t="s">
        <v>1285</v>
      </c>
      <c r="C549" s="1108" t="s">
        <v>1657</v>
      </c>
      <c r="D549" s="1108" t="s">
        <v>2376</v>
      </c>
      <c r="E549" s="1108" t="s">
        <v>2377</v>
      </c>
      <c r="F549" s="1109">
        <v>0.1</v>
      </c>
      <c r="G549" s="1109">
        <v>0.0</v>
      </c>
      <c r="H549" s="1107"/>
    </row>
    <row r="550" ht="18.75" customHeight="1">
      <c r="A550" s="1107"/>
      <c r="B550" s="1108" t="s">
        <v>1285</v>
      </c>
      <c r="C550" s="1108" t="s">
        <v>1657</v>
      </c>
      <c r="D550" s="1108" t="s">
        <v>2378</v>
      </c>
      <c r="E550" s="1108" t="s">
        <v>2379</v>
      </c>
      <c r="F550" s="1109">
        <v>0.1</v>
      </c>
      <c r="G550" s="1109">
        <v>0.0</v>
      </c>
      <c r="H550" s="1107"/>
    </row>
    <row r="551" ht="18.75" customHeight="1">
      <c r="A551" s="1107"/>
      <c r="B551" s="1108" t="s">
        <v>1285</v>
      </c>
      <c r="C551" s="1108" t="s">
        <v>1657</v>
      </c>
      <c r="D551" s="1108" t="s">
        <v>2380</v>
      </c>
      <c r="E551" s="1108" t="s">
        <v>2381</v>
      </c>
      <c r="F551" s="1109">
        <v>0.1</v>
      </c>
      <c r="G551" s="1109">
        <v>0.0</v>
      </c>
      <c r="H551" s="1107"/>
    </row>
    <row r="552" ht="18.75" customHeight="1">
      <c r="A552" s="1107"/>
      <c r="B552" s="1108" t="s">
        <v>1285</v>
      </c>
      <c r="C552" s="1108" t="s">
        <v>1657</v>
      </c>
      <c r="D552" s="1108" t="s">
        <v>2382</v>
      </c>
      <c r="E552" s="1108" t="s">
        <v>2383</v>
      </c>
      <c r="F552" s="1109">
        <v>0.1</v>
      </c>
      <c r="G552" s="1109">
        <v>0.0</v>
      </c>
      <c r="H552" s="1107"/>
    </row>
    <row r="553" ht="18.75" customHeight="1">
      <c r="A553" s="1107"/>
      <c r="B553" s="1108" t="s">
        <v>1285</v>
      </c>
      <c r="C553" s="1108" t="s">
        <v>1657</v>
      </c>
      <c r="D553" s="1108" t="s">
        <v>2384</v>
      </c>
      <c r="E553" s="1108" t="s">
        <v>2385</v>
      </c>
      <c r="F553" s="1109">
        <v>0.1</v>
      </c>
      <c r="G553" s="1109">
        <v>0.0</v>
      </c>
      <c r="H553" s="1107"/>
    </row>
    <row r="554" ht="18.75" customHeight="1">
      <c r="A554" s="1107"/>
      <c r="B554" s="1108" t="s">
        <v>1285</v>
      </c>
      <c r="C554" s="1108" t="s">
        <v>1657</v>
      </c>
      <c r="D554" s="1108" t="s">
        <v>2386</v>
      </c>
      <c r="E554" s="1108" t="s">
        <v>2387</v>
      </c>
      <c r="F554" s="1109">
        <v>0.1</v>
      </c>
      <c r="G554" s="1109">
        <v>0.0</v>
      </c>
      <c r="H554" s="1107"/>
    </row>
    <row r="555" ht="18.75" customHeight="1">
      <c r="A555" s="1107"/>
      <c r="B555" s="1108" t="s">
        <v>1285</v>
      </c>
      <c r="C555" s="1108" t="s">
        <v>1657</v>
      </c>
      <c r="D555" s="1108" t="s">
        <v>2388</v>
      </c>
      <c r="E555" s="1108" t="s">
        <v>2389</v>
      </c>
      <c r="F555" s="1109">
        <v>0.1</v>
      </c>
      <c r="G555" s="1109">
        <v>0.0</v>
      </c>
      <c r="H555" s="1107"/>
    </row>
    <row r="556" ht="18.75" customHeight="1">
      <c r="A556" s="1107"/>
      <c r="B556" s="1108" t="s">
        <v>1285</v>
      </c>
      <c r="C556" s="1108" t="s">
        <v>1657</v>
      </c>
      <c r="D556" s="1108" t="s">
        <v>2390</v>
      </c>
      <c r="E556" s="1108" t="s">
        <v>2391</v>
      </c>
      <c r="F556" s="1109">
        <v>0.1</v>
      </c>
      <c r="G556" s="1109">
        <v>0.0</v>
      </c>
      <c r="H556" s="1107"/>
    </row>
    <row r="557" ht="18.75" customHeight="1">
      <c r="A557" s="1107"/>
      <c r="B557" s="1108" t="s">
        <v>1285</v>
      </c>
      <c r="C557" s="1108" t="s">
        <v>1657</v>
      </c>
      <c r="D557" s="1108" t="s">
        <v>2392</v>
      </c>
      <c r="E557" s="1108" t="s">
        <v>2393</v>
      </c>
      <c r="F557" s="1109">
        <v>0.1</v>
      </c>
      <c r="G557" s="1109">
        <v>0.0</v>
      </c>
      <c r="H557" s="1107"/>
    </row>
    <row r="558" ht="18.75" customHeight="1">
      <c r="A558" s="1107"/>
      <c r="B558" s="1108" t="s">
        <v>1285</v>
      </c>
      <c r="C558" s="1108" t="s">
        <v>1657</v>
      </c>
      <c r="D558" s="1108" t="s">
        <v>2394</v>
      </c>
      <c r="E558" s="1108" t="s">
        <v>2395</v>
      </c>
      <c r="F558" s="1109">
        <v>0.1</v>
      </c>
      <c r="G558" s="1109">
        <v>0.0</v>
      </c>
      <c r="H558" s="1107"/>
    </row>
    <row r="559" ht="18.75" customHeight="1">
      <c r="A559" s="1107"/>
      <c r="B559" s="1108" t="s">
        <v>1285</v>
      </c>
      <c r="C559" s="1108" t="s">
        <v>1657</v>
      </c>
      <c r="D559" s="1108" t="s">
        <v>2396</v>
      </c>
      <c r="E559" s="1108" t="s">
        <v>2397</v>
      </c>
      <c r="F559" s="1109">
        <v>0.1</v>
      </c>
      <c r="G559" s="1109">
        <v>0.0</v>
      </c>
      <c r="H559" s="1107"/>
    </row>
    <row r="560" ht="18.75" customHeight="1">
      <c r="A560" s="1107"/>
      <c r="B560" s="1108" t="s">
        <v>1285</v>
      </c>
      <c r="C560" s="1108" t="s">
        <v>2153</v>
      </c>
      <c r="D560" s="1108" t="s">
        <v>2398</v>
      </c>
      <c r="E560" s="1108" t="s">
        <v>2399</v>
      </c>
      <c r="F560" s="1109">
        <v>0.1</v>
      </c>
      <c r="G560" s="1109">
        <v>0.0</v>
      </c>
      <c r="H560" s="1107"/>
    </row>
    <row r="561" ht="18.75" customHeight="1">
      <c r="A561" s="1107"/>
      <c r="B561" s="1108" t="s">
        <v>1285</v>
      </c>
      <c r="C561" s="1108" t="s">
        <v>1657</v>
      </c>
      <c r="D561" s="1108" t="s">
        <v>2400</v>
      </c>
      <c r="E561" s="1108" t="s">
        <v>2401</v>
      </c>
      <c r="F561" s="1109">
        <v>0.1</v>
      </c>
      <c r="G561" s="1109">
        <v>0.0</v>
      </c>
      <c r="H561" s="1107"/>
    </row>
    <row r="562" ht="18.75" customHeight="1">
      <c r="A562" s="1107"/>
      <c r="B562" s="1108" t="s">
        <v>1285</v>
      </c>
      <c r="C562" s="1108" t="s">
        <v>1657</v>
      </c>
      <c r="D562" s="1108" t="s">
        <v>2402</v>
      </c>
      <c r="E562" s="1108" t="s">
        <v>2403</v>
      </c>
      <c r="F562" s="1109">
        <v>0.1</v>
      </c>
      <c r="G562" s="1109">
        <v>0.0</v>
      </c>
      <c r="H562" s="1107"/>
    </row>
    <row r="563" ht="18.75" customHeight="1">
      <c r="A563" s="1107"/>
      <c r="B563" s="1108" t="s">
        <v>1285</v>
      </c>
      <c r="C563" s="1108" t="s">
        <v>1657</v>
      </c>
      <c r="D563" s="1108" t="s">
        <v>2404</v>
      </c>
      <c r="E563" s="1108" t="s">
        <v>2405</v>
      </c>
      <c r="F563" s="1109">
        <v>0.1</v>
      </c>
      <c r="G563" s="1109">
        <v>0.0</v>
      </c>
      <c r="H563" s="1107"/>
    </row>
    <row r="564" ht="18.75" customHeight="1">
      <c r="A564" s="1107"/>
      <c r="B564" s="1108" t="s">
        <v>1285</v>
      </c>
      <c r="C564" s="1108" t="s">
        <v>1657</v>
      </c>
      <c r="D564" s="1108" t="s">
        <v>2406</v>
      </c>
      <c r="E564" s="1108" t="s">
        <v>2407</v>
      </c>
      <c r="F564" s="1109">
        <v>0.1</v>
      </c>
      <c r="G564" s="1109">
        <v>0.0</v>
      </c>
      <c r="H564" s="1107"/>
    </row>
    <row r="565" ht="18.75" customHeight="1">
      <c r="A565" s="1107"/>
      <c r="B565" s="1108" t="s">
        <v>1285</v>
      </c>
      <c r="C565" s="1108" t="s">
        <v>2408</v>
      </c>
      <c r="D565" s="1108" t="s">
        <v>2409</v>
      </c>
      <c r="E565" s="1108" t="s">
        <v>2410</v>
      </c>
      <c r="F565" s="1109">
        <v>0.1</v>
      </c>
      <c r="G565" s="1109">
        <v>0.0</v>
      </c>
      <c r="H565" s="1107"/>
    </row>
    <row r="566" ht="18.75" customHeight="1">
      <c r="A566" s="1107"/>
      <c r="B566" s="1108" t="s">
        <v>1285</v>
      </c>
      <c r="C566" s="1108" t="s">
        <v>1657</v>
      </c>
      <c r="D566" s="1108" t="s">
        <v>2411</v>
      </c>
      <c r="E566" s="1108" t="s">
        <v>2412</v>
      </c>
      <c r="F566" s="1109">
        <v>0.1</v>
      </c>
      <c r="G566" s="1109">
        <v>0.0</v>
      </c>
      <c r="H566" s="1107"/>
    </row>
    <row r="567" ht="18.75" customHeight="1">
      <c r="A567" s="1107"/>
      <c r="B567" s="1108" t="s">
        <v>1285</v>
      </c>
      <c r="C567" s="1108" t="s">
        <v>1657</v>
      </c>
      <c r="D567" s="1108" t="s">
        <v>2413</v>
      </c>
      <c r="E567" s="1108" t="s">
        <v>2414</v>
      </c>
      <c r="F567" s="1109">
        <v>0.1</v>
      </c>
      <c r="G567" s="1109">
        <v>0.0</v>
      </c>
      <c r="H567" s="1107"/>
    </row>
    <row r="568" ht="18.75" customHeight="1">
      <c r="A568" s="1107"/>
      <c r="B568" s="1108" t="s">
        <v>1285</v>
      </c>
      <c r="C568" s="1108" t="s">
        <v>1657</v>
      </c>
      <c r="D568" s="1108" t="s">
        <v>2415</v>
      </c>
      <c r="E568" s="1108" t="s">
        <v>2416</v>
      </c>
      <c r="F568" s="1109">
        <v>0.1</v>
      </c>
      <c r="G568" s="1109">
        <v>0.0</v>
      </c>
      <c r="H568" s="1107"/>
    </row>
    <row r="569" ht="18.75" customHeight="1">
      <c r="A569" s="1107"/>
      <c r="B569" s="1108" t="s">
        <v>1285</v>
      </c>
      <c r="C569" s="1108" t="s">
        <v>1657</v>
      </c>
      <c r="D569" s="1108" t="s">
        <v>2417</v>
      </c>
      <c r="E569" s="1108" t="s">
        <v>2418</v>
      </c>
      <c r="F569" s="1109">
        <v>0.1</v>
      </c>
      <c r="G569" s="1109">
        <v>0.0</v>
      </c>
      <c r="H569" s="1107"/>
    </row>
    <row r="570" ht="18.75" customHeight="1">
      <c r="A570" s="1107"/>
      <c r="B570" s="1108" t="s">
        <v>1285</v>
      </c>
      <c r="C570" s="1108" t="s">
        <v>1657</v>
      </c>
      <c r="D570" s="1108" t="s">
        <v>2419</v>
      </c>
      <c r="E570" s="1108" t="s">
        <v>2420</v>
      </c>
      <c r="F570" s="1109">
        <v>0.1</v>
      </c>
      <c r="G570" s="1109">
        <v>0.0</v>
      </c>
      <c r="H570" s="1107"/>
    </row>
    <row r="571" ht="18.75" customHeight="1">
      <c r="A571" s="1107"/>
      <c r="B571" s="1108" t="s">
        <v>1285</v>
      </c>
      <c r="C571" s="1108" t="s">
        <v>1657</v>
      </c>
      <c r="D571" s="1108" t="s">
        <v>2421</v>
      </c>
      <c r="E571" s="1108" t="s">
        <v>2422</v>
      </c>
      <c r="F571" s="1109">
        <v>0.1</v>
      </c>
      <c r="G571" s="1109">
        <v>0.0</v>
      </c>
      <c r="H571" s="1107"/>
    </row>
    <row r="572" ht="18.75" customHeight="1">
      <c r="A572" s="1107"/>
      <c r="B572" s="1108" t="s">
        <v>1285</v>
      </c>
      <c r="C572" s="1108" t="s">
        <v>1657</v>
      </c>
      <c r="D572" s="1108" t="s">
        <v>2423</v>
      </c>
      <c r="E572" s="1108" t="s">
        <v>2424</v>
      </c>
      <c r="F572" s="1109">
        <v>0.1</v>
      </c>
      <c r="G572" s="1109">
        <v>0.0</v>
      </c>
      <c r="H572" s="1107"/>
    </row>
    <row r="573" ht="18.75" customHeight="1">
      <c r="A573" s="1107"/>
      <c r="B573" s="1108" t="s">
        <v>1285</v>
      </c>
      <c r="C573" s="1108" t="s">
        <v>1657</v>
      </c>
      <c r="D573" s="1108" t="s">
        <v>2425</v>
      </c>
      <c r="E573" s="1108" t="s">
        <v>2426</v>
      </c>
      <c r="F573" s="1109">
        <v>0.1</v>
      </c>
      <c r="G573" s="1109">
        <v>0.0</v>
      </c>
      <c r="H573" s="1107"/>
    </row>
    <row r="574" ht="18.75" customHeight="1">
      <c r="A574" s="1107"/>
      <c r="B574" s="1108" t="s">
        <v>1285</v>
      </c>
      <c r="C574" s="1108" t="s">
        <v>2408</v>
      </c>
      <c r="D574" s="1108" t="s">
        <v>2427</v>
      </c>
      <c r="E574" s="1108" t="s">
        <v>2428</v>
      </c>
      <c r="F574" s="1109">
        <v>0.1</v>
      </c>
      <c r="G574" s="1109">
        <v>0.0</v>
      </c>
      <c r="H574" s="1107"/>
    </row>
    <row r="575" ht="18.75" customHeight="1">
      <c r="A575" s="1107"/>
      <c r="B575" s="1108" t="s">
        <v>1285</v>
      </c>
      <c r="C575" s="1108" t="s">
        <v>1657</v>
      </c>
      <c r="D575" s="1108" t="s">
        <v>2429</v>
      </c>
      <c r="E575" s="1108" t="s">
        <v>2430</v>
      </c>
      <c r="F575" s="1109">
        <v>0.1</v>
      </c>
      <c r="G575" s="1109">
        <v>0.0</v>
      </c>
      <c r="H575" s="1107"/>
    </row>
    <row r="576" ht="18.75" customHeight="1">
      <c r="A576" s="1107"/>
      <c r="B576" s="1108" t="s">
        <v>1285</v>
      </c>
      <c r="C576" s="1108" t="s">
        <v>1657</v>
      </c>
      <c r="D576" s="1108" t="s">
        <v>2431</v>
      </c>
      <c r="E576" s="1108" t="s">
        <v>2432</v>
      </c>
      <c r="F576" s="1109">
        <v>0.1</v>
      </c>
      <c r="G576" s="1109">
        <v>0.0</v>
      </c>
      <c r="H576" s="1107"/>
    </row>
    <row r="577" ht="18.75" customHeight="1">
      <c r="A577" s="1107"/>
      <c r="B577" s="1108" t="s">
        <v>1285</v>
      </c>
      <c r="C577" s="1108" t="s">
        <v>1657</v>
      </c>
      <c r="D577" s="1108" t="s">
        <v>2433</v>
      </c>
      <c r="E577" s="1108" t="s">
        <v>2434</v>
      </c>
      <c r="F577" s="1109">
        <v>0.1</v>
      </c>
      <c r="G577" s="1109">
        <v>0.0</v>
      </c>
      <c r="H577" s="1107"/>
    </row>
    <row r="578" ht="18.75" customHeight="1">
      <c r="A578" s="1107"/>
      <c r="B578" s="1108" t="s">
        <v>1285</v>
      </c>
      <c r="C578" s="1108" t="s">
        <v>1657</v>
      </c>
      <c r="D578" s="1108" t="s">
        <v>2435</v>
      </c>
      <c r="E578" s="1108" t="s">
        <v>2436</v>
      </c>
      <c r="F578" s="1109">
        <v>0.1</v>
      </c>
      <c r="G578" s="1109">
        <v>0.0</v>
      </c>
      <c r="H578" s="1107"/>
    </row>
    <row r="579" ht="18.75" customHeight="1">
      <c r="A579" s="1107"/>
      <c r="B579" s="1108" t="s">
        <v>1285</v>
      </c>
      <c r="C579" s="1108" t="s">
        <v>1657</v>
      </c>
      <c r="D579" s="1108" t="s">
        <v>2437</v>
      </c>
      <c r="E579" s="1108" t="s">
        <v>2438</v>
      </c>
      <c r="F579" s="1109">
        <v>0.1</v>
      </c>
      <c r="G579" s="1109">
        <v>0.0</v>
      </c>
      <c r="H579" s="1107"/>
    </row>
    <row r="580" ht="18.75" customHeight="1">
      <c r="A580" s="1107"/>
      <c r="B580" s="1108" t="s">
        <v>1285</v>
      </c>
      <c r="C580" s="1108" t="s">
        <v>1657</v>
      </c>
      <c r="D580" s="1108" t="s">
        <v>2439</v>
      </c>
      <c r="E580" s="1108" t="s">
        <v>2440</v>
      </c>
      <c r="F580" s="1109">
        <v>0.1</v>
      </c>
      <c r="G580" s="1109">
        <v>0.0</v>
      </c>
      <c r="H580" s="1107"/>
    </row>
    <row r="581" ht="18.75" customHeight="1">
      <c r="A581" s="1107"/>
      <c r="B581" s="1108" t="s">
        <v>1285</v>
      </c>
      <c r="C581" s="1108" t="s">
        <v>1657</v>
      </c>
      <c r="D581" s="1108" t="s">
        <v>2441</v>
      </c>
      <c r="E581" s="1108" t="s">
        <v>2442</v>
      </c>
      <c r="F581" s="1109">
        <v>0.1</v>
      </c>
      <c r="G581" s="1109">
        <v>0.0</v>
      </c>
      <c r="H581" s="1107"/>
    </row>
    <row r="582" ht="18.75" customHeight="1">
      <c r="A582" s="1107"/>
      <c r="B582" s="1108" t="s">
        <v>1285</v>
      </c>
      <c r="C582" s="1108" t="s">
        <v>1657</v>
      </c>
      <c r="D582" s="1108" t="s">
        <v>2443</v>
      </c>
      <c r="E582" s="1108" t="s">
        <v>2444</v>
      </c>
      <c r="F582" s="1109">
        <v>0.1</v>
      </c>
      <c r="G582" s="1109">
        <v>0.0</v>
      </c>
      <c r="H582" s="1107"/>
    </row>
    <row r="583" ht="18.75" customHeight="1">
      <c r="A583" s="1107"/>
      <c r="B583" s="1108" t="s">
        <v>1285</v>
      </c>
      <c r="C583" s="1108" t="s">
        <v>1657</v>
      </c>
      <c r="D583" s="1108" t="s">
        <v>2445</v>
      </c>
      <c r="E583" s="1108" t="s">
        <v>2446</v>
      </c>
      <c r="F583" s="1109">
        <v>0.1</v>
      </c>
      <c r="G583" s="1109">
        <v>0.0</v>
      </c>
      <c r="H583" s="1107"/>
    </row>
    <row r="584" ht="18.75" customHeight="1">
      <c r="A584" s="1107"/>
      <c r="B584" s="1108" t="s">
        <v>1285</v>
      </c>
      <c r="C584" s="1108" t="s">
        <v>1657</v>
      </c>
      <c r="D584" s="1108" t="s">
        <v>2447</v>
      </c>
      <c r="E584" s="1108" t="s">
        <v>2448</v>
      </c>
      <c r="F584" s="1109">
        <v>0.1</v>
      </c>
      <c r="G584" s="1109">
        <v>0.0</v>
      </c>
      <c r="H584" s="1107"/>
    </row>
    <row r="585" ht="18.75" customHeight="1">
      <c r="A585" s="1107"/>
      <c r="B585" s="1108" t="s">
        <v>1285</v>
      </c>
      <c r="C585" s="1108" t="s">
        <v>1657</v>
      </c>
      <c r="D585" s="1108" t="s">
        <v>2449</v>
      </c>
      <c r="E585" s="1108" t="s">
        <v>2450</v>
      </c>
      <c r="F585" s="1109">
        <v>0.1</v>
      </c>
      <c r="G585" s="1109">
        <v>0.0</v>
      </c>
      <c r="H585" s="1107"/>
    </row>
    <row r="586" ht="18.75" customHeight="1">
      <c r="A586" s="1107"/>
      <c r="B586" s="1108" t="s">
        <v>1285</v>
      </c>
      <c r="C586" s="1108" t="s">
        <v>1657</v>
      </c>
      <c r="D586" s="1108" t="s">
        <v>2451</v>
      </c>
      <c r="E586" s="1108" t="s">
        <v>2452</v>
      </c>
      <c r="F586" s="1109">
        <v>0.1</v>
      </c>
      <c r="G586" s="1109">
        <v>0.0</v>
      </c>
      <c r="H586" s="1107"/>
    </row>
    <row r="587" ht="18.75" customHeight="1">
      <c r="A587" s="1107"/>
      <c r="B587" s="1108" t="s">
        <v>1285</v>
      </c>
      <c r="C587" s="1108" t="s">
        <v>1657</v>
      </c>
      <c r="D587" s="1108" t="s">
        <v>2453</v>
      </c>
      <c r="E587" s="1108" t="s">
        <v>2454</v>
      </c>
      <c r="F587" s="1109">
        <v>0.1</v>
      </c>
      <c r="G587" s="1109">
        <v>0.0</v>
      </c>
      <c r="H587" s="1107"/>
    </row>
    <row r="588" ht="18.75" customHeight="1">
      <c r="A588" s="1107"/>
      <c r="B588" s="1108" t="s">
        <v>1285</v>
      </c>
      <c r="C588" s="1108" t="s">
        <v>1657</v>
      </c>
      <c r="D588" s="1108" t="s">
        <v>2455</v>
      </c>
      <c r="E588" s="1108" t="s">
        <v>2456</v>
      </c>
      <c r="F588" s="1109">
        <v>0.1</v>
      </c>
      <c r="G588" s="1109">
        <v>0.0</v>
      </c>
      <c r="H588" s="1107"/>
    </row>
    <row r="589" ht="18.75" customHeight="1">
      <c r="A589" s="1107"/>
      <c r="B589" s="1108" t="s">
        <v>1285</v>
      </c>
      <c r="C589" s="1108" t="s">
        <v>1657</v>
      </c>
      <c r="D589" s="1108" t="s">
        <v>2457</v>
      </c>
      <c r="E589" s="1108" t="s">
        <v>2458</v>
      </c>
      <c r="F589" s="1109">
        <v>0.1</v>
      </c>
      <c r="G589" s="1109">
        <v>0.0</v>
      </c>
      <c r="H589" s="1107"/>
    </row>
    <row r="590" ht="18.75" customHeight="1">
      <c r="A590" s="1107"/>
      <c r="B590" s="1108" t="s">
        <v>1285</v>
      </c>
      <c r="C590" s="1108" t="s">
        <v>1657</v>
      </c>
      <c r="D590" s="1108" t="s">
        <v>2459</v>
      </c>
      <c r="E590" s="1108" t="s">
        <v>2460</v>
      </c>
      <c r="F590" s="1109">
        <v>0.1</v>
      </c>
      <c r="G590" s="1109">
        <v>0.0</v>
      </c>
      <c r="H590" s="1107"/>
    </row>
    <row r="591" ht="18.75" customHeight="1">
      <c r="A591" s="1107"/>
      <c r="B591" s="1108" t="s">
        <v>1285</v>
      </c>
      <c r="C591" s="1108" t="s">
        <v>1657</v>
      </c>
      <c r="D591" s="1108" t="s">
        <v>2461</v>
      </c>
      <c r="E591" s="1108" t="s">
        <v>2462</v>
      </c>
      <c r="F591" s="1109">
        <v>0.1</v>
      </c>
      <c r="G591" s="1109">
        <v>0.0</v>
      </c>
      <c r="H591" s="1107"/>
    </row>
    <row r="592" ht="18.75" customHeight="1">
      <c r="A592" s="1107"/>
      <c r="B592" s="1108" t="s">
        <v>1285</v>
      </c>
      <c r="C592" s="1108" t="s">
        <v>1657</v>
      </c>
      <c r="D592" s="1108" t="s">
        <v>2463</v>
      </c>
      <c r="E592" s="1108" t="s">
        <v>2464</v>
      </c>
      <c r="F592" s="1109">
        <v>0.1</v>
      </c>
      <c r="G592" s="1109">
        <v>0.0</v>
      </c>
      <c r="H592" s="1107"/>
    </row>
    <row r="593" ht="18.75" customHeight="1">
      <c r="A593" s="1107"/>
      <c r="B593" s="1108" t="s">
        <v>1285</v>
      </c>
      <c r="C593" s="1108" t="s">
        <v>1657</v>
      </c>
      <c r="D593" s="1108" t="s">
        <v>2465</v>
      </c>
      <c r="E593" s="1108" t="s">
        <v>2466</v>
      </c>
      <c r="F593" s="1109">
        <v>0.1</v>
      </c>
      <c r="G593" s="1109">
        <v>0.0</v>
      </c>
      <c r="H593" s="1107"/>
    </row>
    <row r="594" ht="18.75" customHeight="1">
      <c r="A594" s="1107"/>
      <c r="B594" s="1108" t="s">
        <v>1285</v>
      </c>
      <c r="C594" s="1108" t="s">
        <v>1657</v>
      </c>
      <c r="D594" s="1108" t="s">
        <v>2467</v>
      </c>
      <c r="E594" s="1108" t="s">
        <v>2468</v>
      </c>
      <c r="F594" s="1109">
        <v>0.1</v>
      </c>
      <c r="G594" s="1109">
        <v>0.0</v>
      </c>
      <c r="H594" s="1107"/>
    </row>
    <row r="595" ht="18.75" customHeight="1">
      <c r="A595" s="1107"/>
      <c r="B595" s="1108" t="s">
        <v>1285</v>
      </c>
      <c r="C595" s="1108" t="s">
        <v>1657</v>
      </c>
      <c r="D595" s="1108" t="s">
        <v>2469</v>
      </c>
      <c r="E595" s="1108" t="s">
        <v>2470</v>
      </c>
      <c r="F595" s="1109">
        <v>0.1</v>
      </c>
      <c r="G595" s="1109">
        <v>0.0</v>
      </c>
      <c r="H595" s="1107"/>
    </row>
    <row r="596" ht="18.75" customHeight="1">
      <c r="A596" s="1107"/>
      <c r="B596" s="1108" t="s">
        <v>1285</v>
      </c>
      <c r="C596" s="1108" t="s">
        <v>1657</v>
      </c>
      <c r="D596" s="1108" t="s">
        <v>2471</v>
      </c>
      <c r="E596" s="1108" t="s">
        <v>2472</v>
      </c>
      <c r="F596" s="1109">
        <v>0.1</v>
      </c>
      <c r="G596" s="1109">
        <v>0.0</v>
      </c>
      <c r="H596" s="1107"/>
    </row>
    <row r="597" ht="18.75" customHeight="1">
      <c r="A597" s="1107"/>
      <c r="B597" s="1108" t="s">
        <v>1285</v>
      </c>
      <c r="C597" s="1108" t="s">
        <v>1657</v>
      </c>
      <c r="D597" s="1108" t="s">
        <v>2473</v>
      </c>
      <c r="E597" s="1108" t="s">
        <v>2474</v>
      </c>
      <c r="F597" s="1109">
        <v>0.1</v>
      </c>
      <c r="G597" s="1109">
        <v>0.0</v>
      </c>
      <c r="H597" s="1107"/>
    </row>
    <row r="598" ht="18.75" customHeight="1">
      <c r="A598" s="1107"/>
      <c r="B598" s="1108" t="s">
        <v>1285</v>
      </c>
      <c r="C598" s="1108" t="s">
        <v>1657</v>
      </c>
      <c r="D598" s="1108" t="s">
        <v>2475</v>
      </c>
      <c r="E598" s="1108" t="s">
        <v>2476</v>
      </c>
      <c r="F598" s="1109">
        <v>0.1</v>
      </c>
      <c r="G598" s="1109">
        <v>0.0</v>
      </c>
      <c r="H598" s="1107"/>
    </row>
    <row r="599" ht="18.75" customHeight="1">
      <c r="A599" s="1107"/>
      <c r="B599" s="1108" t="s">
        <v>1285</v>
      </c>
      <c r="C599" s="1108" t="s">
        <v>1657</v>
      </c>
      <c r="D599" s="1108" t="s">
        <v>2477</v>
      </c>
      <c r="E599" s="1108" t="s">
        <v>2478</v>
      </c>
      <c r="F599" s="1109">
        <v>0.1</v>
      </c>
      <c r="G599" s="1109">
        <v>0.0</v>
      </c>
      <c r="H599" s="1107"/>
    </row>
    <row r="600" ht="18.75" customHeight="1">
      <c r="A600" s="1107"/>
      <c r="B600" s="1108" t="s">
        <v>1285</v>
      </c>
      <c r="C600" s="1108" t="s">
        <v>1657</v>
      </c>
      <c r="D600" s="1108" t="s">
        <v>2479</v>
      </c>
      <c r="E600" s="1108" t="s">
        <v>2480</v>
      </c>
      <c r="F600" s="1109">
        <v>0.1</v>
      </c>
      <c r="G600" s="1109">
        <v>0.0</v>
      </c>
      <c r="H600" s="1107"/>
    </row>
    <row r="601" ht="18.75" customHeight="1">
      <c r="A601" s="1107"/>
      <c r="B601" s="1108" t="s">
        <v>1285</v>
      </c>
      <c r="C601" s="1108" t="s">
        <v>1657</v>
      </c>
      <c r="D601" s="1108" t="s">
        <v>2481</v>
      </c>
      <c r="E601" s="1108" t="s">
        <v>2482</v>
      </c>
      <c r="F601" s="1109">
        <v>0.1</v>
      </c>
      <c r="G601" s="1109">
        <v>0.0</v>
      </c>
      <c r="H601" s="1107"/>
    </row>
    <row r="602" ht="18.75" customHeight="1">
      <c r="A602" s="1107"/>
      <c r="B602" s="1108" t="s">
        <v>1285</v>
      </c>
      <c r="C602" s="1108" t="s">
        <v>1657</v>
      </c>
      <c r="D602" s="1108" t="s">
        <v>2483</v>
      </c>
      <c r="E602" s="1108" t="s">
        <v>2484</v>
      </c>
      <c r="F602" s="1109">
        <v>0.1</v>
      </c>
      <c r="G602" s="1109">
        <v>0.0</v>
      </c>
      <c r="H602" s="1107"/>
    </row>
    <row r="603" ht="18.75" customHeight="1">
      <c r="A603" s="1107"/>
      <c r="B603" s="1108" t="s">
        <v>1285</v>
      </c>
      <c r="C603" s="1108" t="s">
        <v>1657</v>
      </c>
      <c r="D603" s="1108" t="s">
        <v>2485</v>
      </c>
      <c r="E603" s="1108" t="s">
        <v>2486</v>
      </c>
      <c r="F603" s="1109">
        <v>0.1</v>
      </c>
      <c r="G603" s="1109">
        <v>0.0</v>
      </c>
      <c r="H603" s="1107"/>
    </row>
    <row r="604" ht="18.75" customHeight="1">
      <c r="A604" s="1107"/>
      <c r="B604" s="1108" t="s">
        <v>1285</v>
      </c>
      <c r="C604" s="1108" t="s">
        <v>1657</v>
      </c>
      <c r="D604" s="1108" t="s">
        <v>2487</v>
      </c>
      <c r="E604" s="1108" t="s">
        <v>2488</v>
      </c>
      <c r="F604" s="1109">
        <v>0.1</v>
      </c>
      <c r="G604" s="1109">
        <v>0.0</v>
      </c>
      <c r="H604" s="1107"/>
    </row>
    <row r="605" ht="18.75" customHeight="1">
      <c r="A605" s="1107"/>
      <c r="B605" s="1108" t="s">
        <v>1285</v>
      </c>
      <c r="C605" s="1108" t="s">
        <v>1657</v>
      </c>
      <c r="D605" s="1108" t="s">
        <v>2489</v>
      </c>
      <c r="E605" s="1108" t="s">
        <v>2490</v>
      </c>
      <c r="F605" s="1109">
        <v>0.1</v>
      </c>
      <c r="G605" s="1109">
        <v>0.0</v>
      </c>
      <c r="H605" s="1107"/>
    </row>
    <row r="606" ht="18.75" customHeight="1">
      <c r="A606" s="1107"/>
      <c r="B606" s="1108" t="s">
        <v>1285</v>
      </c>
      <c r="C606" s="1108" t="s">
        <v>1657</v>
      </c>
      <c r="D606" s="1108" t="s">
        <v>2491</v>
      </c>
      <c r="E606" s="1108" t="s">
        <v>2492</v>
      </c>
      <c r="F606" s="1109">
        <v>0.1</v>
      </c>
      <c r="G606" s="1109">
        <v>0.0</v>
      </c>
      <c r="H606" s="1107"/>
    </row>
    <row r="607" ht="18.75" customHeight="1">
      <c r="A607" s="1107"/>
      <c r="B607" s="1108" t="s">
        <v>1285</v>
      </c>
      <c r="C607" s="1108" t="s">
        <v>1657</v>
      </c>
      <c r="D607" s="1108" t="s">
        <v>2493</v>
      </c>
      <c r="E607" s="1108" t="s">
        <v>2494</v>
      </c>
      <c r="F607" s="1109">
        <v>0.1</v>
      </c>
      <c r="G607" s="1109">
        <v>0.0</v>
      </c>
      <c r="H607" s="1107"/>
    </row>
    <row r="608" ht="18.75" customHeight="1">
      <c r="A608" s="1107"/>
      <c r="B608" s="1108" t="s">
        <v>1285</v>
      </c>
      <c r="C608" s="1108" t="s">
        <v>1657</v>
      </c>
      <c r="D608" s="1108" t="s">
        <v>2495</v>
      </c>
      <c r="E608" s="1108" t="s">
        <v>2496</v>
      </c>
      <c r="F608" s="1109">
        <v>0.1</v>
      </c>
      <c r="G608" s="1109">
        <v>0.0</v>
      </c>
      <c r="H608" s="1107"/>
    </row>
    <row r="609" ht="18.75" customHeight="1">
      <c r="A609" s="1107"/>
      <c r="B609" s="1108" t="s">
        <v>1285</v>
      </c>
      <c r="C609" s="1108" t="s">
        <v>1657</v>
      </c>
      <c r="D609" s="1108" t="s">
        <v>2497</v>
      </c>
      <c r="E609" s="1108" t="s">
        <v>2498</v>
      </c>
      <c r="F609" s="1109">
        <v>0.1</v>
      </c>
      <c r="G609" s="1109">
        <v>0.0</v>
      </c>
      <c r="H609" s="1107"/>
    </row>
    <row r="610" ht="18.75" customHeight="1">
      <c r="A610" s="1107"/>
      <c r="B610" s="1108" t="s">
        <v>1285</v>
      </c>
      <c r="C610" s="1108" t="s">
        <v>1657</v>
      </c>
      <c r="D610" s="1108" t="s">
        <v>2499</v>
      </c>
      <c r="E610" s="1108" t="s">
        <v>2500</v>
      </c>
      <c r="F610" s="1109">
        <v>0.1</v>
      </c>
      <c r="G610" s="1109">
        <v>0.0</v>
      </c>
      <c r="H610" s="1107"/>
    </row>
    <row r="611" ht="18.75" customHeight="1">
      <c r="A611" s="1107"/>
      <c r="B611" s="1108" t="s">
        <v>1285</v>
      </c>
      <c r="C611" s="1108" t="s">
        <v>1657</v>
      </c>
      <c r="D611" s="1108" t="s">
        <v>2501</v>
      </c>
      <c r="E611" s="1108" t="s">
        <v>2502</v>
      </c>
      <c r="F611" s="1109">
        <v>0.1</v>
      </c>
      <c r="G611" s="1109">
        <v>0.0</v>
      </c>
      <c r="H611" s="1107"/>
    </row>
    <row r="612" ht="18.75" customHeight="1">
      <c r="A612" s="1107"/>
      <c r="B612" s="1108" t="s">
        <v>1285</v>
      </c>
      <c r="C612" s="1108" t="s">
        <v>1657</v>
      </c>
      <c r="D612" s="1108" t="s">
        <v>2503</v>
      </c>
      <c r="E612" s="1108" t="s">
        <v>2504</v>
      </c>
      <c r="F612" s="1109">
        <v>0.1</v>
      </c>
      <c r="G612" s="1109">
        <v>0.0</v>
      </c>
      <c r="H612" s="1107"/>
    </row>
    <row r="613" ht="18.75" customHeight="1">
      <c r="A613" s="1107"/>
      <c r="B613" s="1108" t="s">
        <v>1285</v>
      </c>
      <c r="C613" s="1108" t="s">
        <v>2153</v>
      </c>
      <c r="D613" s="1108" t="s">
        <v>2505</v>
      </c>
      <c r="E613" s="1108" t="s">
        <v>2506</v>
      </c>
      <c r="F613" s="1109">
        <v>0.1</v>
      </c>
      <c r="G613" s="1109">
        <v>0.0</v>
      </c>
      <c r="H613" s="1107"/>
    </row>
    <row r="614" ht="18.75" customHeight="1">
      <c r="A614" s="1107"/>
      <c r="B614" s="1108" t="s">
        <v>1285</v>
      </c>
      <c r="C614" s="1108" t="s">
        <v>1657</v>
      </c>
      <c r="D614" s="1108" t="s">
        <v>2507</v>
      </c>
      <c r="E614" s="1108" t="s">
        <v>2508</v>
      </c>
      <c r="F614" s="1109">
        <v>0.1</v>
      </c>
      <c r="G614" s="1109">
        <v>0.0</v>
      </c>
      <c r="H614" s="1107"/>
    </row>
    <row r="615" ht="18.75" customHeight="1">
      <c r="A615" s="1107"/>
      <c r="B615" s="1108" t="s">
        <v>1285</v>
      </c>
      <c r="C615" s="1108" t="s">
        <v>1657</v>
      </c>
      <c r="D615" s="1108" t="s">
        <v>2509</v>
      </c>
      <c r="E615" s="1108" t="s">
        <v>2510</v>
      </c>
      <c r="F615" s="1109">
        <v>0.1</v>
      </c>
      <c r="G615" s="1109">
        <v>0.0</v>
      </c>
      <c r="H615" s="1107"/>
    </row>
    <row r="616" ht="18.75" customHeight="1">
      <c r="A616" s="1107"/>
      <c r="B616" s="1108" t="s">
        <v>1285</v>
      </c>
      <c r="C616" s="1108" t="s">
        <v>2153</v>
      </c>
      <c r="D616" s="1108" t="s">
        <v>2511</v>
      </c>
      <c r="E616" s="1108" t="s">
        <v>2512</v>
      </c>
      <c r="F616" s="1109">
        <v>0.1</v>
      </c>
      <c r="G616" s="1109">
        <v>0.0</v>
      </c>
      <c r="H616" s="1107"/>
    </row>
    <row r="617" ht="18.75" customHeight="1">
      <c r="A617" s="1107"/>
      <c r="B617" s="1108" t="s">
        <v>1285</v>
      </c>
      <c r="C617" s="1108" t="s">
        <v>1657</v>
      </c>
      <c r="D617" s="1108" t="s">
        <v>2513</v>
      </c>
      <c r="E617" s="1108" t="s">
        <v>2514</v>
      </c>
      <c r="F617" s="1109">
        <v>0.1</v>
      </c>
      <c r="G617" s="1109">
        <v>0.0</v>
      </c>
      <c r="H617" s="1107"/>
    </row>
    <row r="618" ht="18.75" customHeight="1">
      <c r="A618" s="1107"/>
      <c r="B618" s="1108" t="s">
        <v>1285</v>
      </c>
      <c r="C618" s="1108" t="s">
        <v>1657</v>
      </c>
      <c r="D618" s="1108" t="s">
        <v>2515</v>
      </c>
      <c r="E618" s="1108" t="s">
        <v>2516</v>
      </c>
      <c r="F618" s="1109">
        <v>0.1</v>
      </c>
      <c r="G618" s="1109">
        <v>0.0</v>
      </c>
      <c r="H618" s="1107"/>
    </row>
    <row r="619" ht="18.75" customHeight="1">
      <c r="A619" s="1107"/>
      <c r="B619" s="1108" t="s">
        <v>1285</v>
      </c>
      <c r="C619" s="1108" t="s">
        <v>1657</v>
      </c>
      <c r="D619" s="1108" t="s">
        <v>2517</v>
      </c>
      <c r="E619" s="1108" t="s">
        <v>2518</v>
      </c>
      <c r="F619" s="1109">
        <v>0.1</v>
      </c>
      <c r="G619" s="1109">
        <v>0.0</v>
      </c>
      <c r="H619" s="1107"/>
    </row>
    <row r="620" ht="18.75" customHeight="1">
      <c r="A620" s="1107"/>
      <c r="B620" s="1108" t="s">
        <v>1285</v>
      </c>
      <c r="C620" s="1108" t="s">
        <v>1657</v>
      </c>
      <c r="D620" s="1108" t="s">
        <v>2519</v>
      </c>
      <c r="E620" s="1108" t="s">
        <v>2520</v>
      </c>
      <c r="F620" s="1109">
        <v>0.1</v>
      </c>
      <c r="G620" s="1109">
        <v>0.0</v>
      </c>
      <c r="H620" s="1107"/>
    </row>
    <row r="621" ht="18.75" customHeight="1">
      <c r="A621" s="1107"/>
      <c r="B621" s="1108" t="s">
        <v>1285</v>
      </c>
      <c r="C621" s="1108" t="s">
        <v>1657</v>
      </c>
      <c r="D621" s="1108" t="s">
        <v>2521</v>
      </c>
      <c r="E621" s="1108" t="s">
        <v>2520</v>
      </c>
      <c r="F621" s="1109">
        <v>0.1</v>
      </c>
      <c r="G621" s="1109">
        <v>0.0</v>
      </c>
      <c r="H621" s="1107"/>
    </row>
    <row r="622" ht="18.75" customHeight="1">
      <c r="A622" s="1107"/>
      <c r="B622" s="1108" t="s">
        <v>1285</v>
      </c>
      <c r="C622" s="1108" t="s">
        <v>1657</v>
      </c>
      <c r="D622" s="1108" t="s">
        <v>2522</v>
      </c>
      <c r="E622" s="1108" t="s">
        <v>2523</v>
      </c>
      <c r="F622" s="1109">
        <v>0.1</v>
      </c>
      <c r="G622" s="1109">
        <v>0.0</v>
      </c>
      <c r="H622" s="1107"/>
    </row>
    <row r="623" ht="18.75" customHeight="1">
      <c r="A623" s="1107"/>
      <c r="B623" s="1108" t="s">
        <v>1285</v>
      </c>
      <c r="C623" s="1108" t="s">
        <v>1657</v>
      </c>
      <c r="D623" s="1108" t="s">
        <v>2524</v>
      </c>
      <c r="E623" s="1108" t="s">
        <v>2525</v>
      </c>
      <c r="F623" s="1109">
        <v>0.1</v>
      </c>
      <c r="G623" s="1109">
        <v>0.0</v>
      </c>
      <c r="H623" s="1107"/>
    </row>
    <row r="624" ht="18.75" customHeight="1">
      <c r="A624" s="1107"/>
      <c r="B624" s="1108" t="s">
        <v>1285</v>
      </c>
      <c r="C624" s="1108" t="s">
        <v>1657</v>
      </c>
      <c r="D624" s="1108" t="s">
        <v>2526</v>
      </c>
      <c r="E624" s="1108" t="s">
        <v>2527</v>
      </c>
      <c r="F624" s="1109">
        <v>0.1</v>
      </c>
      <c r="G624" s="1109">
        <v>0.0</v>
      </c>
      <c r="H624" s="1107"/>
    </row>
    <row r="625" ht="18.75" customHeight="1">
      <c r="A625" s="1107"/>
      <c r="B625" s="1108" t="s">
        <v>1285</v>
      </c>
      <c r="C625" s="1108" t="s">
        <v>1657</v>
      </c>
      <c r="D625" s="1108" t="s">
        <v>2528</v>
      </c>
      <c r="E625" s="1108" t="s">
        <v>2529</v>
      </c>
      <c r="F625" s="1109">
        <v>0.1</v>
      </c>
      <c r="G625" s="1109">
        <v>0.0</v>
      </c>
      <c r="H625" s="1107"/>
    </row>
    <row r="626" ht="18.75" customHeight="1">
      <c r="A626" s="1107"/>
      <c r="B626" s="1108" t="s">
        <v>1285</v>
      </c>
      <c r="C626" s="1108" t="s">
        <v>1657</v>
      </c>
      <c r="D626" s="1108" t="s">
        <v>2530</v>
      </c>
      <c r="E626" s="1108" t="s">
        <v>2531</v>
      </c>
      <c r="F626" s="1109">
        <v>0.1</v>
      </c>
      <c r="G626" s="1109">
        <v>0.0</v>
      </c>
      <c r="H626" s="1107"/>
    </row>
    <row r="627" ht="18.75" customHeight="1">
      <c r="A627" s="1107"/>
      <c r="B627" s="1108" t="s">
        <v>1285</v>
      </c>
      <c r="C627" s="1108" t="s">
        <v>1657</v>
      </c>
      <c r="D627" s="1108" t="s">
        <v>2532</v>
      </c>
      <c r="E627" s="1108" t="s">
        <v>2533</v>
      </c>
      <c r="F627" s="1109">
        <v>0.1</v>
      </c>
      <c r="G627" s="1109">
        <v>0.0</v>
      </c>
      <c r="H627" s="1107"/>
    </row>
    <row r="628" ht="18.75" customHeight="1">
      <c r="A628" s="1107"/>
      <c r="B628" s="1108" t="s">
        <v>1285</v>
      </c>
      <c r="C628" s="1108" t="s">
        <v>1657</v>
      </c>
      <c r="D628" s="1108" t="s">
        <v>2534</v>
      </c>
      <c r="E628" s="1108" t="s">
        <v>2535</v>
      </c>
      <c r="F628" s="1109">
        <v>0.1</v>
      </c>
      <c r="G628" s="1109">
        <v>0.0</v>
      </c>
      <c r="H628" s="1107"/>
    </row>
    <row r="629" ht="18.75" customHeight="1">
      <c r="A629" s="1107"/>
      <c r="B629" s="1108" t="s">
        <v>1285</v>
      </c>
      <c r="C629" s="1108" t="s">
        <v>1657</v>
      </c>
      <c r="D629" s="1108" t="s">
        <v>2536</v>
      </c>
      <c r="E629" s="1108" t="s">
        <v>2537</v>
      </c>
      <c r="F629" s="1109">
        <v>0.1</v>
      </c>
      <c r="G629" s="1109">
        <v>0.0</v>
      </c>
      <c r="H629" s="1107"/>
    </row>
    <row r="630" ht="18.75" customHeight="1">
      <c r="A630" s="1107"/>
      <c r="B630" s="1108" t="s">
        <v>1285</v>
      </c>
      <c r="C630" s="1108" t="s">
        <v>1657</v>
      </c>
      <c r="D630" s="1108" t="s">
        <v>2538</v>
      </c>
      <c r="E630" s="1108" t="s">
        <v>2539</v>
      </c>
      <c r="F630" s="1109">
        <v>0.1</v>
      </c>
      <c r="G630" s="1109">
        <v>0.0</v>
      </c>
      <c r="H630" s="1107"/>
    </row>
    <row r="631" ht="18.75" customHeight="1">
      <c r="A631" s="1107"/>
      <c r="B631" s="1108" t="s">
        <v>1285</v>
      </c>
      <c r="C631" s="1108" t="s">
        <v>1657</v>
      </c>
      <c r="D631" s="1108" t="s">
        <v>2540</v>
      </c>
      <c r="E631" s="1108" t="s">
        <v>2541</v>
      </c>
      <c r="F631" s="1109">
        <v>0.1</v>
      </c>
      <c r="G631" s="1109">
        <v>0.0</v>
      </c>
      <c r="H631" s="1107"/>
    </row>
    <row r="632" ht="18.75" customHeight="1">
      <c r="A632" s="1107"/>
      <c r="B632" s="1108" t="s">
        <v>1285</v>
      </c>
      <c r="C632" s="1108" t="s">
        <v>1657</v>
      </c>
      <c r="D632" s="1108" t="s">
        <v>2542</v>
      </c>
      <c r="E632" s="1108" t="s">
        <v>2543</v>
      </c>
      <c r="F632" s="1109">
        <v>0.1</v>
      </c>
      <c r="G632" s="1109">
        <v>0.0</v>
      </c>
      <c r="H632" s="1107"/>
    </row>
    <row r="633" ht="18.75" customHeight="1">
      <c r="A633" s="1107"/>
      <c r="B633" s="1108" t="s">
        <v>1285</v>
      </c>
      <c r="C633" s="1108" t="s">
        <v>1657</v>
      </c>
      <c r="D633" s="1108" t="s">
        <v>2544</v>
      </c>
      <c r="E633" s="1108" t="s">
        <v>2545</v>
      </c>
      <c r="F633" s="1109">
        <v>0.1</v>
      </c>
      <c r="G633" s="1109">
        <v>0.0</v>
      </c>
      <c r="H633" s="1107"/>
    </row>
    <row r="634" ht="18.75" customHeight="1">
      <c r="A634" s="1107"/>
      <c r="B634" s="1108" t="s">
        <v>1285</v>
      </c>
      <c r="C634" s="1108" t="s">
        <v>1657</v>
      </c>
      <c r="D634" s="1108" t="s">
        <v>2546</v>
      </c>
      <c r="E634" s="1108" t="s">
        <v>2547</v>
      </c>
      <c r="F634" s="1109">
        <v>0.1</v>
      </c>
      <c r="G634" s="1109">
        <v>0.0</v>
      </c>
      <c r="H634" s="1107"/>
    </row>
    <row r="635" ht="18.75" customHeight="1">
      <c r="A635" s="1107"/>
      <c r="B635" s="1108" t="s">
        <v>1285</v>
      </c>
      <c r="C635" s="1108" t="s">
        <v>1657</v>
      </c>
      <c r="D635" s="1108" t="s">
        <v>2548</v>
      </c>
      <c r="E635" s="1108" t="s">
        <v>2549</v>
      </c>
      <c r="F635" s="1109">
        <v>0.1</v>
      </c>
      <c r="G635" s="1109">
        <v>0.0</v>
      </c>
      <c r="H635" s="1107"/>
    </row>
    <row r="636" ht="18.75" customHeight="1">
      <c r="A636" s="1107"/>
      <c r="B636" s="1108" t="s">
        <v>1285</v>
      </c>
      <c r="C636" s="1108" t="s">
        <v>1657</v>
      </c>
      <c r="D636" s="1108" t="s">
        <v>2550</v>
      </c>
      <c r="E636" s="1108" t="s">
        <v>2551</v>
      </c>
      <c r="F636" s="1109">
        <v>0.1</v>
      </c>
      <c r="G636" s="1109">
        <v>0.0</v>
      </c>
      <c r="H636" s="1107"/>
    </row>
    <row r="637" ht="18.75" customHeight="1">
      <c r="A637" s="1107"/>
      <c r="B637" s="1108" t="s">
        <v>1285</v>
      </c>
      <c r="C637" s="1108" t="s">
        <v>1657</v>
      </c>
      <c r="D637" s="1108" t="s">
        <v>2552</v>
      </c>
      <c r="E637" s="1108" t="s">
        <v>2553</v>
      </c>
      <c r="F637" s="1109">
        <v>0.1</v>
      </c>
      <c r="G637" s="1109">
        <v>0.0</v>
      </c>
      <c r="H637" s="1107"/>
    </row>
    <row r="638" ht="18.75" customHeight="1">
      <c r="A638" s="1107"/>
      <c r="B638" s="1108" t="s">
        <v>1285</v>
      </c>
      <c r="C638" s="1108" t="s">
        <v>1657</v>
      </c>
      <c r="D638" s="1108" t="s">
        <v>2554</v>
      </c>
      <c r="E638" s="1108" t="s">
        <v>2555</v>
      </c>
      <c r="F638" s="1109">
        <v>0.1</v>
      </c>
      <c r="G638" s="1109">
        <v>0.0</v>
      </c>
      <c r="H638" s="1107"/>
    </row>
    <row r="639" ht="18.75" customHeight="1">
      <c r="A639" s="1107"/>
      <c r="B639" s="1108" t="s">
        <v>1285</v>
      </c>
      <c r="C639" s="1108" t="s">
        <v>1657</v>
      </c>
      <c r="D639" s="1108" t="s">
        <v>2556</v>
      </c>
      <c r="E639" s="1108" t="s">
        <v>2518</v>
      </c>
      <c r="F639" s="1109">
        <v>0.1</v>
      </c>
      <c r="G639" s="1109">
        <v>0.0</v>
      </c>
      <c r="H639" s="1107"/>
    </row>
    <row r="640" ht="18.75" customHeight="1">
      <c r="A640" s="1107"/>
      <c r="B640" s="1108" t="s">
        <v>1285</v>
      </c>
      <c r="C640" s="1108" t="s">
        <v>1657</v>
      </c>
      <c r="D640" s="1108" t="s">
        <v>2557</v>
      </c>
      <c r="E640" s="1108" t="s">
        <v>2558</v>
      </c>
      <c r="F640" s="1109">
        <v>0.1</v>
      </c>
      <c r="G640" s="1109">
        <v>0.0</v>
      </c>
      <c r="H640" s="1107"/>
    </row>
    <row r="641" ht="18.75" customHeight="1">
      <c r="A641" s="1107"/>
      <c r="B641" s="1108" t="s">
        <v>1285</v>
      </c>
      <c r="C641" s="1108" t="s">
        <v>1657</v>
      </c>
      <c r="D641" s="1108" t="s">
        <v>2559</v>
      </c>
      <c r="E641" s="1108" t="s">
        <v>2560</v>
      </c>
      <c r="F641" s="1109">
        <v>0.1</v>
      </c>
      <c r="G641" s="1109">
        <v>0.0</v>
      </c>
      <c r="H641" s="1107"/>
    </row>
    <row r="642" ht="18.75" customHeight="1">
      <c r="A642" s="1107"/>
      <c r="B642" s="1108" t="s">
        <v>1285</v>
      </c>
      <c r="C642" s="1108" t="s">
        <v>1657</v>
      </c>
      <c r="D642" s="1108" t="s">
        <v>2561</v>
      </c>
      <c r="E642" s="1108" t="s">
        <v>2562</v>
      </c>
      <c r="F642" s="1109">
        <v>0.1</v>
      </c>
      <c r="G642" s="1109">
        <v>0.0</v>
      </c>
      <c r="H642" s="1107"/>
    </row>
    <row r="643" ht="18.75" customHeight="1">
      <c r="A643" s="1107"/>
      <c r="B643" s="1108" t="s">
        <v>1285</v>
      </c>
      <c r="C643" s="1108" t="s">
        <v>1657</v>
      </c>
      <c r="D643" s="1108" t="s">
        <v>2563</v>
      </c>
      <c r="E643" s="1108" t="s">
        <v>2564</v>
      </c>
      <c r="F643" s="1109">
        <v>0.1</v>
      </c>
      <c r="G643" s="1109">
        <v>0.0</v>
      </c>
      <c r="H643" s="1107"/>
    </row>
    <row r="644" ht="18.75" customHeight="1">
      <c r="A644" s="1107"/>
      <c r="B644" s="1108" t="s">
        <v>1285</v>
      </c>
      <c r="C644" s="1108" t="s">
        <v>1657</v>
      </c>
      <c r="D644" s="1108" t="s">
        <v>2565</v>
      </c>
      <c r="E644" s="1108" t="s">
        <v>2566</v>
      </c>
      <c r="F644" s="1109">
        <v>0.1</v>
      </c>
      <c r="G644" s="1109">
        <v>0.0</v>
      </c>
      <c r="H644" s="1107"/>
    </row>
    <row r="645" ht="18.75" customHeight="1">
      <c r="A645" s="1107"/>
      <c r="B645" s="1108" t="s">
        <v>1285</v>
      </c>
      <c r="C645" s="1108" t="s">
        <v>1657</v>
      </c>
      <c r="D645" s="1108" t="s">
        <v>2567</v>
      </c>
      <c r="E645" s="1108" t="s">
        <v>2568</v>
      </c>
      <c r="F645" s="1109">
        <v>0.1</v>
      </c>
      <c r="G645" s="1109">
        <v>0.0</v>
      </c>
      <c r="H645" s="1107"/>
    </row>
    <row r="646" ht="18.75" customHeight="1">
      <c r="A646" s="1107"/>
      <c r="B646" s="1108" t="s">
        <v>1285</v>
      </c>
      <c r="C646" s="1108" t="s">
        <v>1657</v>
      </c>
      <c r="D646" s="1108" t="s">
        <v>2569</v>
      </c>
      <c r="E646" s="1108" t="s">
        <v>2570</v>
      </c>
      <c r="F646" s="1109">
        <v>0.1</v>
      </c>
      <c r="G646" s="1109">
        <v>0.0</v>
      </c>
      <c r="H646" s="1107"/>
    </row>
    <row r="647" ht="18.75" customHeight="1">
      <c r="A647" s="1107"/>
      <c r="B647" s="1108" t="s">
        <v>1285</v>
      </c>
      <c r="C647" s="1108" t="s">
        <v>2153</v>
      </c>
      <c r="D647" s="1108" t="s">
        <v>2571</v>
      </c>
      <c r="E647" s="1108" t="s">
        <v>2572</v>
      </c>
      <c r="F647" s="1109">
        <v>0.1</v>
      </c>
      <c r="G647" s="1109">
        <v>0.0</v>
      </c>
      <c r="H647" s="1107"/>
    </row>
    <row r="648" ht="18.75" customHeight="1">
      <c r="A648" s="1107"/>
      <c r="B648" s="1108" t="s">
        <v>1285</v>
      </c>
      <c r="C648" s="1108" t="s">
        <v>1657</v>
      </c>
      <c r="D648" s="1108" t="s">
        <v>2573</v>
      </c>
      <c r="E648" s="1108" t="s">
        <v>2574</v>
      </c>
      <c r="F648" s="1109">
        <v>0.1</v>
      </c>
      <c r="G648" s="1109">
        <v>0.0</v>
      </c>
      <c r="H648" s="1107"/>
    </row>
    <row r="649" ht="18.75" customHeight="1">
      <c r="A649" s="1107"/>
      <c r="B649" s="1108" t="s">
        <v>1285</v>
      </c>
      <c r="C649" s="1108" t="s">
        <v>1657</v>
      </c>
      <c r="D649" s="1108" t="s">
        <v>2575</v>
      </c>
      <c r="E649" s="1108" t="s">
        <v>2576</v>
      </c>
      <c r="F649" s="1109">
        <v>0.1</v>
      </c>
      <c r="G649" s="1109">
        <v>0.0</v>
      </c>
      <c r="H649" s="1107"/>
    </row>
    <row r="650" ht="18.75" customHeight="1">
      <c r="A650" s="1107"/>
      <c r="B650" s="1108" t="s">
        <v>1285</v>
      </c>
      <c r="C650" s="1108" t="s">
        <v>1657</v>
      </c>
      <c r="D650" s="1108" t="s">
        <v>2577</v>
      </c>
      <c r="E650" s="1108" t="s">
        <v>2578</v>
      </c>
      <c r="F650" s="1109">
        <v>0.1</v>
      </c>
      <c r="G650" s="1109">
        <v>0.0</v>
      </c>
      <c r="H650" s="1107"/>
    </row>
    <row r="651" ht="18.75" customHeight="1">
      <c r="A651" s="1107"/>
      <c r="B651" s="1108" t="s">
        <v>1285</v>
      </c>
      <c r="C651" s="1108" t="s">
        <v>1657</v>
      </c>
      <c r="D651" s="1108" t="s">
        <v>2579</v>
      </c>
      <c r="E651" s="1108" t="s">
        <v>2580</v>
      </c>
      <c r="F651" s="1109">
        <v>0.1</v>
      </c>
      <c r="G651" s="1109">
        <v>0.0</v>
      </c>
      <c r="H651" s="1107"/>
    </row>
    <row r="652" ht="18.75" customHeight="1">
      <c r="A652" s="1107"/>
      <c r="B652" s="1108" t="s">
        <v>1285</v>
      </c>
      <c r="C652" s="1108" t="s">
        <v>1657</v>
      </c>
      <c r="D652" s="1108" t="s">
        <v>2581</v>
      </c>
      <c r="E652" s="1108" t="s">
        <v>2582</v>
      </c>
      <c r="F652" s="1109">
        <v>0.1</v>
      </c>
      <c r="G652" s="1109">
        <v>0.0</v>
      </c>
      <c r="H652" s="1107"/>
    </row>
    <row r="653" ht="18.75" customHeight="1">
      <c r="A653" s="1107"/>
      <c r="B653" s="1108" t="s">
        <v>1285</v>
      </c>
      <c r="C653" s="1108" t="s">
        <v>1657</v>
      </c>
      <c r="D653" s="1108" t="s">
        <v>2583</v>
      </c>
      <c r="E653" s="1108" t="s">
        <v>2584</v>
      </c>
      <c r="F653" s="1109">
        <v>0.1</v>
      </c>
      <c r="G653" s="1109">
        <v>0.0</v>
      </c>
      <c r="H653" s="1107"/>
    </row>
    <row r="654" ht="18.75" customHeight="1">
      <c r="A654" s="1107"/>
      <c r="B654" s="1108" t="s">
        <v>1285</v>
      </c>
      <c r="C654" s="1108" t="s">
        <v>2408</v>
      </c>
      <c r="D654" s="1108" t="s">
        <v>2585</v>
      </c>
      <c r="E654" s="1108" t="s">
        <v>2586</v>
      </c>
      <c r="F654" s="1109">
        <v>0.1</v>
      </c>
      <c r="G654" s="1109">
        <v>0.0</v>
      </c>
      <c r="H654" s="1107"/>
    </row>
    <row r="655" ht="18.75" customHeight="1">
      <c r="A655" s="1107"/>
      <c r="B655" s="1108" t="s">
        <v>1285</v>
      </c>
      <c r="C655" s="1108" t="s">
        <v>1657</v>
      </c>
      <c r="D655" s="1108" t="s">
        <v>2587</v>
      </c>
      <c r="E655" s="1108" t="s">
        <v>2588</v>
      </c>
      <c r="F655" s="1109">
        <v>0.1</v>
      </c>
      <c r="G655" s="1109">
        <v>0.0</v>
      </c>
      <c r="H655" s="1107"/>
    </row>
    <row r="656" ht="18.75" customHeight="1">
      <c r="A656" s="1107"/>
      <c r="B656" s="1108" t="s">
        <v>1285</v>
      </c>
      <c r="C656" s="1108" t="s">
        <v>1657</v>
      </c>
      <c r="D656" s="1108" t="s">
        <v>2589</v>
      </c>
      <c r="E656" s="1108" t="s">
        <v>2590</v>
      </c>
      <c r="F656" s="1109">
        <v>0.1</v>
      </c>
      <c r="G656" s="1109">
        <v>0.0</v>
      </c>
      <c r="H656" s="1107"/>
    </row>
    <row r="657" ht="18.75" customHeight="1">
      <c r="A657" s="1107"/>
      <c r="B657" s="1108" t="s">
        <v>1285</v>
      </c>
      <c r="C657" s="1108" t="s">
        <v>1657</v>
      </c>
      <c r="D657" s="1108" t="s">
        <v>2591</v>
      </c>
      <c r="E657" s="1108" t="s">
        <v>2592</v>
      </c>
      <c r="F657" s="1109">
        <v>0.1</v>
      </c>
      <c r="G657" s="1109">
        <v>0.0</v>
      </c>
      <c r="H657" s="1107"/>
    </row>
    <row r="658" ht="18.75" customHeight="1">
      <c r="A658" s="1107"/>
      <c r="B658" s="1108" t="s">
        <v>1285</v>
      </c>
      <c r="C658" s="1108" t="s">
        <v>1657</v>
      </c>
      <c r="D658" s="1108" t="s">
        <v>2593</v>
      </c>
      <c r="E658" s="1108" t="s">
        <v>2594</v>
      </c>
      <c r="F658" s="1109">
        <v>0.1</v>
      </c>
      <c r="G658" s="1109">
        <v>0.0</v>
      </c>
      <c r="H658" s="1107"/>
    </row>
    <row r="659" ht="18.75" customHeight="1">
      <c r="A659" s="1107"/>
      <c r="B659" s="1108" t="s">
        <v>1285</v>
      </c>
      <c r="C659" s="1108" t="s">
        <v>1657</v>
      </c>
      <c r="D659" s="1108" t="s">
        <v>2595</v>
      </c>
      <c r="E659" s="1108" t="s">
        <v>2596</v>
      </c>
      <c r="F659" s="1109">
        <v>0.1</v>
      </c>
      <c r="G659" s="1109">
        <v>0.0</v>
      </c>
      <c r="H659" s="1107"/>
    </row>
    <row r="660" ht="18.75" customHeight="1">
      <c r="A660" s="1107"/>
      <c r="B660" s="1108" t="s">
        <v>1285</v>
      </c>
      <c r="C660" s="1108" t="s">
        <v>1657</v>
      </c>
      <c r="D660" s="1108" t="s">
        <v>2597</v>
      </c>
      <c r="E660" s="1108" t="s">
        <v>2598</v>
      </c>
      <c r="F660" s="1109">
        <v>0.1</v>
      </c>
      <c r="G660" s="1109">
        <v>0.0</v>
      </c>
      <c r="H660" s="1107"/>
    </row>
    <row r="661" ht="18.75" customHeight="1">
      <c r="A661" s="1107"/>
      <c r="B661" s="1108" t="s">
        <v>1285</v>
      </c>
      <c r="C661" s="1108" t="s">
        <v>1657</v>
      </c>
      <c r="D661" s="1108" t="s">
        <v>2599</v>
      </c>
      <c r="E661" s="1108" t="s">
        <v>2600</v>
      </c>
      <c r="F661" s="1109">
        <v>0.1</v>
      </c>
      <c r="G661" s="1109">
        <v>0.0</v>
      </c>
      <c r="H661" s="1107"/>
    </row>
    <row r="662" ht="18.75" customHeight="1">
      <c r="A662" s="1107"/>
      <c r="B662" s="1108" t="s">
        <v>1285</v>
      </c>
      <c r="C662" s="1108" t="s">
        <v>1657</v>
      </c>
      <c r="D662" s="1108" t="s">
        <v>2601</v>
      </c>
      <c r="E662" s="1108" t="s">
        <v>2602</v>
      </c>
      <c r="F662" s="1109">
        <v>0.1</v>
      </c>
      <c r="G662" s="1109">
        <v>0.0</v>
      </c>
      <c r="H662" s="1107"/>
    </row>
    <row r="663" ht="18.75" customHeight="1">
      <c r="A663" s="1107"/>
      <c r="B663" s="1108" t="s">
        <v>1285</v>
      </c>
      <c r="C663" s="1108" t="s">
        <v>2408</v>
      </c>
      <c r="D663" s="1108" t="s">
        <v>2603</v>
      </c>
      <c r="E663" s="1108" t="s">
        <v>2604</v>
      </c>
      <c r="F663" s="1109">
        <v>0.1</v>
      </c>
      <c r="G663" s="1109">
        <v>0.0</v>
      </c>
      <c r="H663" s="1107"/>
    </row>
    <row r="664" ht="18.75" customHeight="1">
      <c r="A664" s="1107"/>
      <c r="B664" s="1108" t="s">
        <v>1285</v>
      </c>
      <c r="C664" s="1108" t="s">
        <v>1657</v>
      </c>
      <c r="D664" s="1108" t="s">
        <v>2605</v>
      </c>
      <c r="E664" s="1108" t="s">
        <v>2606</v>
      </c>
      <c r="F664" s="1109">
        <v>0.1</v>
      </c>
      <c r="G664" s="1109">
        <v>0.0</v>
      </c>
      <c r="H664" s="1107"/>
    </row>
    <row r="665" ht="18.75" customHeight="1">
      <c r="A665" s="1107"/>
      <c r="B665" s="1108" t="s">
        <v>1285</v>
      </c>
      <c r="C665" s="1108" t="s">
        <v>1657</v>
      </c>
      <c r="D665" s="1108" t="s">
        <v>2607</v>
      </c>
      <c r="E665" s="1108" t="s">
        <v>2558</v>
      </c>
      <c r="F665" s="1109">
        <v>0.1</v>
      </c>
      <c r="G665" s="1109">
        <v>0.0</v>
      </c>
      <c r="H665" s="1107"/>
    </row>
    <row r="666" ht="18.75" customHeight="1">
      <c r="A666" s="1107"/>
      <c r="B666" s="1108" t="s">
        <v>1285</v>
      </c>
      <c r="C666" s="1108" t="s">
        <v>1657</v>
      </c>
      <c r="D666" s="1108" t="s">
        <v>2608</v>
      </c>
      <c r="E666" s="1108" t="s">
        <v>2609</v>
      </c>
      <c r="F666" s="1109">
        <v>0.1</v>
      </c>
      <c r="G666" s="1109">
        <v>0.0</v>
      </c>
      <c r="H666" s="1107"/>
    </row>
    <row r="667" ht="18.75" customHeight="1">
      <c r="A667" s="1107"/>
      <c r="B667" s="1108" t="s">
        <v>1285</v>
      </c>
      <c r="C667" s="1108" t="s">
        <v>1657</v>
      </c>
      <c r="D667" s="1108" t="s">
        <v>2610</v>
      </c>
      <c r="E667" s="1108" t="s">
        <v>2611</v>
      </c>
      <c r="F667" s="1109">
        <v>0.1</v>
      </c>
      <c r="G667" s="1109">
        <v>0.0</v>
      </c>
      <c r="H667" s="1107"/>
    </row>
    <row r="668" ht="18.75" customHeight="1">
      <c r="A668" s="1107"/>
      <c r="B668" s="1108" t="s">
        <v>1285</v>
      </c>
      <c r="C668" s="1108" t="s">
        <v>1657</v>
      </c>
      <c r="D668" s="1108" t="s">
        <v>2612</v>
      </c>
      <c r="E668" s="1108" t="s">
        <v>2613</v>
      </c>
      <c r="F668" s="1109">
        <v>0.1</v>
      </c>
      <c r="G668" s="1109">
        <v>0.0</v>
      </c>
      <c r="H668" s="1107"/>
    </row>
    <row r="669" ht="18.75" customHeight="1">
      <c r="A669" s="1107"/>
      <c r="B669" s="1108" t="s">
        <v>1285</v>
      </c>
      <c r="C669" s="1108" t="s">
        <v>1657</v>
      </c>
      <c r="D669" s="1108" t="s">
        <v>2614</v>
      </c>
      <c r="E669" s="1108" t="s">
        <v>2615</v>
      </c>
      <c r="F669" s="1109">
        <v>0.1</v>
      </c>
      <c r="G669" s="1109">
        <v>0.0</v>
      </c>
      <c r="H669" s="1107"/>
    </row>
    <row r="670" ht="18.75" customHeight="1">
      <c r="A670" s="1107"/>
      <c r="B670" s="1108" t="s">
        <v>1285</v>
      </c>
      <c r="C670" s="1108" t="s">
        <v>1657</v>
      </c>
      <c r="D670" s="1108" t="s">
        <v>2616</v>
      </c>
      <c r="E670" s="1108" t="s">
        <v>2617</v>
      </c>
      <c r="F670" s="1109">
        <v>0.1</v>
      </c>
      <c r="G670" s="1109">
        <v>0.0</v>
      </c>
      <c r="H670" s="1107"/>
    </row>
    <row r="671" ht="18.75" customHeight="1">
      <c r="A671" s="1107"/>
      <c r="B671" s="1108" t="s">
        <v>1285</v>
      </c>
      <c r="C671" s="1108" t="s">
        <v>1657</v>
      </c>
      <c r="D671" s="1108" t="s">
        <v>2618</v>
      </c>
      <c r="E671" s="1108" t="s">
        <v>2619</v>
      </c>
      <c r="F671" s="1109">
        <v>0.1</v>
      </c>
      <c r="G671" s="1109">
        <v>0.0</v>
      </c>
      <c r="H671" s="1107"/>
    </row>
    <row r="672" ht="18.75" customHeight="1">
      <c r="A672" s="1107"/>
      <c r="B672" s="1108" t="s">
        <v>1285</v>
      </c>
      <c r="C672" s="1108" t="s">
        <v>1657</v>
      </c>
      <c r="D672" s="1108" t="s">
        <v>2620</v>
      </c>
      <c r="E672" s="1108" t="s">
        <v>2621</v>
      </c>
      <c r="F672" s="1109">
        <v>0.1</v>
      </c>
      <c r="G672" s="1109">
        <v>0.0</v>
      </c>
      <c r="H672" s="1107"/>
    </row>
    <row r="673" ht="18.75" customHeight="1">
      <c r="A673" s="1107"/>
      <c r="B673" s="1108" t="s">
        <v>1285</v>
      </c>
      <c r="C673" s="1108" t="s">
        <v>1657</v>
      </c>
      <c r="D673" s="1108" t="s">
        <v>2622</v>
      </c>
      <c r="E673" s="1108" t="s">
        <v>2623</v>
      </c>
      <c r="F673" s="1109">
        <v>0.1</v>
      </c>
      <c r="G673" s="1109">
        <v>0.0</v>
      </c>
      <c r="H673" s="1107"/>
    </row>
    <row r="674" ht="18.75" customHeight="1">
      <c r="A674" s="1107"/>
      <c r="B674" s="1108" t="s">
        <v>1285</v>
      </c>
      <c r="C674" s="1108" t="s">
        <v>1657</v>
      </c>
      <c r="D674" s="1108" t="s">
        <v>2624</v>
      </c>
      <c r="E674" s="1108" t="s">
        <v>2625</v>
      </c>
      <c r="F674" s="1109">
        <v>0.1</v>
      </c>
      <c r="G674" s="1109">
        <v>0.0</v>
      </c>
      <c r="H674" s="1107"/>
    </row>
    <row r="675" ht="18.75" customHeight="1">
      <c r="A675" s="1107"/>
      <c r="B675" s="1108" t="s">
        <v>1285</v>
      </c>
      <c r="C675" s="1108" t="s">
        <v>1657</v>
      </c>
      <c r="D675" s="1108" t="s">
        <v>2626</v>
      </c>
      <c r="E675" s="1108" t="s">
        <v>2627</v>
      </c>
      <c r="F675" s="1109">
        <v>0.1</v>
      </c>
      <c r="G675" s="1109">
        <v>0.0</v>
      </c>
      <c r="H675" s="1107"/>
    </row>
    <row r="676" ht="18.75" customHeight="1">
      <c r="A676" s="1107"/>
      <c r="B676" s="1108" t="s">
        <v>1285</v>
      </c>
      <c r="C676" s="1108" t="s">
        <v>1657</v>
      </c>
      <c r="D676" s="1108" t="s">
        <v>2628</v>
      </c>
      <c r="E676" s="1108" t="s">
        <v>2629</v>
      </c>
      <c r="F676" s="1109">
        <v>0.1</v>
      </c>
      <c r="G676" s="1109">
        <v>0.0</v>
      </c>
      <c r="H676" s="1107"/>
    </row>
    <row r="677" ht="18.75" customHeight="1">
      <c r="A677" s="1107"/>
      <c r="B677" s="1108" t="s">
        <v>1285</v>
      </c>
      <c r="C677" s="1108" t="s">
        <v>1657</v>
      </c>
      <c r="D677" s="1108" t="s">
        <v>2630</v>
      </c>
      <c r="E677" s="1108" t="s">
        <v>2631</v>
      </c>
      <c r="F677" s="1109">
        <v>0.1</v>
      </c>
      <c r="G677" s="1109">
        <v>0.0</v>
      </c>
      <c r="H677" s="1107"/>
    </row>
    <row r="678" ht="18.75" customHeight="1">
      <c r="A678" s="1107"/>
      <c r="B678" s="1108" t="s">
        <v>1285</v>
      </c>
      <c r="C678" s="1108" t="s">
        <v>1657</v>
      </c>
      <c r="D678" s="1108" t="s">
        <v>2632</v>
      </c>
      <c r="E678" s="1108" t="s">
        <v>2633</v>
      </c>
      <c r="F678" s="1109">
        <v>0.1</v>
      </c>
      <c r="G678" s="1109">
        <v>0.0</v>
      </c>
      <c r="H678" s="1107"/>
    </row>
    <row r="679" ht="18.75" customHeight="1">
      <c r="A679" s="1107"/>
      <c r="B679" s="1108" t="s">
        <v>1285</v>
      </c>
      <c r="C679" s="1108" t="s">
        <v>1657</v>
      </c>
      <c r="D679" s="1108" t="s">
        <v>2634</v>
      </c>
      <c r="E679" s="1108" t="s">
        <v>2635</v>
      </c>
      <c r="F679" s="1109">
        <v>0.1</v>
      </c>
      <c r="G679" s="1109">
        <v>0.0</v>
      </c>
      <c r="H679" s="1107"/>
    </row>
    <row r="680" ht="18.75" customHeight="1">
      <c r="A680" s="1107"/>
      <c r="B680" s="1108" t="s">
        <v>1285</v>
      </c>
      <c r="C680" s="1108" t="s">
        <v>1657</v>
      </c>
      <c r="D680" s="1108" t="s">
        <v>2636</v>
      </c>
      <c r="E680" s="1108" t="s">
        <v>2637</v>
      </c>
      <c r="F680" s="1109">
        <v>0.1</v>
      </c>
      <c r="G680" s="1109">
        <v>0.0</v>
      </c>
      <c r="H680" s="1107"/>
    </row>
    <row r="681" ht="18.75" customHeight="1">
      <c r="A681" s="1107"/>
      <c r="B681" s="1108" t="s">
        <v>1285</v>
      </c>
      <c r="C681" s="1108" t="s">
        <v>1657</v>
      </c>
      <c r="D681" s="1108" t="s">
        <v>2638</v>
      </c>
      <c r="E681" s="1108" t="s">
        <v>2639</v>
      </c>
      <c r="F681" s="1109">
        <v>0.1</v>
      </c>
      <c r="G681" s="1109">
        <v>0.0</v>
      </c>
      <c r="H681" s="1107"/>
    </row>
    <row r="682" ht="18.75" customHeight="1">
      <c r="A682" s="1107"/>
      <c r="B682" s="1108" t="s">
        <v>1285</v>
      </c>
      <c r="C682" s="1108" t="s">
        <v>1657</v>
      </c>
      <c r="D682" s="1108" t="s">
        <v>2640</v>
      </c>
      <c r="E682" s="1108" t="s">
        <v>2641</v>
      </c>
      <c r="F682" s="1109">
        <v>0.1</v>
      </c>
      <c r="G682" s="1109">
        <v>0.0</v>
      </c>
      <c r="H682" s="1107"/>
    </row>
    <row r="683" ht="18.75" customHeight="1">
      <c r="A683" s="1107"/>
      <c r="B683" s="1108" t="s">
        <v>1285</v>
      </c>
      <c r="C683" s="1108" t="s">
        <v>1657</v>
      </c>
      <c r="D683" s="1108" t="s">
        <v>2642</v>
      </c>
      <c r="E683" s="1108" t="s">
        <v>2643</v>
      </c>
      <c r="F683" s="1109">
        <v>0.1</v>
      </c>
      <c r="G683" s="1109">
        <v>0.0</v>
      </c>
      <c r="H683" s="1107"/>
    </row>
    <row r="684" ht="18.75" customHeight="1">
      <c r="A684" s="1107"/>
      <c r="B684" s="1108" t="s">
        <v>1285</v>
      </c>
      <c r="C684" s="1108" t="s">
        <v>1657</v>
      </c>
      <c r="D684" s="1108" t="s">
        <v>2644</v>
      </c>
      <c r="E684" s="1108" t="s">
        <v>2645</v>
      </c>
      <c r="F684" s="1109">
        <v>0.1</v>
      </c>
      <c r="G684" s="1109">
        <v>0.0</v>
      </c>
      <c r="H684" s="1107"/>
    </row>
    <row r="685" ht="18.75" customHeight="1">
      <c r="A685" s="1107"/>
      <c r="B685" s="1108" t="s">
        <v>1285</v>
      </c>
      <c r="C685" s="1108" t="s">
        <v>1657</v>
      </c>
      <c r="D685" s="1108" t="s">
        <v>2646</v>
      </c>
      <c r="E685" s="1108" t="s">
        <v>2647</v>
      </c>
      <c r="F685" s="1109">
        <v>0.1</v>
      </c>
      <c r="G685" s="1109">
        <v>0.0</v>
      </c>
      <c r="H685" s="1107"/>
    </row>
    <row r="686" ht="18.75" customHeight="1">
      <c r="A686" s="1107"/>
      <c r="B686" s="1108" t="s">
        <v>1285</v>
      </c>
      <c r="C686" s="1108" t="s">
        <v>1657</v>
      </c>
      <c r="D686" s="1108" t="s">
        <v>2648</v>
      </c>
      <c r="E686" s="1108" t="s">
        <v>2649</v>
      </c>
      <c r="F686" s="1109">
        <v>0.1</v>
      </c>
      <c r="G686" s="1109">
        <v>0.0</v>
      </c>
      <c r="H686" s="1107"/>
    </row>
    <row r="687" ht="18.75" customHeight="1">
      <c r="A687" s="1107"/>
      <c r="B687" s="1108" t="s">
        <v>1285</v>
      </c>
      <c r="C687" s="1108" t="s">
        <v>1657</v>
      </c>
      <c r="D687" s="1108" t="s">
        <v>2650</v>
      </c>
      <c r="E687" s="1108" t="s">
        <v>2651</v>
      </c>
      <c r="F687" s="1109">
        <v>0.1</v>
      </c>
      <c r="G687" s="1109">
        <v>0.0</v>
      </c>
      <c r="H687" s="1107"/>
    </row>
    <row r="688" ht="18.75" customHeight="1">
      <c r="A688" s="1107"/>
      <c r="B688" s="1108" t="s">
        <v>1285</v>
      </c>
      <c r="C688" s="1108" t="s">
        <v>1657</v>
      </c>
      <c r="D688" s="1108" t="s">
        <v>2652</v>
      </c>
      <c r="E688" s="1108" t="s">
        <v>2653</v>
      </c>
      <c r="F688" s="1109">
        <v>0.1</v>
      </c>
      <c r="G688" s="1109">
        <v>0.0</v>
      </c>
      <c r="H688" s="1107"/>
    </row>
    <row r="689" ht="18.75" customHeight="1">
      <c r="A689" s="1107"/>
      <c r="B689" s="1108" t="s">
        <v>1285</v>
      </c>
      <c r="C689" s="1108" t="s">
        <v>1657</v>
      </c>
      <c r="D689" s="1108" t="s">
        <v>2654</v>
      </c>
      <c r="E689" s="1108" t="s">
        <v>2655</v>
      </c>
      <c r="F689" s="1109">
        <v>0.1</v>
      </c>
      <c r="G689" s="1109">
        <v>0.0</v>
      </c>
      <c r="H689" s="1107"/>
    </row>
    <row r="690" ht="18.75" customHeight="1">
      <c r="A690" s="1107"/>
      <c r="B690" s="1108" t="s">
        <v>1285</v>
      </c>
      <c r="C690" s="1108" t="s">
        <v>1657</v>
      </c>
      <c r="D690" s="1108" t="s">
        <v>2656</v>
      </c>
      <c r="E690" s="1108" t="s">
        <v>2657</v>
      </c>
      <c r="F690" s="1109">
        <v>0.1</v>
      </c>
      <c r="G690" s="1109">
        <v>0.0</v>
      </c>
      <c r="H690" s="1107"/>
    </row>
    <row r="691" ht="18.75" customHeight="1">
      <c r="A691" s="1107"/>
      <c r="B691" s="1108" t="s">
        <v>1285</v>
      </c>
      <c r="C691" s="1108" t="s">
        <v>1657</v>
      </c>
      <c r="D691" s="1108" t="s">
        <v>2658</v>
      </c>
      <c r="E691" s="1108" t="s">
        <v>2659</v>
      </c>
      <c r="F691" s="1109">
        <v>0.1</v>
      </c>
      <c r="G691" s="1109">
        <v>0.0</v>
      </c>
      <c r="H691" s="1107"/>
    </row>
    <row r="692" ht="18.75" customHeight="1">
      <c r="A692" s="1107"/>
      <c r="B692" s="1108" t="s">
        <v>1285</v>
      </c>
      <c r="C692" s="1108" t="s">
        <v>1657</v>
      </c>
      <c r="D692" s="1108" t="s">
        <v>2660</v>
      </c>
      <c r="E692" s="1108" t="s">
        <v>2661</v>
      </c>
      <c r="F692" s="1109">
        <v>0.1</v>
      </c>
      <c r="G692" s="1109">
        <v>0.0</v>
      </c>
      <c r="H692" s="1107"/>
    </row>
    <row r="693" ht="18.75" customHeight="1">
      <c r="A693" s="1107"/>
      <c r="B693" s="1108" t="s">
        <v>1285</v>
      </c>
      <c r="C693" s="1108" t="s">
        <v>1657</v>
      </c>
      <c r="D693" s="1108" t="s">
        <v>2662</v>
      </c>
      <c r="E693" s="1108" t="s">
        <v>2663</v>
      </c>
      <c r="F693" s="1109">
        <v>0.1</v>
      </c>
      <c r="G693" s="1109">
        <v>0.0</v>
      </c>
      <c r="H693" s="1107"/>
    </row>
    <row r="694" ht="18.75" customHeight="1">
      <c r="A694" s="1107"/>
      <c r="B694" s="1108" t="s">
        <v>1285</v>
      </c>
      <c r="C694" s="1108" t="s">
        <v>1657</v>
      </c>
      <c r="D694" s="1108" t="s">
        <v>2664</v>
      </c>
      <c r="E694" s="1108" t="s">
        <v>2665</v>
      </c>
      <c r="F694" s="1109">
        <v>0.1</v>
      </c>
      <c r="G694" s="1109">
        <v>0.0</v>
      </c>
      <c r="H694" s="1107"/>
    </row>
    <row r="695" ht="18.75" customHeight="1">
      <c r="A695" s="1107"/>
      <c r="B695" s="1108" t="s">
        <v>1285</v>
      </c>
      <c r="C695" s="1108" t="s">
        <v>1657</v>
      </c>
      <c r="D695" s="1108" t="s">
        <v>2666</v>
      </c>
      <c r="E695" s="1108" t="s">
        <v>2667</v>
      </c>
      <c r="F695" s="1109">
        <v>0.1</v>
      </c>
      <c r="G695" s="1109">
        <v>0.0</v>
      </c>
      <c r="H695" s="1107"/>
    </row>
    <row r="696" ht="18.75" customHeight="1">
      <c r="A696" s="1107"/>
      <c r="B696" s="1108" t="s">
        <v>1285</v>
      </c>
      <c r="C696" s="1108" t="s">
        <v>1657</v>
      </c>
      <c r="D696" s="1108" t="s">
        <v>2668</v>
      </c>
      <c r="E696" s="1108" t="s">
        <v>2669</v>
      </c>
      <c r="F696" s="1109">
        <v>0.1</v>
      </c>
      <c r="G696" s="1109">
        <v>0.0</v>
      </c>
      <c r="H696" s="1107"/>
    </row>
    <row r="697" ht="18.75" customHeight="1">
      <c r="A697" s="1107"/>
      <c r="B697" s="1108" t="s">
        <v>1285</v>
      </c>
      <c r="C697" s="1108" t="s">
        <v>1657</v>
      </c>
      <c r="D697" s="1108" t="s">
        <v>2670</v>
      </c>
      <c r="E697" s="1108" t="s">
        <v>2669</v>
      </c>
      <c r="F697" s="1109">
        <v>0.1</v>
      </c>
      <c r="G697" s="1109">
        <v>0.0</v>
      </c>
      <c r="H697" s="1107"/>
    </row>
    <row r="698" ht="18.75" customHeight="1">
      <c r="A698" s="1107"/>
      <c r="B698" s="1108" t="s">
        <v>1285</v>
      </c>
      <c r="C698" s="1108" t="s">
        <v>1657</v>
      </c>
      <c r="D698" s="1108" t="s">
        <v>2671</v>
      </c>
      <c r="E698" s="1108" t="s">
        <v>2672</v>
      </c>
      <c r="F698" s="1109">
        <v>0.1</v>
      </c>
      <c r="G698" s="1109">
        <v>0.0</v>
      </c>
      <c r="H698" s="1107"/>
    </row>
    <row r="699" ht="18.75" customHeight="1">
      <c r="A699" s="1107"/>
      <c r="B699" s="1108" t="s">
        <v>1285</v>
      </c>
      <c r="C699" s="1108" t="s">
        <v>1657</v>
      </c>
      <c r="D699" s="1108" t="s">
        <v>2673</v>
      </c>
      <c r="E699" s="1108" t="s">
        <v>2674</v>
      </c>
      <c r="F699" s="1109">
        <v>0.1</v>
      </c>
      <c r="G699" s="1109">
        <v>0.0</v>
      </c>
      <c r="H699" s="1107"/>
    </row>
    <row r="700" ht="18.75" customHeight="1">
      <c r="A700" s="1107"/>
      <c r="B700" s="1108" t="s">
        <v>1285</v>
      </c>
      <c r="C700" s="1108" t="s">
        <v>1657</v>
      </c>
      <c r="D700" s="1108" t="s">
        <v>2675</v>
      </c>
      <c r="E700" s="1108" t="s">
        <v>2676</v>
      </c>
      <c r="F700" s="1109">
        <v>0.1</v>
      </c>
      <c r="G700" s="1109">
        <v>0.0</v>
      </c>
      <c r="H700" s="1107"/>
    </row>
    <row r="701" ht="18.75" customHeight="1">
      <c r="A701" s="1107"/>
      <c r="B701" s="1108" t="s">
        <v>1285</v>
      </c>
      <c r="C701" s="1108" t="s">
        <v>1657</v>
      </c>
      <c r="D701" s="1108" t="s">
        <v>2677</v>
      </c>
      <c r="E701" s="1108" t="s">
        <v>2678</v>
      </c>
      <c r="F701" s="1109">
        <v>0.1</v>
      </c>
      <c r="G701" s="1109">
        <v>0.0</v>
      </c>
      <c r="H701" s="1107"/>
    </row>
    <row r="702" ht="18.75" customHeight="1">
      <c r="A702" s="1107"/>
      <c r="B702" s="1108" t="s">
        <v>1285</v>
      </c>
      <c r="C702" s="1108" t="s">
        <v>1657</v>
      </c>
      <c r="D702" s="1108" t="s">
        <v>2679</v>
      </c>
      <c r="E702" s="1108" t="s">
        <v>2680</v>
      </c>
      <c r="F702" s="1109">
        <v>0.1</v>
      </c>
      <c r="G702" s="1109">
        <v>0.0</v>
      </c>
      <c r="H702" s="1107"/>
    </row>
    <row r="703" ht="18.75" customHeight="1">
      <c r="A703" s="1107"/>
      <c r="B703" s="1108" t="s">
        <v>1285</v>
      </c>
      <c r="C703" s="1108" t="s">
        <v>1657</v>
      </c>
      <c r="D703" s="1108" t="s">
        <v>2681</v>
      </c>
      <c r="E703" s="1108" t="s">
        <v>2682</v>
      </c>
      <c r="F703" s="1109">
        <v>0.1</v>
      </c>
      <c r="G703" s="1109">
        <v>0.0</v>
      </c>
      <c r="H703" s="1107"/>
    </row>
    <row r="704" ht="18.75" customHeight="1">
      <c r="A704" s="1107"/>
      <c r="B704" s="1108" t="s">
        <v>1285</v>
      </c>
      <c r="C704" s="1108" t="s">
        <v>2153</v>
      </c>
      <c r="D704" s="1108" t="s">
        <v>2683</v>
      </c>
      <c r="E704" s="1108" t="s">
        <v>2684</v>
      </c>
      <c r="F704" s="1109">
        <v>0.1</v>
      </c>
      <c r="G704" s="1109">
        <v>0.0</v>
      </c>
      <c r="H704" s="1107"/>
    </row>
    <row r="705" ht="18.75" customHeight="1">
      <c r="A705" s="1107"/>
      <c r="B705" s="1108" t="s">
        <v>1285</v>
      </c>
      <c r="C705" s="1108" t="s">
        <v>1657</v>
      </c>
      <c r="D705" s="1108" t="s">
        <v>2685</v>
      </c>
      <c r="E705" s="1108" t="s">
        <v>2686</v>
      </c>
      <c r="F705" s="1109">
        <v>0.1</v>
      </c>
      <c r="G705" s="1109">
        <v>0.0</v>
      </c>
      <c r="H705" s="1107"/>
    </row>
    <row r="706" ht="18.75" customHeight="1">
      <c r="A706" s="1107"/>
      <c r="B706" s="1108" t="s">
        <v>1285</v>
      </c>
      <c r="C706" s="1108" t="s">
        <v>1657</v>
      </c>
      <c r="D706" s="1108" t="s">
        <v>2687</v>
      </c>
      <c r="E706" s="1108" t="s">
        <v>2688</v>
      </c>
      <c r="F706" s="1109">
        <v>0.1</v>
      </c>
      <c r="G706" s="1109">
        <v>0.0</v>
      </c>
      <c r="H706" s="1107"/>
    </row>
    <row r="707" ht="18.75" customHeight="1">
      <c r="A707" s="1107"/>
      <c r="B707" s="1108" t="s">
        <v>1285</v>
      </c>
      <c r="C707" s="1108" t="s">
        <v>1657</v>
      </c>
      <c r="D707" s="1108" t="s">
        <v>2689</v>
      </c>
      <c r="E707" s="1108" t="s">
        <v>2690</v>
      </c>
      <c r="F707" s="1109">
        <v>0.1</v>
      </c>
      <c r="G707" s="1109">
        <v>0.0</v>
      </c>
      <c r="H707" s="1107"/>
    </row>
    <row r="708" ht="18.75" customHeight="1">
      <c r="A708" s="1107"/>
      <c r="B708" s="1108" t="s">
        <v>1285</v>
      </c>
      <c r="C708" s="1108" t="s">
        <v>1657</v>
      </c>
      <c r="D708" s="1108" t="s">
        <v>2691</v>
      </c>
      <c r="E708" s="1108" t="s">
        <v>2692</v>
      </c>
      <c r="F708" s="1109">
        <v>0.1</v>
      </c>
      <c r="G708" s="1109">
        <v>0.0</v>
      </c>
      <c r="H708" s="1107"/>
    </row>
    <row r="709" ht="18.75" customHeight="1">
      <c r="A709" s="1107"/>
      <c r="B709" s="1108" t="s">
        <v>1285</v>
      </c>
      <c r="C709" s="1108" t="s">
        <v>2153</v>
      </c>
      <c r="D709" s="1108" t="s">
        <v>2693</v>
      </c>
      <c r="E709" s="1108" t="s">
        <v>2694</v>
      </c>
      <c r="F709" s="1109">
        <v>0.1</v>
      </c>
      <c r="G709" s="1109">
        <v>0.0</v>
      </c>
      <c r="H709" s="1107"/>
    </row>
    <row r="710" ht="18.75" customHeight="1">
      <c r="A710" s="1107"/>
      <c r="B710" s="1108" t="s">
        <v>1285</v>
      </c>
      <c r="C710" s="1108" t="s">
        <v>1657</v>
      </c>
      <c r="D710" s="1108" t="s">
        <v>2695</v>
      </c>
      <c r="E710" s="1108" t="s">
        <v>2696</v>
      </c>
      <c r="F710" s="1109">
        <v>0.1</v>
      </c>
      <c r="G710" s="1109">
        <v>0.0</v>
      </c>
      <c r="H710" s="1107"/>
    </row>
    <row r="711" ht="18.75" customHeight="1">
      <c r="A711" s="1107"/>
      <c r="B711" s="1108" t="s">
        <v>1285</v>
      </c>
      <c r="C711" s="1108" t="s">
        <v>1657</v>
      </c>
      <c r="D711" s="1108" t="s">
        <v>2697</v>
      </c>
      <c r="E711" s="1108" t="s">
        <v>2698</v>
      </c>
      <c r="F711" s="1109">
        <v>0.1</v>
      </c>
      <c r="G711" s="1109">
        <v>0.0</v>
      </c>
      <c r="H711" s="1107"/>
    </row>
    <row r="712" ht="18.75" customHeight="1">
      <c r="A712" s="1107"/>
      <c r="B712" s="1108" t="s">
        <v>1285</v>
      </c>
      <c r="C712" s="1108" t="s">
        <v>1657</v>
      </c>
      <c r="D712" s="1108" t="s">
        <v>2699</v>
      </c>
      <c r="E712" s="1108" t="s">
        <v>2700</v>
      </c>
      <c r="F712" s="1109">
        <v>0.1</v>
      </c>
      <c r="G712" s="1109">
        <v>0.0</v>
      </c>
      <c r="H712" s="1107"/>
    </row>
    <row r="713" ht="18.75" customHeight="1">
      <c r="A713" s="1107"/>
      <c r="B713" s="1108" t="s">
        <v>1285</v>
      </c>
      <c r="C713" s="1108" t="s">
        <v>1657</v>
      </c>
      <c r="D713" s="1108" t="s">
        <v>2701</v>
      </c>
      <c r="E713" s="1108" t="s">
        <v>2702</v>
      </c>
      <c r="F713" s="1109">
        <v>0.1</v>
      </c>
      <c r="G713" s="1109">
        <v>0.0</v>
      </c>
      <c r="H713" s="1107"/>
    </row>
    <row r="714" ht="18.75" customHeight="1">
      <c r="A714" s="1107"/>
      <c r="B714" s="1108" t="s">
        <v>1285</v>
      </c>
      <c r="C714" s="1108" t="s">
        <v>1657</v>
      </c>
      <c r="D714" s="1108" t="s">
        <v>2703</v>
      </c>
      <c r="E714" s="1108" t="s">
        <v>2704</v>
      </c>
      <c r="F714" s="1109">
        <v>0.1</v>
      </c>
      <c r="G714" s="1109">
        <v>0.0</v>
      </c>
      <c r="H714" s="1107"/>
    </row>
    <row r="715" ht="18.75" customHeight="1">
      <c r="A715" s="1107"/>
      <c r="B715" s="1108" t="s">
        <v>1285</v>
      </c>
      <c r="C715" s="1108" t="s">
        <v>1657</v>
      </c>
      <c r="D715" s="1108" t="s">
        <v>2705</v>
      </c>
      <c r="E715" s="1108" t="s">
        <v>2706</v>
      </c>
      <c r="F715" s="1109">
        <v>0.1</v>
      </c>
      <c r="G715" s="1109">
        <v>0.0</v>
      </c>
      <c r="H715" s="1107"/>
    </row>
    <row r="716" ht="18.75" customHeight="1">
      <c r="A716" s="1107"/>
      <c r="B716" s="1108" t="s">
        <v>1285</v>
      </c>
      <c r="C716" s="1108" t="s">
        <v>1657</v>
      </c>
      <c r="D716" s="1108" t="s">
        <v>2707</v>
      </c>
      <c r="E716" s="1108" t="s">
        <v>2708</v>
      </c>
      <c r="F716" s="1109">
        <v>0.1</v>
      </c>
      <c r="G716" s="1109">
        <v>0.0</v>
      </c>
      <c r="H716" s="1107"/>
    </row>
    <row r="717" ht="18.75" customHeight="1">
      <c r="A717" s="1107"/>
      <c r="B717" s="1108" t="s">
        <v>1285</v>
      </c>
      <c r="C717" s="1108" t="s">
        <v>1657</v>
      </c>
      <c r="D717" s="1108" t="s">
        <v>2709</v>
      </c>
      <c r="E717" s="1108" t="s">
        <v>2710</v>
      </c>
      <c r="F717" s="1109">
        <v>0.1</v>
      </c>
      <c r="G717" s="1109">
        <v>0.0</v>
      </c>
      <c r="H717" s="1107"/>
    </row>
    <row r="718" ht="18.75" customHeight="1">
      <c r="A718" s="1107"/>
      <c r="B718" s="1108" t="s">
        <v>1285</v>
      </c>
      <c r="C718" s="1108" t="s">
        <v>1657</v>
      </c>
      <c r="D718" s="1108" t="s">
        <v>2711</v>
      </c>
      <c r="E718" s="1108" t="s">
        <v>2712</v>
      </c>
      <c r="F718" s="1109">
        <v>0.1</v>
      </c>
      <c r="G718" s="1109">
        <v>0.0</v>
      </c>
      <c r="H718" s="1107"/>
    </row>
    <row r="719" ht="18.75" customHeight="1">
      <c r="A719" s="1107"/>
      <c r="B719" s="1108" t="s">
        <v>1285</v>
      </c>
      <c r="C719" s="1108" t="s">
        <v>1657</v>
      </c>
      <c r="D719" s="1108" t="s">
        <v>2713</v>
      </c>
      <c r="E719" s="1108" t="s">
        <v>2714</v>
      </c>
      <c r="F719" s="1109">
        <v>0.1</v>
      </c>
      <c r="G719" s="1109">
        <v>0.0</v>
      </c>
      <c r="H719" s="1107"/>
    </row>
    <row r="720" ht="18.75" customHeight="1">
      <c r="A720" s="1107"/>
      <c r="B720" s="1108" t="s">
        <v>1285</v>
      </c>
      <c r="C720" s="1108" t="s">
        <v>1657</v>
      </c>
      <c r="D720" s="1108" t="s">
        <v>2715</v>
      </c>
      <c r="E720" s="1108" t="s">
        <v>2716</v>
      </c>
      <c r="F720" s="1109">
        <v>0.1</v>
      </c>
      <c r="G720" s="1109">
        <v>0.0</v>
      </c>
      <c r="H720" s="1107"/>
    </row>
    <row r="721" ht="18.75" customHeight="1">
      <c r="A721" s="1107"/>
      <c r="B721" s="1108" t="s">
        <v>1285</v>
      </c>
      <c r="C721" s="1108" t="s">
        <v>1657</v>
      </c>
      <c r="D721" s="1108" t="s">
        <v>2717</v>
      </c>
      <c r="E721" s="1108" t="s">
        <v>2718</v>
      </c>
      <c r="F721" s="1109">
        <v>0.1</v>
      </c>
      <c r="G721" s="1109">
        <v>0.0</v>
      </c>
      <c r="H721" s="1107"/>
    </row>
    <row r="722" ht="18.75" customHeight="1">
      <c r="A722" s="1107"/>
      <c r="B722" s="1108" t="s">
        <v>1285</v>
      </c>
      <c r="C722" s="1108" t="s">
        <v>1657</v>
      </c>
      <c r="D722" s="1108" t="s">
        <v>2719</v>
      </c>
      <c r="E722" s="1108" t="s">
        <v>2720</v>
      </c>
      <c r="F722" s="1109">
        <v>0.1</v>
      </c>
      <c r="G722" s="1109">
        <v>0.0</v>
      </c>
      <c r="H722" s="1107"/>
    </row>
    <row r="723" ht="18.75" customHeight="1">
      <c r="A723" s="1107"/>
      <c r="B723" s="1108" t="s">
        <v>1285</v>
      </c>
      <c r="C723" s="1108" t="s">
        <v>1657</v>
      </c>
      <c r="D723" s="1108" t="s">
        <v>2721</v>
      </c>
      <c r="E723" s="1108" t="s">
        <v>2722</v>
      </c>
      <c r="F723" s="1109">
        <v>0.1</v>
      </c>
      <c r="G723" s="1109">
        <v>0.0</v>
      </c>
      <c r="H723" s="1107"/>
    </row>
    <row r="724" ht="18.75" customHeight="1">
      <c r="A724" s="1107"/>
      <c r="B724" s="1108" t="s">
        <v>1285</v>
      </c>
      <c r="C724" s="1108" t="s">
        <v>1657</v>
      </c>
      <c r="D724" s="1108" t="s">
        <v>2723</v>
      </c>
      <c r="E724" s="1108" t="s">
        <v>2724</v>
      </c>
      <c r="F724" s="1109">
        <v>0.1</v>
      </c>
      <c r="G724" s="1109">
        <v>0.0</v>
      </c>
      <c r="H724" s="1107"/>
    </row>
    <row r="725" ht="18.75" customHeight="1">
      <c r="A725" s="1107"/>
      <c r="B725" s="1108" t="s">
        <v>1285</v>
      </c>
      <c r="C725" s="1108" t="s">
        <v>1657</v>
      </c>
      <c r="D725" s="1108" t="s">
        <v>2725</v>
      </c>
      <c r="E725" s="1108" t="s">
        <v>2726</v>
      </c>
      <c r="F725" s="1109">
        <v>0.1</v>
      </c>
      <c r="G725" s="1109">
        <v>0.0</v>
      </c>
      <c r="H725" s="1107"/>
    </row>
    <row r="726" ht="18.75" customHeight="1">
      <c r="A726" s="1107"/>
      <c r="B726" s="1108" t="s">
        <v>1285</v>
      </c>
      <c r="C726" s="1108" t="s">
        <v>1657</v>
      </c>
      <c r="D726" s="1108" t="s">
        <v>2727</v>
      </c>
      <c r="E726" s="1108" t="s">
        <v>2728</v>
      </c>
      <c r="F726" s="1109">
        <v>0.1</v>
      </c>
      <c r="G726" s="1109">
        <v>0.0</v>
      </c>
      <c r="H726" s="1107"/>
    </row>
    <row r="727" ht="18.75" customHeight="1">
      <c r="A727" s="1107"/>
      <c r="B727" s="1108" t="s">
        <v>1285</v>
      </c>
      <c r="C727" s="1108" t="s">
        <v>1657</v>
      </c>
      <c r="D727" s="1108" t="s">
        <v>2729</v>
      </c>
      <c r="E727" s="1108" t="s">
        <v>2730</v>
      </c>
      <c r="F727" s="1109">
        <v>0.1</v>
      </c>
      <c r="G727" s="1109">
        <v>0.0</v>
      </c>
      <c r="H727" s="1107"/>
    </row>
    <row r="728" ht="18.75" customHeight="1">
      <c r="A728" s="1107"/>
      <c r="B728" s="1108" t="s">
        <v>1285</v>
      </c>
      <c r="C728" s="1108" t="s">
        <v>1657</v>
      </c>
      <c r="D728" s="1108" t="s">
        <v>2731</v>
      </c>
      <c r="E728" s="1108" t="s">
        <v>2732</v>
      </c>
      <c r="F728" s="1109">
        <v>0.1</v>
      </c>
      <c r="G728" s="1109">
        <v>0.0</v>
      </c>
      <c r="H728" s="1107"/>
    </row>
    <row r="729" ht="18.75" customHeight="1">
      <c r="A729" s="1107"/>
      <c r="B729" s="1108" t="s">
        <v>1285</v>
      </c>
      <c r="C729" s="1108" t="s">
        <v>1657</v>
      </c>
      <c r="D729" s="1108" t="s">
        <v>2733</v>
      </c>
      <c r="E729" s="1108" t="s">
        <v>2734</v>
      </c>
      <c r="F729" s="1109">
        <v>0.1</v>
      </c>
      <c r="G729" s="1109">
        <v>0.0</v>
      </c>
      <c r="H729" s="1107"/>
    </row>
    <row r="730" ht="18.75" customHeight="1">
      <c r="A730" s="1107"/>
      <c r="B730" s="1108" t="s">
        <v>1285</v>
      </c>
      <c r="C730" s="1108" t="s">
        <v>1657</v>
      </c>
      <c r="D730" s="1108" t="s">
        <v>2735</v>
      </c>
      <c r="E730" s="1108" t="s">
        <v>2736</v>
      </c>
      <c r="F730" s="1109">
        <v>0.1</v>
      </c>
      <c r="G730" s="1109">
        <v>0.0</v>
      </c>
      <c r="H730" s="1107"/>
    </row>
    <row r="731" ht="18.75" customHeight="1">
      <c r="A731" s="1107"/>
      <c r="B731" s="1108" t="s">
        <v>1285</v>
      </c>
      <c r="C731" s="1108" t="s">
        <v>1657</v>
      </c>
      <c r="D731" s="1108" t="s">
        <v>2737</v>
      </c>
      <c r="E731" s="1108" t="s">
        <v>2738</v>
      </c>
      <c r="F731" s="1109">
        <v>0.1</v>
      </c>
      <c r="G731" s="1109">
        <v>0.0</v>
      </c>
      <c r="H731" s="1107"/>
    </row>
    <row r="732" ht="18.75" customHeight="1">
      <c r="A732" s="1107"/>
      <c r="B732" s="1108" t="s">
        <v>1285</v>
      </c>
      <c r="C732" s="1108" t="s">
        <v>1657</v>
      </c>
      <c r="D732" s="1108" t="s">
        <v>2739</v>
      </c>
      <c r="E732" s="1108" t="s">
        <v>2740</v>
      </c>
      <c r="F732" s="1109">
        <v>0.1</v>
      </c>
      <c r="G732" s="1109">
        <v>0.0</v>
      </c>
      <c r="H732" s="1107"/>
    </row>
    <row r="733" ht="18.75" customHeight="1">
      <c r="A733" s="1107"/>
      <c r="B733" s="1108" t="s">
        <v>1285</v>
      </c>
      <c r="C733" s="1108" t="s">
        <v>1657</v>
      </c>
      <c r="D733" s="1108" t="s">
        <v>2741</v>
      </c>
      <c r="E733" s="1108" t="s">
        <v>2742</v>
      </c>
      <c r="F733" s="1109">
        <v>0.1</v>
      </c>
      <c r="G733" s="1109">
        <v>0.0</v>
      </c>
      <c r="H733" s="1107"/>
    </row>
    <row r="734" ht="18.75" customHeight="1">
      <c r="A734" s="1107"/>
      <c r="B734" s="1108" t="s">
        <v>1285</v>
      </c>
      <c r="C734" s="1108" t="s">
        <v>1657</v>
      </c>
      <c r="D734" s="1108" t="s">
        <v>2743</v>
      </c>
      <c r="E734" s="1108" t="s">
        <v>2744</v>
      </c>
      <c r="F734" s="1109">
        <v>0.1</v>
      </c>
      <c r="G734" s="1109">
        <v>0.0</v>
      </c>
      <c r="H734" s="1107"/>
    </row>
    <row r="735" ht="18.75" customHeight="1">
      <c r="A735" s="1107"/>
      <c r="B735" s="1108" t="s">
        <v>1285</v>
      </c>
      <c r="C735" s="1108" t="s">
        <v>1657</v>
      </c>
      <c r="D735" s="1108" t="s">
        <v>2745</v>
      </c>
      <c r="E735" s="1108" t="s">
        <v>2746</v>
      </c>
      <c r="F735" s="1109">
        <v>0.1</v>
      </c>
      <c r="G735" s="1109">
        <v>0.0</v>
      </c>
      <c r="H735" s="1107"/>
    </row>
    <row r="736" ht="18.75" customHeight="1">
      <c r="A736" s="1107"/>
      <c r="B736" s="1108" t="s">
        <v>1285</v>
      </c>
      <c r="C736" s="1108" t="s">
        <v>1657</v>
      </c>
      <c r="D736" s="1108" t="s">
        <v>2747</v>
      </c>
      <c r="E736" s="1108" t="s">
        <v>2748</v>
      </c>
      <c r="F736" s="1109">
        <v>0.1</v>
      </c>
      <c r="G736" s="1109">
        <v>0.0</v>
      </c>
      <c r="H736" s="1107"/>
    </row>
    <row r="737" ht="18.75" customHeight="1">
      <c r="A737" s="1107"/>
      <c r="B737" s="1108" t="s">
        <v>1285</v>
      </c>
      <c r="C737" s="1108" t="s">
        <v>1657</v>
      </c>
      <c r="D737" s="1108" t="s">
        <v>2749</v>
      </c>
      <c r="E737" s="1108" t="s">
        <v>2750</v>
      </c>
      <c r="F737" s="1109">
        <v>0.1</v>
      </c>
      <c r="G737" s="1109">
        <v>0.0</v>
      </c>
      <c r="H737" s="1107"/>
    </row>
    <row r="738" ht="18.75" customHeight="1">
      <c r="A738" s="1107"/>
      <c r="B738" s="1108" t="s">
        <v>1285</v>
      </c>
      <c r="C738" s="1108" t="s">
        <v>2408</v>
      </c>
      <c r="D738" s="1108" t="s">
        <v>2751</v>
      </c>
      <c r="E738" s="1108" t="s">
        <v>2752</v>
      </c>
      <c r="F738" s="1109">
        <v>0.1</v>
      </c>
      <c r="G738" s="1109">
        <v>0.0</v>
      </c>
      <c r="H738" s="1107"/>
    </row>
    <row r="739" ht="18.75" customHeight="1">
      <c r="A739" s="1107"/>
      <c r="B739" s="1108" t="s">
        <v>1285</v>
      </c>
      <c r="C739" s="1108" t="s">
        <v>1657</v>
      </c>
      <c r="D739" s="1108" t="s">
        <v>2753</v>
      </c>
      <c r="E739" s="1108" t="s">
        <v>2754</v>
      </c>
      <c r="F739" s="1109">
        <v>0.1</v>
      </c>
      <c r="G739" s="1109">
        <v>0.0</v>
      </c>
      <c r="H739" s="1107"/>
    </row>
    <row r="740" ht="18.75" customHeight="1">
      <c r="A740" s="1107"/>
      <c r="B740" s="1108" t="s">
        <v>1285</v>
      </c>
      <c r="C740" s="1108" t="s">
        <v>1657</v>
      </c>
      <c r="D740" s="1108" t="s">
        <v>2755</v>
      </c>
      <c r="E740" s="1108" t="s">
        <v>2756</v>
      </c>
      <c r="F740" s="1109">
        <v>0.1</v>
      </c>
      <c r="G740" s="1109">
        <v>0.0</v>
      </c>
      <c r="H740" s="1107"/>
    </row>
    <row r="741" ht="18.75" customHeight="1">
      <c r="A741" s="1107"/>
      <c r="B741" s="1108" t="s">
        <v>1285</v>
      </c>
      <c r="C741" s="1108" t="s">
        <v>1657</v>
      </c>
      <c r="D741" s="1108" t="s">
        <v>2757</v>
      </c>
      <c r="E741" s="1108" t="s">
        <v>2758</v>
      </c>
      <c r="F741" s="1109">
        <v>0.1</v>
      </c>
      <c r="G741" s="1109">
        <v>0.0</v>
      </c>
      <c r="H741" s="1107"/>
    </row>
    <row r="742" ht="18.75" customHeight="1">
      <c r="A742" s="1107"/>
      <c r="B742" s="1108" t="s">
        <v>1285</v>
      </c>
      <c r="C742" s="1108" t="s">
        <v>1657</v>
      </c>
      <c r="D742" s="1108" t="s">
        <v>2759</v>
      </c>
      <c r="E742" s="1108" t="s">
        <v>2760</v>
      </c>
      <c r="F742" s="1109">
        <v>0.1</v>
      </c>
      <c r="G742" s="1109">
        <v>0.0</v>
      </c>
      <c r="H742" s="1107"/>
    </row>
    <row r="743" ht="18.75" customHeight="1">
      <c r="A743" s="1107"/>
      <c r="B743" s="1108" t="s">
        <v>1285</v>
      </c>
      <c r="C743" s="1108" t="s">
        <v>1657</v>
      </c>
      <c r="D743" s="1108" t="s">
        <v>2761</v>
      </c>
      <c r="E743" s="1108" t="s">
        <v>2762</v>
      </c>
      <c r="F743" s="1109">
        <v>0.1</v>
      </c>
      <c r="G743" s="1109">
        <v>0.0</v>
      </c>
      <c r="H743" s="1107"/>
    </row>
    <row r="744" ht="18.75" customHeight="1">
      <c r="A744" s="1107"/>
      <c r="B744" s="1108" t="s">
        <v>1285</v>
      </c>
      <c r="C744" s="1108" t="s">
        <v>1657</v>
      </c>
      <c r="D744" s="1108" t="s">
        <v>2763</v>
      </c>
      <c r="E744" s="1108" t="s">
        <v>2764</v>
      </c>
      <c r="F744" s="1109">
        <v>0.1</v>
      </c>
      <c r="G744" s="1109">
        <v>0.0</v>
      </c>
      <c r="H744" s="1107"/>
    </row>
    <row r="745" ht="18.75" customHeight="1">
      <c r="A745" s="1107"/>
      <c r="B745" s="1108" t="s">
        <v>1285</v>
      </c>
      <c r="C745" s="1108" t="s">
        <v>1657</v>
      </c>
      <c r="D745" s="1108" t="s">
        <v>2765</v>
      </c>
      <c r="E745" s="1108" t="s">
        <v>2766</v>
      </c>
      <c r="F745" s="1109">
        <v>0.1</v>
      </c>
      <c r="G745" s="1109">
        <v>0.0</v>
      </c>
      <c r="H745" s="1107"/>
    </row>
    <row r="746" ht="18.75" customHeight="1">
      <c r="A746" s="1107"/>
      <c r="B746" s="1108" t="s">
        <v>1285</v>
      </c>
      <c r="C746" s="1108" t="s">
        <v>2408</v>
      </c>
      <c r="D746" s="1108" t="s">
        <v>2767</v>
      </c>
      <c r="E746" s="1108" t="s">
        <v>2768</v>
      </c>
      <c r="F746" s="1109">
        <v>0.1</v>
      </c>
      <c r="G746" s="1109">
        <v>0.0</v>
      </c>
      <c r="H746" s="1107"/>
    </row>
    <row r="747" ht="18.75" customHeight="1">
      <c r="A747" s="1107"/>
      <c r="B747" s="1108" t="s">
        <v>1285</v>
      </c>
      <c r="C747" s="1108" t="s">
        <v>1657</v>
      </c>
      <c r="D747" s="1108" t="s">
        <v>2769</v>
      </c>
      <c r="E747" s="1108" t="s">
        <v>2770</v>
      </c>
      <c r="F747" s="1109">
        <v>0.1</v>
      </c>
      <c r="G747" s="1109">
        <v>0.0</v>
      </c>
      <c r="H747" s="1107"/>
    </row>
    <row r="748" ht="18.75" customHeight="1">
      <c r="A748" s="1107"/>
      <c r="B748" s="1108" t="s">
        <v>1285</v>
      </c>
      <c r="C748" s="1108" t="s">
        <v>1657</v>
      </c>
      <c r="D748" s="1108" t="s">
        <v>2771</v>
      </c>
      <c r="E748" s="1108" t="s">
        <v>2772</v>
      </c>
      <c r="F748" s="1109">
        <v>0.1</v>
      </c>
      <c r="G748" s="1109">
        <v>0.0</v>
      </c>
      <c r="H748" s="1107"/>
    </row>
    <row r="749" ht="18.75" customHeight="1">
      <c r="A749" s="1107"/>
      <c r="B749" s="1108" t="s">
        <v>1285</v>
      </c>
      <c r="C749" s="1108" t="s">
        <v>1657</v>
      </c>
      <c r="D749" s="1108" t="s">
        <v>2773</v>
      </c>
      <c r="E749" s="1108" t="s">
        <v>2774</v>
      </c>
      <c r="F749" s="1109">
        <v>0.1</v>
      </c>
      <c r="G749" s="1109">
        <v>0.0</v>
      </c>
      <c r="H749" s="1107"/>
    </row>
    <row r="750" ht="18.75" customHeight="1">
      <c r="A750" s="1107"/>
      <c r="B750" s="1108" t="s">
        <v>1285</v>
      </c>
      <c r="C750" s="1108" t="s">
        <v>1657</v>
      </c>
      <c r="D750" s="1108" t="s">
        <v>2775</v>
      </c>
      <c r="E750" s="1108" t="s">
        <v>2776</v>
      </c>
      <c r="F750" s="1109">
        <v>0.1</v>
      </c>
      <c r="G750" s="1109">
        <v>0.0</v>
      </c>
      <c r="H750" s="1107"/>
    </row>
    <row r="751" ht="18.75" customHeight="1">
      <c r="A751" s="1107"/>
      <c r="B751" s="1108" t="s">
        <v>1285</v>
      </c>
      <c r="C751" s="1108" t="s">
        <v>1657</v>
      </c>
      <c r="D751" s="1108" t="s">
        <v>2777</v>
      </c>
      <c r="E751" s="1108" t="s">
        <v>2778</v>
      </c>
      <c r="F751" s="1109">
        <v>0.1</v>
      </c>
      <c r="G751" s="1109">
        <v>0.0</v>
      </c>
      <c r="H751" s="1107"/>
    </row>
    <row r="752" ht="18.75" customHeight="1">
      <c r="A752" s="1107"/>
      <c r="B752" s="1108" t="s">
        <v>1285</v>
      </c>
      <c r="C752" s="1108" t="s">
        <v>1657</v>
      </c>
      <c r="D752" s="1108" t="s">
        <v>2779</v>
      </c>
      <c r="E752" s="1108" t="s">
        <v>2780</v>
      </c>
      <c r="F752" s="1109">
        <v>0.1</v>
      </c>
      <c r="G752" s="1109">
        <v>0.0</v>
      </c>
      <c r="H752" s="1107"/>
    </row>
    <row r="753" ht="18.75" customHeight="1">
      <c r="A753" s="1107"/>
      <c r="B753" s="1108" t="s">
        <v>1285</v>
      </c>
      <c r="C753" s="1108" t="s">
        <v>1657</v>
      </c>
      <c r="D753" s="1108" t="s">
        <v>2781</v>
      </c>
      <c r="E753" s="1108" t="s">
        <v>2782</v>
      </c>
      <c r="F753" s="1109">
        <v>0.1</v>
      </c>
      <c r="G753" s="1109">
        <v>0.0</v>
      </c>
      <c r="H753" s="1107"/>
    </row>
    <row r="754" ht="18.75" customHeight="1">
      <c r="A754" s="1107"/>
      <c r="B754" s="1108" t="s">
        <v>1285</v>
      </c>
      <c r="C754" s="1108" t="s">
        <v>2153</v>
      </c>
      <c r="D754" s="1108" t="s">
        <v>2783</v>
      </c>
      <c r="E754" s="1108" t="s">
        <v>2784</v>
      </c>
      <c r="F754" s="1109">
        <v>0.1</v>
      </c>
      <c r="G754" s="1109">
        <v>0.0</v>
      </c>
      <c r="H754" s="1107"/>
    </row>
    <row r="755" ht="18.75" customHeight="1">
      <c r="A755" s="1107"/>
      <c r="B755" s="1108" t="s">
        <v>1285</v>
      </c>
      <c r="C755" s="1108" t="s">
        <v>1657</v>
      </c>
      <c r="D755" s="1108" t="s">
        <v>2785</v>
      </c>
      <c r="E755" s="1108" t="s">
        <v>2786</v>
      </c>
      <c r="F755" s="1109">
        <v>0.1</v>
      </c>
      <c r="G755" s="1109">
        <v>0.0</v>
      </c>
      <c r="H755" s="1107"/>
    </row>
    <row r="756" ht="18.75" customHeight="1">
      <c r="A756" s="1107"/>
      <c r="B756" s="1108" t="s">
        <v>1285</v>
      </c>
      <c r="C756" s="1108" t="s">
        <v>1657</v>
      </c>
      <c r="D756" s="1108" t="s">
        <v>2787</v>
      </c>
      <c r="E756" s="1108" t="s">
        <v>2788</v>
      </c>
      <c r="F756" s="1109">
        <v>0.1</v>
      </c>
      <c r="G756" s="1109">
        <v>0.0</v>
      </c>
      <c r="H756" s="1107"/>
    </row>
    <row r="757" ht="18.75" customHeight="1">
      <c r="A757" s="1107"/>
      <c r="B757" s="1108" t="s">
        <v>1285</v>
      </c>
      <c r="C757" s="1108" t="s">
        <v>1657</v>
      </c>
      <c r="D757" s="1108" t="s">
        <v>2789</v>
      </c>
      <c r="E757" s="1108" t="s">
        <v>2790</v>
      </c>
      <c r="F757" s="1109">
        <v>0.1</v>
      </c>
      <c r="G757" s="1109">
        <v>0.0</v>
      </c>
      <c r="H757" s="1107"/>
    </row>
    <row r="758" ht="18.75" customHeight="1">
      <c r="A758" s="1107"/>
      <c r="B758" s="1108" t="s">
        <v>1285</v>
      </c>
      <c r="C758" s="1108" t="s">
        <v>1657</v>
      </c>
      <c r="D758" s="1108" t="s">
        <v>2791</v>
      </c>
      <c r="E758" s="1108" t="s">
        <v>2792</v>
      </c>
      <c r="F758" s="1109">
        <v>0.1</v>
      </c>
      <c r="G758" s="1109">
        <v>0.0</v>
      </c>
      <c r="H758" s="1107"/>
    </row>
    <row r="759" ht="18.75" customHeight="1">
      <c r="A759" s="1107"/>
      <c r="B759" s="1108" t="s">
        <v>1285</v>
      </c>
      <c r="C759" s="1108" t="s">
        <v>1657</v>
      </c>
      <c r="D759" s="1108" t="s">
        <v>2793</v>
      </c>
      <c r="E759" s="1108" t="s">
        <v>2794</v>
      </c>
      <c r="F759" s="1109">
        <v>0.1</v>
      </c>
      <c r="G759" s="1109">
        <v>0.0</v>
      </c>
      <c r="H759" s="1107"/>
    </row>
    <row r="760" ht="18.75" customHeight="1">
      <c r="A760" s="1107"/>
      <c r="B760" s="1108" t="s">
        <v>1285</v>
      </c>
      <c r="C760" s="1108" t="s">
        <v>1657</v>
      </c>
      <c r="D760" s="1108" t="s">
        <v>2795</v>
      </c>
      <c r="E760" s="1108" t="s">
        <v>2796</v>
      </c>
      <c r="F760" s="1109">
        <v>0.1</v>
      </c>
      <c r="G760" s="1109">
        <v>0.0</v>
      </c>
      <c r="H760" s="1107"/>
    </row>
    <row r="761" ht="18.75" customHeight="1">
      <c r="A761" s="1107"/>
      <c r="B761" s="1108" t="s">
        <v>1285</v>
      </c>
      <c r="C761" s="1108" t="s">
        <v>1657</v>
      </c>
      <c r="D761" s="1108" t="s">
        <v>2797</v>
      </c>
      <c r="E761" s="1108" t="s">
        <v>2798</v>
      </c>
      <c r="F761" s="1109">
        <v>0.1</v>
      </c>
      <c r="G761" s="1109">
        <v>0.0</v>
      </c>
      <c r="H761" s="1107"/>
    </row>
    <row r="762" ht="18.75" customHeight="1">
      <c r="A762" s="1107"/>
      <c r="B762" s="1108" t="s">
        <v>1285</v>
      </c>
      <c r="C762" s="1108" t="s">
        <v>1657</v>
      </c>
      <c r="D762" s="1108" t="s">
        <v>2799</v>
      </c>
      <c r="E762" s="1108" t="s">
        <v>2800</v>
      </c>
      <c r="F762" s="1109">
        <v>0.1</v>
      </c>
      <c r="G762" s="1109">
        <v>0.0</v>
      </c>
      <c r="H762" s="1107"/>
    </row>
    <row r="763" ht="18.75" customHeight="1">
      <c r="A763" s="1107"/>
      <c r="B763" s="1108" t="s">
        <v>1285</v>
      </c>
      <c r="C763" s="1108" t="s">
        <v>1657</v>
      </c>
      <c r="D763" s="1108" t="s">
        <v>2801</v>
      </c>
      <c r="E763" s="1108" t="s">
        <v>2802</v>
      </c>
      <c r="F763" s="1109">
        <v>0.1</v>
      </c>
      <c r="G763" s="1109">
        <v>0.0</v>
      </c>
      <c r="H763" s="1107"/>
    </row>
    <row r="764" ht="18.75" customHeight="1">
      <c r="A764" s="1107"/>
      <c r="B764" s="1108" t="s">
        <v>1285</v>
      </c>
      <c r="C764" s="1108" t="s">
        <v>1657</v>
      </c>
      <c r="D764" s="1108" t="s">
        <v>2803</v>
      </c>
      <c r="E764" s="1108" t="s">
        <v>2804</v>
      </c>
      <c r="F764" s="1109">
        <v>0.1</v>
      </c>
      <c r="G764" s="1109">
        <v>0.0</v>
      </c>
      <c r="H764" s="1107"/>
    </row>
    <row r="765" ht="18.75" customHeight="1">
      <c r="A765" s="1107"/>
      <c r="B765" s="1108" t="s">
        <v>1285</v>
      </c>
      <c r="C765" s="1108" t="s">
        <v>1657</v>
      </c>
      <c r="D765" s="1108" t="s">
        <v>2805</v>
      </c>
      <c r="E765" s="1108" t="s">
        <v>2806</v>
      </c>
      <c r="F765" s="1109">
        <v>0.1</v>
      </c>
      <c r="G765" s="1109">
        <v>0.0</v>
      </c>
      <c r="H765" s="1107"/>
    </row>
    <row r="766" ht="18.75" customHeight="1">
      <c r="A766" s="1107"/>
      <c r="B766" s="1108" t="s">
        <v>1285</v>
      </c>
      <c r="C766" s="1108" t="s">
        <v>1657</v>
      </c>
      <c r="D766" s="1108" t="s">
        <v>2807</v>
      </c>
      <c r="E766" s="1108" t="s">
        <v>2808</v>
      </c>
      <c r="F766" s="1109">
        <v>0.1</v>
      </c>
      <c r="G766" s="1109">
        <v>0.0</v>
      </c>
      <c r="H766" s="1107"/>
    </row>
    <row r="767" ht="18.75" customHeight="1">
      <c r="A767" s="1107"/>
      <c r="B767" s="1108" t="s">
        <v>1285</v>
      </c>
      <c r="C767" s="1108" t="s">
        <v>1657</v>
      </c>
      <c r="D767" s="1108" t="s">
        <v>2809</v>
      </c>
      <c r="E767" s="1108" t="s">
        <v>2810</v>
      </c>
      <c r="F767" s="1109">
        <v>0.1</v>
      </c>
      <c r="G767" s="1109">
        <v>0.0</v>
      </c>
      <c r="H767" s="1107"/>
    </row>
    <row r="768" ht="18.75" customHeight="1">
      <c r="A768" s="1107"/>
      <c r="B768" s="1108" t="s">
        <v>1285</v>
      </c>
      <c r="C768" s="1108" t="s">
        <v>1657</v>
      </c>
      <c r="D768" s="1108" t="s">
        <v>2811</v>
      </c>
      <c r="E768" s="1108" t="s">
        <v>2812</v>
      </c>
      <c r="F768" s="1109">
        <v>0.1</v>
      </c>
      <c r="G768" s="1109">
        <v>0.0</v>
      </c>
      <c r="H768" s="1107"/>
    </row>
    <row r="769" ht="18.75" customHeight="1">
      <c r="A769" s="1107"/>
      <c r="B769" s="1108" t="s">
        <v>1285</v>
      </c>
      <c r="C769" s="1108" t="s">
        <v>2153</v>
      </c>
      <c r="D769" s="1108" t="s">
        <v>2813</v>
      </c>
      <c r="E769" s="1108" t="s">
        <v>2814</v>
      </c>
      <c r="F769" s="1109">
        <v>0.1</v>
      </c>
      <c r="G769" s="1109">
        <v>0.0</v>
      </c>
      <c r="H769" s="1107"/>
    </row>
    <row r="770" ht="18.75" customHeight="1">
      <c r="A770" s="1107"/>
      <c r="B770" s="1108" t="s">
        <v>1285</v>
      </c>
      <c r="C770" s="1108" t="s">
        <v>1657</v>
      </c>
      <c r="D770" s="1108" t="s">
        <v>2815</v>
      </c>
      <c r="E770" s="1108" t="s">
        <v>2816</v>
      </c>
      <c r="F770" s="1109">
        <v>0.1</v>
      </c>
      <c r="G770" s="1109">
        <v>0.0</v>
      </c>
      <c r="H770" s="1107"/>
    </row>
    <row r="771" ht="18.75" customHeight="1">
      <c r="A771" s="1107"/>
      <c r="B771" s="1108" t="s">
        <v>1285</v>
      </c>
      <c r="C771" s="1108" t="s">
        <v>1657</v>
      </c>
      <c r="D771" s="1108" t="s">
        <v>2817</v>
      </c>
      <c r="E771" s="1108" t="s">
        <v>2818</v>
      </c>
      <c r="F771" s="1109">
        <v>0.1</v>
      </c>
      <c r="G771" s="1109">
        <v>0.0</v>
      </c>
      <c r="H771" s="1107"/>
    </row>
    <row r="772" ht="18.75" customHeight="1">
      <c r="A772" s="1107"/>
      <c r="B772" s="1108" t="s">
        <v>1285</v>
      </c>
      <c r="C772" s="1108" t="s">
        <v>1657</v>
      </c>
      <c r="D772" s="1108" t="s">
        <v>2819</v>
      </c>
      <c r="E772" s="1108" t="s">
        <v>2820</v>
      </c>
      <c r="F772" s="1109">
        <v>0.1</v>
      </c>
      <c r="G772" s="1109">
        <v>0.0</v>
      </c>
      <c r="H772" s="1107"/>
    </row>
    <row r="773" ht="18.75" customHeight="1">
      <c r="A773" s="1107"/>
      <c r="B773" s="1108" t="s">
        <v>1285</v>
      </c>
      <c r="C773" s="1108" t="s">
        <v>1657</v>
      </c>
      <c r="D773" s="1108" t="s">
        <v>2821</v>
      </c>
      <c r="E773" s="1108" t="s">
        <v>2822</v>
      </c>
      <c r="F773" s="1109">
        <v>0.1</v>
      </c>
      <c r="G773" s="1109">
        <v>0.0</v>
      </c>
      <c r="H773" s="1107"/>
    </row>
    <row r="774" ht="18.75" customHeight="1">
      <c r="A774" s="1107"/>
      <c r="B774" s="1108" t="s">
        <v>1285</v>
      </c>
      <c r="C774" s="1108" t="s">
        <v>1657</v>
      </c>
      <c r="D774" s="1108" t="s">
        <v>2823</v>
      </c>
      <c r="E774" s="1108" t="s">
        <v>2824</v>
      </c>
      <c r="F774" s="1109">
        <v>0.1</v>
      </c>
      <c r="G774" s="1109">
        <v>0.0</v>
      </c>
      <c r="H774" s="1107"/>
    </row>
    <row r="775" ht="18.75" customHeight="1">
      <c r="A775" s="1107"/>
      <c r="B775" s="1108" t="s">
        <v>1285</v>
      </c>
      <c r="C775" s="1108" t="s">
        <v>1657</v>
      </c>
      <c r="D775" s="1108" t="s">
        <v>2825</v>
      </c>
      <c r="E775" s="1108" t="s">
        <v>2826</v>
      </c>
      <c r="F775" s="1109">
        <v>0.1</v>
      </c>
      <c r="G775" s="1109">
        <v>0.0</v>
      </c>
      <c r="H775" s="1107"/>
    </row>
    <row r="776" ht="18.75" customHeight="1">
      <c r="A776" s="1107"/>
      <c r="B776" s="1108" t="s">
        <v>1285</v>
      </c>
      <c r="C776" s="1108" t="s">
        <v>2153</v>
      </c>
      <c r="D776" s="1108" t="s">
        <v>2827</v>
      </c>
      <c r="E776" s="1108" t="s">
        <v>2828</v>
      </c>
      <c r="F776" s="1109">
        <v>0.1</v>
      </c>
      <c r="G776" s="1109">
        <v>0.0</v>
      </c>
      <c r="H776" s="1107"/>
    </row>
    <row r="777" ht="18.75" customHeight="1">
      <c r="A777" s="1107"/>
      <c r="B777" s="1108" t="s">
        <v>1285</v>
      </c>
      <c r="C777" s="1108" t="s">
        <v>2153</v>
      </c>
      <c r="D777" s="1108" t="s">
        <v>2829</v>
      </c>
      <c r="E777" s="1108" t="s">
        <v>2830</v>
      </c>
      <c r="F777" s="1109">
        <v>0.1</v>
      </c>
      <c r="G777" s="1109">
        <v>0.0</v>
      </c>
      <c r="H777" s="1107"/>
    </row>
    <row r="778" ht="18.75" customHeight="1">
      <c r="A778" s="1107"/>
      <c r="B778" s="1108" t="s">
        <v>1285</v>
      </c>
      <c r="C778" s="1108" t="s">
        <v>1657</v>
      </c>
      <c r="D778" s="1108" t="s">
        <v>2831</v>
      </c>
      <c r="E778" s="1108" t="s">
        <v>2832</v>
      </c>
      <c r="F778" s="1109">
        <v>0.1</v>
      </c>
      <c r="G778" s="1109">
        <v>0.0</v>
      </c>
      <c r="H778" s="1107"/>
    </row>
    <row r="779" ht="18.75" customHeight="1">
      <c r="A779" s="1107"/>
      <c r="B779" s="1108" t="s">
        <v>1285</v>
      </c>
      <c r="C779" s="1108" t="s">
        <v>1657</v>
      </c>
      <c r="D779" s="1108" t="s">
        <v>2833</v>
      </c>
      <c r="E779" s="1108" t="s">
        <v>2834</v>
      </c>
      <c r="F779" s="1109">
        <v>0.1</v>
      </c>
      <c r="G779" s="1109">
        <v>0.0</v>
      </c>
      <c r="H779" s="1107"/>
    </row>
    <row r="780" ht="18.75" customHeight="1">
      <c r="A780" s="1107"/>
      <c r="B780" s="1108" t="s">
        <v>1285</v>
      </c>
      <c r="C780" s="1108" t="s">
        <v>1657</v>
      </c>
      <c r="D780" s="1108" t="s">
        <v>2835</v>
      </c>
      <c r="E780" s="1108" t="s">
        <v>2836</v>
      </c>
      <c r="F780" s="1109">
        <v>0.1</v>
      </c>
      <c r="G780" s="1109">
        <v>0.0</v>
      </c>
      <c r="H780" s="1107"/>
    </row>
    <row r="781" ht="18.75" customHeight="1">
      <c r="A781" s="1107"/>
      <c r="B781" s="1108" t="s">
        <v>1285</v>
      </c>
      <c r="C781" s="1108" t="s">
        <v>1657</v>
      </c>
      <c r="D781" s="1108" t="s">
        <v>2837</v>
      </c>
      <c r="E781" s="1108" t="s">
        <v>2838</v>
      </c>
      <c r="F781" s="1109">
        <v>0.1</v>
      </c>
      <c r="G781" s="1109">
        <v>0.0</v>
      </c>
      <c r="H781" s="1107"/>
    </row>
    <row r="782" ht="18.75" customHeight="1">
      <c r="A782" s="1107"/>
      <c r="B782" s="1108" t="s">
        <v>1285</v>
      </c>
      <c r="C782" s="1108" t="s">
        <v>1657</v>
      </c>
      <c r="D782" s="1108" t="s">
        <v>2839</v>
      </c>
      <c r="E782" s="1108" t="s">
        <v>2840</v>
      </c>
      <c r="F782" s="1109">
        <v>0.1</v>
      </c>
      <c r="G782" s="1109">
        <v>0.0</v>
      </c>
      <c r="H782" s="1107"/>
    </row>
    <row r="783" ht="18.75" customHeight="1">
      <c r="A783" s="1107"/>
      <c r="B783" s="1108" t="s">
        <v>1285</v>
      </c>
      <c r="C783" s="1108" t="s">
        <v>1657</v>
      </c>
      <c r="D783" s="1108" t="s">
        <v>2841</v>
      </c>
      <c r="E783" s="1108" t="s">
        <v>2842</v>
      </c>
      <c r="F783" s="1109">
        <v>0.1</v>
      </c>
      <c r="G783" s="1109">
        <v>0.0</v>
      </c>
      <c r="H783" s="1107"/>
    </row>
    <row r="784" ht="18.75" customHeight="1">
      <c r="A784" s="1107"/>
      <c r="B784" s="1108" t="s">
        <v>1285</v>
      </c>
      <c r="C784" s="1108" t="s">
        <v>2153</v>
      </c>
      <c r="D784" s="1108" t="s">
        <v>2843</v>
      </c>
      <c r="E784" s="1108" t="s">
        <v>2844</v>
      </c>
      <c r="F784" s="1109">
        <v>0.1</v>
      </c>
      <c r="G784" s="1109">
        <v>0.0</v>
      </c>
      <c r="H784" s="1107"/>
    </row>
    <row r="785" ht="18.75" customHeight="1">
      <c r="A785" s="1107"/>
      <c r="B785" s="1108" t="s">
        <v>1285</v>
      </c>
      <c r="C785" s="1108" t="s">
        <v>1657</v>
      </c>
      <c r="D785" s="1108" t="s">
        <v>2845</v>
      </c>
      <c r="E785" s="1108" t="s">
        <v>2846</v>
      </c>
      <c r="F785" s="1109">
        <v>0.1</v>
      </c>
      <c r="G785" s="1109">
        <v>0.0</v>
      </c>
      <c r="H785" s="1107"/>
    </row>
    <row r="786" ht="18.75" customHeight="1">
      <c r="A786" s="1107"/>
      <c r="B786" s="1108" t="s">
        <v>1285</v>
      </c>
      <c r="C786" s="1108" t="s">
        <v>1657</v>
      </c>
      <c r="D786" s="1108" t="s">
        <v>2847</v>
      </c>
      <c r="E786" s="1108" t="s">
        <v>2848</v>
      </c>
      <c r="F786" s="1109">
        <v>0.1</v>
      </c>
      <c r="G786" s="1109">
        <v>0.0</v>
      </c>
      <c r="H786" s="1107"/>
    </row>
    <row r="787" ht="18.75" customHeight="1">
      <c r="A787" s="1107"/>
      <c r="B787" s="1108" t="s">
        <v>1285</v>
      </c>
      <c r="C787" s="1108" t="s">
        <v>1657</v>
      </c>
      <c r="D787" s="1108" t="s">
        <v>2849</v>
      </c>
      <c r="E787" s="1108" t="s">
        <v>2850</v>
      </c>
      <c r="F787" s="1109">
        <v>0.1</v>
      </c>
      <c r="G787" s="1109">
        <v>0.0</v>
      </c>
      <c r="H787" s="1107"/>
    </row>
    <row r="788" ht="18.75" customHeight="1">
      <c r="A788" s="1107"/>
      <c r="B788" s="1108" t="s">
        <v>1285</v>
      </c>
      <c r="C788" s="1108" t="s">
        <v>2408</v>
      </c>
      <c r="D788" s="1108" t="s">
        <v>2851</v>
      </c>
      <c r="E788" s="1108" t="s">
        <v>2852</v>
      </c>
      <c r="F788" s="1109">
        <v>0.1</v>
      </c>
      <c r="G788" s="1109">
        <v>0.0</v>
      </c>
      <c r="H788" s="1107"/>
    </row>
    <row r="789" ht="18.75" customHeight="1">
      <c r="A789" s="1107"/>
      <c r="B789" s="1108" t="s">
        <v>1285</v>
      </c>
      <c r="C789" s="1108" t="s">
        <v>1657</v>
      </c>
      <c r="D789" s="1108" t="s">
        <v>2853</v>
      </c>
      <c r="E789" s="1108" t="s">
        <v>2854</v>
      </c>
      <c r="F789" s="1109">
        <v>0.1</v>
      </c>
      <c r="G789" s="1109">
        <v>0.0</v>
      </c>
      <c r="H789" s="1107"/>
    </row>
    <row r="790" ht="18.75" customHeight="1">
      <c r="A790" s="1107"/>
      <c r="B790" s="1108" t="s">
        <v>1285</v>
      </c>
      <c r="C790" s="1108" t="s">
        <v>1657</v>
      </c>
      <c r="D790" s="1108" t="s">
        <v>2855</v>
      </c>
      <c r="E790" s="1108" t="s">
        <v>2856</v>
      </c>
      <c r="F790" s="1109">
        <v>0.1</v>
      </c>
      <c r="G790" s="1109">
        <v>0.0</v>
      </c>
      <c r="H790" s="1107"/>
    </row>
    <row r="791" ht="18.75" customHeight="1">
      <c r="A791" s="1107"/>
      <c r="B791" s="1108" t="s">
        <v>1285</v>
      </c>
      <c r="C791" s="1108" t="s">
        <v>1657</v>
      </c>
      <c r="D791" s="1108" t="s">
        <v>2857</v>
      </c>
      <c r="E791" s="1108" t="s">
        <v>2858</v>
      </c>
      <c r="F791" s="1109">
        <v>0.1</v>
      </c>
      <c r="G791" s="1109">
        <v>0.0</v>
      </c>
      <c r="H791" s="1107"/>
    </row>
    <row r="792" ht="18.75" customHeight="1">
      <c r="A792" s="1107"/>
      <c r="B792" s="1108" t="s">
        <v>1285</v>
      </c>
      <c r="C792" s="1108" t="s">
        <v>2408</v>
      </c>
      <c r="D792" s="1108" t="s">
        <v>2859</v>
      </c>
      <c r="E792" s="1108" t="s">
        <v>2860</v>
      </c>
      <c r="F792" s="1109">
        <v>0.1</v>
      </c>
      <c r="G792" s="1109">
        <v>0.0</v>
      </c>
      <c r="H792" s="1107"/>
    </row>
    <row r="793" ht="18.75" customHeight="1">
      <c r="A793" s="1107"/>
      <c r="B793" s="1108" t="s">
        <v>1285</v>
      </c>
      <c r="C793" s="1108" t="s">
        <v>1657</v>
      </c>
      <c r="D793" s="1108" t="s">
        <v>2861</v>
      </c>
      <c r="E793" s="1108" t="s">
        <v>2862</v>
      </c>
      <c r="F793" s="1109">
        <v>0.1</v>
      </c>
      <c r="G793" s="1109">
        <v>0.0</v>
      </c>
      <c r="H793" s="1107"/>
    </row>
    <row r="794" ht="18.75" customHeight="1">
      <c r="A794" s="1107"/>
      <c r="B794" s="1108" t="s">
        <v>1285</v>
      </c>
      <c r="C794" s="1108" t="s">
        <v>1657</v>
      </c>
      <c r="D794" s="1108" t="s">
        <v>2863</v>
      </c>
      <c r="E794" s="1108" t="s">
        <v>2864</v>
      </c>
      <c r="F794" s="1109">
        <v>0.1</v>
      </c>
      <c r="G794" s="1109">
        <v>0.0</v>
      </c>
      <c r="H794" s="1107"/>
    </row>
    <row r="795" ht="18.75" customHeight="1">
      <c r="A795" s="1107"/>
      <c r="B795" s="1108" t="s">
        <v>1285</v>
      </c>
      <c r="C795" s="1108" t="s">
        <v>1657</v>
      </c>
      <c r="D795" s="1108" t="s">
        <v>2865</v>
      </c>
      <c r="E795" s="1108" t="s">
        <v>2866</v>
      </c>
      <c r="F795" s="1109">
        <v>0.1</v>
      </c>
      <c r="G795" s="1109">
        <v>0.0</v>
      </c>
      <c r="H795" s="1107"/>
    </row>
    <row r="796" ht="18.75" customHeight="1">
      <c r="A796" s="1107"/>
      <c r="B796" s="1108" t="s">
        <v>1285</v>
      </c>
      <c r="C796" s="1108" t="s">
        <v>1657</v>
      </c>
      <c r="D796" s="1108" t="s">
        <v>2867</v>
      </c>
      <c r="E796" s="1108" t="s">
        <v>2868</v>
      </c>
      <c r="F796" s="1109">
        <v>0.1</v>
      </c>
      <c r="G796" s="1109">
        <v>0.0</v>
      </c>
      <c r="H796" s="1107"/>
    </row>
    <row r="797" ht="18.75" customHeight="1">
      <c r="A797" s="1107"/>
      <c r="B797" s="1108" t="s">
        <v>1285</v>
      </c>
      <c r="C797" s="1108" t="s">
        <v>1657</v>
      </c>
      <c r="D797" s="1108" t="s">
        <v>2869</v>
      </c>
      <c r="E797" s="1108" t="s">
        <v>2870</v>
      </c>
      <c r="F797" s="1109">
        <v>0.1</v>
      </c>
      <c r="G797" s="1109">
        <v>0.0</v>
      </c>
      <c r="H797" s="1107"/>
    </row>
    <row r="798" ht="18.75" customHeight="1">
      <c r="A798" s="1107"/>
      <c r="B798" s="1108" t="s">
        <v>1285</v>
      </c>
      <c r="C798" s="1108" t="s">
        <v>1657</v>
      </c>
      <c r="D798" s="1108" t="s">
        <v>2871</v>
      </c>
      <c r="E798" s="1108" t="s">
        <v>2872</v>
      </c>
      <c r="F798" s="1109">
        <v>0.1</v>
      </c>
      <c r="G798" s="1109">
        <v>0.0</v>
      </c>
      <c r="H798" s="1107"/>
    </row>
    <row r="799" ht="18.75" customHeight="1">
      <c r="A799" s="1107"/>
      <c r="B799" s="1108" t="s">
        <v>1285</v>
      </c>
      <c r="C799" s="1108" t="s">
        <v>1657</v>
      </c>
      <c r="D799" s="1108" t="s">
        <v>2873</v>
      </c>
      <c r="E799" s="1108" t="s">
        <v>2874</v>
      </c>
      <c r="F799" s="1109">
        <v>0.1</v>
      </c>
      <c r="G799" s="1109">
        <v>0.0</v>
      </c>
      <c r="H799" s="1107"/>
    </row>
    <row r="800" ht="18.75" customHeight="1">
      <c r="A800" s="1107"/>
      <c r="B800" s="1108" t="s">
        <v>1285</v>
      </c>
      <c r="C800" s="1108" t="s">
        <v>1657</v>
      </c>
      <c r="D800" s="1108" t="s">
        <v>2875</v>
      </c>
      <c r="E800" s="1108" t="s">
        <v>2876</v>
      </c>
      <c r="F800" s="1109">
        <v>0.1</v>
      </c>
      <c r="G800" s="1109">
        <v>0.0</v>
      </c>
      <c r="H800" s="1107"/>
    </row>
    <row r="801" ht="18.75" customHeight="1">
      <c r="A801" s="1107"/>
      <c r="B801" s="1108" t="s">
        <v>1285</v>
      </c>
      <c r="C801" s="1108" t="s">
        <v>1657</v>
      </c>
      <c r="D801" s="1108" t="s">
        <v>2877</v>
      </c>
      <c r="E801" s="1108" t="s">
        <v>2878</v>
      </c>
      <c r="F801" s="1109">
        <v>0.1</v>
      </c>
      <c r="G801" s="1109">
        <v>0.0</v>
      </c>
      <c r="H801" s="1107"/>
    </row>
    <row r="802" ht="18.75" customHeight="1">
      <c r="A802" s="1107"/>
      <c r="B802" s="1108" t="s">
        <v>1285</v>
      </c>
      <c r="C802" s="1108" t="s">
        <v>1657</v>
      </c>
      <c r="D802" s="1108" t="s">
        <v>2879</v>
      </c>
      <c r="E802" s="1108" t="s">
        <v>2880</v>
      </c>
      <c r="F802" s="1109">
        <v>0.1</v>
      </c>
      <c r="G802" s="1109">
        <v>0.0</v>
      </c>
      <c r="H802" s="1107"/>
    </row>
    <row r="803" ht="18.75" customHeight="1">
      <c r="A803" s="1107"/>
      <c r="B803" s="1108" t="s">
        <v>1285</v>
      </c>
      <c r="C803" s="1108" t="s">
        <v>1657</v>
      </c>
      <c r="D803" s="1108" t="s">
        <v>2881</v>
      </c>
      <c r="E803" s="1108" t="s">
        <v>2882</v>
      </c>
      <c r="F803" s="1109">
        <v>0.1</v>
      </c>
      <c r="G803" s="1109">
        <v>0.0</v>
      </c>
      <c r="H803" s="1107"/>
    </row>
    <row r="804" ht="18.75" customHeight="1">
      <c r="A804" s="1107"/>
      <c r="B804" s="1108" t="s">
        <v>1285</v>
      </c>
      <c r="C804" s="1108" t="s">
        <v>1657</v>
      </c>
      <c r="D804" s="1108" t="s">
        <v>2883</v>
      </c>
      <c r="E804" s="1108" t="s">
        <v>2884</v>
      </c>
      <c r="F804" s="1109">
        <v>0.1</v>
      </c>
      <c r="G804" s="1109">
        <v>0.0</v>
      </c>
      <c r="H804" s="1107"/>
    </row>
    <row r="805" ht="18.75" customHeight="1">
      <c r="A805" s="1107"/>
      <c r="B805" s="1108" t="s">
        <v>1285</v>
      </c>
      <c r="C805" s="1108" t="s">
        <v>1657</v>
      </c>
      <c r="D805" s="1108" t="s">
        <v>2885</v>
      </c>
      <c r="E805" s="1108" t="s">
        <v>2886</v>
      </c>
      <c r="F805" s="1109">
        <v>0.1</v>
      </c>
      <c r="G805" s="1109">
        <v>0.0</v>
      </c>
      <c r="H805" s="1107"/>
    </row>
    <row r="806" ht="18.75" customHeight="1">
      <c r="A806" s="1107"/>
      <c r="B806" s="1108" t="s">
        <v>1285</v>
      </c>
      <c r="C806" s="1108" t="s">
        <v>1657</v>
      </c>
      <c r="D806" s="1108" t="s">
        <v>2887</v>
      </c>
      <c r="E806" s="1108" t="s">
        <v>2888</v>
      </c>
      <c r="F806" s="1109">
        <v>0.1</v>
      </c>
      <c r="G806" s="1109">
        <v>0.0</v>
      </c>
      <c r="H806" s="1107"/>
    </row>
    <row r="807" ht="18.75" customHeight="1">
      <c r="A807" s="1107"/>
      <c r="B807" s="1108" t="s">
        <v>1285</v>
      </c>
      <c r="C807" s="1108" t="s">
        <v>1657</v>
      </c>
      <c r="D807" s="1108" t="s">
        <v>2889</v>
      </c>
      <c r="E807" s="1108" t="s">
        <v>2890</v>
      </c>
      <c r="F807" s="1109">
        <v>0.1</v>
      </c>
      <c r="G807" s="1109">
        <v>0.0</v>
      </c>
      <c r="H807" s="1107"/>
    </row>
    <row r="808" ht="18.75" customHeight="1">
      <c r="A808" s="1107"/>
      <c r="B808" s="1108" t="s">
        <v>1285</v>
      </c>
      <c r="C808" s="1108" t="s">
        <v>1657</v>
      </c>
      <c r="D808" s="1108" t="s">
        <v>2891</v>
      </c>
      <c r="E808" s="1108" t="s">
        <v>2892</v>
      </c>
      <c r="F808" s="1109">
        <v>0.1</v>
      </c>
      <c r="G808" s="1109">
        <v>0.0</v>
      </c>
      <c r="H808" s="1107"/>
    </row>
    <row r="809" ht="18.75" customHeight="1">
      <c r="A809" s="1107"/>
      <c r="B809" s="1108" t="s">
        <v>1285</v>
      </c>
      <c r="C809" s="1108" t="s">
        <v>1657</v>
      </c>
      <c r="D809" s="1108" t="s">
        <v>2893</v>
      </c>
      <c r="E809" s="1108" t="s">
        <v>2894</v>
      </c>
      <c r="F809" s="1109">
        <v>0.1</v>
      </c>
      <c r="G809" s="1109">
        <v>0.0</v>
      </c>
      <c r="H809" s="1107"/>
    </row>
    <row r="810" ht="18.75" customHeight="1">
      <c r="A810" s="1107"/>
      <c r="B810" s="1108" t="s">
        <v>1285</v>
      </c>
      <c r="C810" s="1108" t="s">
        <v>1657</v>
      </c>
      <c r="D810" s="1108" t="s">
        <v>2895</v>
      </c>
      <c r="E810" s="1108" t="s">
        <v>2896</v>
      </c>
      <c r="F810" s="1109">
        <v>0.1</v>
      </c>
      <c r="G810" s="1109">
        <v>0.0</v>
      </c>
      <c r="H810" s="1107"/>
    </row>
    <row r="811" ht="18.75" customHeight="1">
      <c r="A811" s="1107"/>
      <c r="B811" s="1108" t="s">
        <v>1285</v>
      </c>
      <c r="C811" s="1108" t="s">
        <v>1657</v>
      </c>
      <c r="D811" s="1108" t="s">
        <v>2897</v>
      </c>
      <c r="E811" s="1108" t="s">
        <v>2898</v>
      </c>
      <c r="F811" s="1109">
        <v>0.1</v>
      </c>
      <c r="G811" s="1109">
        <v>0.0</v>
      </c>
      <c r="H811" s="1107"/>
    </row>
    <row r="812" ht="18.75" customHeight="1">
      <c r="A812" s="1107"/>
      <c r="B812" s="1108" t="s">
        <v>1285</v>
      </c>
      <c r="C812" s="1108" t="s">
        <v>1657</v>
      </c>
      <c r="D812" s="1108" t="s">
        <v>2899</v>
      </c>
      <c r="E812" s="1108" t="s">
        <v>2900</v>
      </c>
      <c r="F812" s="1109">
        <v>0.1</v>
      </c>
      <c r="G812" s="1109">
        <v>0.0</v>
      </c>
      <c r="H812" s="1107"/>
    </row>
    <row r="813" ht="18.75" customHeight="1">
      <c r="A813" s="1107"/>
      <c r="B813" s="1108" t="s">
        <v>1285</v>
      </c>
      <c r="C813" s="1108" t="s">
        <v>1657</v>
      </c>
      <c r="D813" s="1108" t="s">
        <v>2901</v>
      </c>
      <c r="E813" s="1108" t="s">
        <v>2902</v>
      </c>
      <c r="F813" s="1109">
        <v>0.1</v>
      </c>
      <c r="G813" s="1109">
        <v>0.0</v>
      </c>
      <c r="H813" s="1107"/>
    </row>
    <row r="814" ht="18.75" customHeight="1">
      <c r="A814" s="1107"/>
      <c r="B814" s="1108" t="s">
        <v>1285</v>
      </c>
      <c r="C814" s="1108" t="s">
        <v>1657</v>
      </c>
      <c r="D814" s="1108" t="s">
        <v>2903</v>
      </c>
      <c r="E814" s="1108" t="s">
        <v>2904</v>
      </c>
      <c r="F814" s="1109">
        <v>0.1</v>
      </c>
      <c r="G814" s="1109">
        <v>0.0</v>
      </c>
      <c r="H814" s="1107"/>
    </row>
    <row r="815" ht="18.75" customHeight="1">
      <c r="A815" s="1107"/>
      <c r="B815" s="1108" t="s">
        <v>1285</v>
      </c>
      <c r="C815" s="1108" t="s">
        <v>1657</v>
      </c>
      <c r="D815" s="1108" t="s">
        <v>2905</v>
      </c>
      <c r="E815" s="1108" t="s">
        <v>2906</v>
      </c>
      <c r="F815" s="1109">
        <v>0.1</v>
      </c>
      <c r="G815" s="1109">
        <v>0.0</v>
      </c>
      <c r="H815" s="1107"/>
    </row>
    <row r="816" ht="18.75" customHeight="1">
      <c r="A816" s="1107"/>
      <c r="B816" s="1108" t="s">
        <v>1285</v>
      </c>
      <c r="C816" s="1108" t="s">
        <v>2153</v>
      </c>
      <c r="D816" s="1108" t="s">
        <v>2907</v>
      </c>
      <c r="E816" s="1108" t="s">
        <v>2908</v>
      </c>
      <c r="F816" s="1109">
        <v>0.1</v>
      </c>
      <c r="G816" s="1109">
        <v>0.0</v>
      </c>
      <c r="H816" s="1107"/>
    </row>
    <row r="817" ht="18.75" customHeight="1">
      <c r="A817" s="1107"/>
      <c r="B817" s="1108" t="s">
        <v>1285</v>
      </c>
      <c r="C817" s="1108" t="s">
        <v>1657</v>
      </c>
      <c r="D817" s="1108" t="s">
        <v>2909</v>
      </c>
      <c r="E817" s="1108" t="s">
        <v>2910</v>
      </c>
      <c r="F817" s="1109">
        <v>0.1</v>
      </c>
      <c r="G817" s="1109">
        <v>0.0</v>
      </c>
      <c r="H817" s="1107"/>
    </row>
    <row r="818" ht="18.75" customHeight="1">
      <c r="A818" s="1107"/>
      <c r="B818" s="1108" t="s">
        <v>1285</v>
      </c>
      <c r="C818" s="1108" t="s">
        <v>1657</v>
      </c>
      <c r="D818" s="1108" t="s">
        <v>2911</v>
      </c>
      <c r="E818" s="1108" t="s">
        <v>2912</v>
      </c>
      <c r="F818" s="1109">
        <v>0.1</v>
      </c>
      <c r="G818" s="1109">
        <v>0.0</v>
      </c>
      <c r="H818" s="1107"/>
    </row>
    <row r="819" ht="18.75" customHeight="1">
      <c r="A819" s="1107"/>
      <c r="B819" s="1108" t="s">
        <v>1285</v>
      </c>
      <c r="C819" s="1108" t="s">
        <v>2153</v>
      </c>
      <c r="D819" s="1108" t="s">
        <v>2913</v>
      </c>
      <c r="E819" s="1108" t="s">
        <v>2914</v>
      </c>
      <c r="F819" s="1109">
        <v>0.1</v>
      </c>
      <c r="G819" s="1109">
        <v>0.0</v>
      </c>
      <c r="H819" s="1107"/>
    </row>
    <row r="820" ht="18.75" customHeight="1">
      <c r="A820" s="1107"/>
      <c r="B820" s="1108" t="s">
        <v>1285</v>
      </c>
      <c r="C820" s="1108" t="s">
        <v>2153</v>
      </c>
      <c r="D820" s="1108" t="s">
        <v>2915</v>
      </c>
      <c r="E820" s="1108" t="s">
        <v>2916</v>
      </c>
      <c r="F820" s="1109">
        <v>0.1</v>
      </c>
      <c r="G820" s="1109">
        <v>0.0</v>
      </c>
      <c r="H820" s="1107"/>
    </row>
    <row r="821" ht="18.75" customHeight="1">
      <c r="A821" s="1107"/>
      <c r="B821" s="1108" t="s">
        <v>1285</v>
      </c>
      <c r="C821" s="1108" t="s">
        <v>1657</v>
      </c>
      <c r="D821" s="1108" t="s">
        <v>2917</v>
      </c>
      <c r="E821" s="1108" t="s">
        <v>2918</v>
      </c>
      <c r="F821" s="1109">
        <v>0.1</v>
      </c>
      <c r="G821" s="1109">
        <v>0.0</v>
      </c>
      <c r="H821" s="1107"/>
    </row>
    <row r="822" ht="18.75" customHeight="1">
      <c r="A822" s="1107"/>
      <c r="B822" s="1108" t="s">
        <v>1285</v>
      </c>
      <c r="C822" s="1108" t="s">
        <v>1657</v>
      </c>
      <c r="D822" s="1108" t="s">
        <v>2919</v>
      </c>
      <c r="E822" s="1108" t="s">
        <v>2920</v>
      </c>
      <c r="F822" s="1109">
        <v>0.1</v>
      </c>
      <c r="G822" s="1109">
        <v>0.0</v>
      </c>
      <c r="H822" s="1107"/>
    </row>
    <row r="823" ht="18.75" customHeight="1">
      <c r="A823" s="1107"/>
      <c r="B823" s="1108" t="s">
        <v>1285</v>
      </c>
      <c r="C823" s="1108" t="s">
        <v>1657</v>
      </c>
      <c r="D823" s="1108" t="s">
        <v>2921</v>
      </c>
      <c r="E823" s="1108" t="s">
        <v>2922</v>
      </c>
      <c r="F823" s="1109">
        <v>0.1</v>
      </c>
      <c r="G823" s="1109">
        <v>0.0</v>
      </c>
      <c r="H823" s="1107"/>
    </row>
    <row r="824" ht="18.75" customHeight="1">
      <c r="A824" s="1107"/>
      <c r="B824" s="1108" t="s">
        <v>1285</v>
      </c>
      <c r="C824" s="1108" t="s">
        <v>1657</v>
      </c>
      <c r="D824" s="1108" t="s">
        <v>2923</v>
      </c>
      <c r="E824" s="1108" t="s">
        <v>2924</v>
      </c>
      <c r="F824" s="1109">
        <v>0.1</v>
      </c>
      <c r="G824" s="1109">
        <v>0.0</v>
      </c>
      <c r="H824" s="1107"/>
    </row>
    <row r="825" ht="18.75" customHeight="1">
      <c r="A825" s="1107"/>
      <c r="B825" s="1108" t="s">
        <v>1285</v>
      </c>
      <c r="C825" s="1108" t="s">
        <v>1657</v>
      </c>
      <c r="D825" s="1108" t="s">
        <v>2925</v>
      </c>
      <c r="E825" s="1108" t="s">
        <v>2926</v>
      </c>
      <c r="F825" s="1109">
        <v>0.1</v>
      </c>
      <c r="G825" s="1109">
        <v>0.0</v>
      </c>
      <c r="H825" s="1107"/>
    </row>
    <row r="826" ht="18.75" customHeight="1">
      <c r="A826" s="1107"/>
      <c r="B826" s="1108" t="s">
        <v>1285</v>
      </c>
      <c r="C826" s="1108" t="s">
        <v>1657</v>
      </c>
      <c r="D826" s="1108" t="s">
        <v>2927</v>
      </c>
      <c r="E826" s="1108" t="s">
        <v>2928</v>
      </c>
      <c r="F826" s="1109">
        <v>0.1</v>
      </c>
      <c r="G826" s="1109">
        <v>0.0</v>
      </c>
      <c r="H826" s="1107"/>
    </row>
    <row r="827" ht="18.75" customHeight="1">
      <c r="A827" s="1107"/>
      <c r="B827" s="1108" t="s">
        <v>1285</v>
      </c>
      <c r="C827" s="1108" t="s">
        <v>1657</v>
      </c>
      <c r="D827" s="1108" t="s">
        <v>2929</v>
      </c>
      <c r="E827" s="1108" t="s">
        <v>2930</v>
      </c>
      <c r="F827" s="1109">
        <v>0.1</v>
      </c>
      <c r="G827" s="1109">
        <v>0.0</v>
      </c>
      <c r="H827" s="1107"/>
    </row>
    <row r="828" ht="18.75" customHeight="1">
      <c r="A828" s="1107"/>
      <c r="B828" s="1108" t="s">
        <v>1285</v>
      </c>
      <c r="C828" s="1108" t="s">
        <v>1657</v>
      </c>
      <c r="D828" s="1108" t="s">
        <v>2931</v>
      </c>
      <c r="E828" s="1108" t="s">
        <v>2932</v>
      </c>
      <c r="F828" s="1109">
        <v>0.1</v>
      </c>
      <c r="G828" s="1109">
        <v>0.0</v>
      </c>
      <c r="H828" s="1107"/>
    </row>
    <row r="829" ht="18.75" customHeight="1">
      <c r="A829" s="1107"/>
      <c r="B829" s="1108" t="s">
        <v>1285</v>
      </c>
      <c r="C829" s="1108" t="s">
        <v>1657</v>
      </c>
      <c r="D829" s="1108" t="s">
        <v>2933</v>
      </c>
      <c r="E829" s="1108" t="s">
        <v>2934</v>
      </c>
      <c r="F829" s="1109">
        <v>0.1</v>
      </c>
      <c r="G829" s="1109">
        <v>0.0</v>
      </c>
      <c r="H829" s="1107"/>
    </row>
    <row r="830" ht="18.75" customHeight="1">
      <c r="A830" s="1107"/>
      <c r="B830" s="1108" t="s">
        <v>1285</v>
      </c>
      <c r="C830" s="1108" t="s">
        <v>1657</v>
      </c>
      <c r="D830" s="1108" t="s">
        <v>2935</v>
      </c>
      <c r="E830" s="1108" t="s">
        <v>2936</v>
      </c>
      <c r="F830" s="1109">
        <v>0.1</v>
      </c>
      <c r="G830" s="1109">
        <v>0.0</v>
      </c>
      <c r="H830" s="1107"/>
    </row>
    <row r="831" ht="18.75" customHeight="1">
      <c r="A831" s="1107"/>
      <c r="B831" s="1108" t="s">
        <v>1285</v>
      </c>
      <c r="C831" s="1108" t="s">
        <v>1657</v>
      </c>
      <c r="D831" s="1108" t="s">
        <v>2937</v>
      </c>
      <c r="E831" s="1108" t="s">
        <v>2938</v>
      </c>
      <c r="F831" s="1109">
        <v>0.1</v>
      </c>
      <c r="G831" s="1109">
        <v>0.0</v>
      </c>
      <c r="H831" s="1107"/>
    </row>
    <row r="832" ht="18.75" customHeight="1">
      <c r="A832" s="1107"/>
      <c r="B832" s="1108" t="s">
        <v>1285</v>
      </c>
      <c r="C832" s="1108" t="s">
        <v>1657</v>
      </c>
      <c r="D832" s="1108" t="s">
        <v>2939</v>
      </c>
      <c r="E832" s="1108" t="s">
        <v>2940</v>
      </c>
      <c r="F832" s="1109">
        <v>0.1</v>
      </c>
      <c r="G832" s="1109">
        <v>0.0</v>
      </c>
      <c r="H832" s="1107"/>
    </row>
    <row r="833" ht="18.75" customHeight="1">
      <c r="A833" s="1107"/>
      <c r="B833" s="1108" t="s">
        <v>1285</v>
      </c>
      <c r="C833" s="1108" t="s">
        <v>1657</v>
      </c>
      <c r="D833" s="1108" t="s">
        <v>2941</v>
      </c>
      <c r="E833" s="1108" t="s">
        <v>2942</v>
      </c>
      <c r="F833" s="1109">
        <v>0.1</v>
      </c>
      <c r="G833" s="1109">
        <v>0.0</v>
      </c>
      <c r="H833" s="1107"/>
    </row>
    <row r="834" ht="18.75" customHeight="1">
      <c r="A834" s="1107"/>
      <c r="B834" s="1108" t="s">
        <v>1285</v>
      </c>
      <c r="C834" s="1108" t="s">
        <v>1657</v>
      </c>
      <c r="D834" s="1108" t="s">
        <v>2943</v>
      </c>
      <c r="E834" s="1108" t="s">
        <v>2944</v>
      </c>
      <c r="F834" s="1109">
        <v>0.1</v>
      </c>
      <c r="G834" s="1109">
        <v>0.0</v>
      </c>
      <c r="H834" s="1107"/>
    </row>
    <row r="835" ht="18.75" customHeight="1">
      <c r="A835" s="1107"/>
      <c r="B835" s="1108" t="s">
        <v>1285</v>
      </c>
      <c r="C835" s="1108" t="s">
        <v>1657</v>
      </c>
      <c r="D835" s="1108" t="s">
        <v>2945</v>
      </c>
      <c r="E835" s="1108" t="s">
        <v>2946</v>
      </c>
      <c r="F835" s="1109">
        <v>0.1</v>
      </c>
      <c r="G835" s="1109">
        <v>0.0</v>
      </c>
      <c r="H835" s="1107"/>
    </row>
    <row r="836" ht="18.75" customHeight="1">
      <c r="A836" s="1107"/>
      <c r="B836" s="1108" t="s">
        <v>1285</v>
      </c>
      <c r="C836" s="1108" t="s">
        <v>1657</v>
      </c>
      <c r="D836" s="1108" t="s">
        <v>2947</v>
      </c>
      <c r="E836" s="1108" t="s">
        <v>2948</v>
      </c>
      <c r="F836" s="1109">
        <v>0.1</v>
      </c>
      <c r="G836" s="1109">
        <v>0.0</v>
      </c>
      <c r="H836" s="1107"/>
    </row>
    <row r="837" ht="18.75" customHeight="1">
      <c r="A837" s="1107"/>
      <c r="B837" s="1108" t="s">
        <v>1285</v>
      </c>
      <c r="C837" s="1108" t="s">
        <v>1657</v>
      </c>
      <c r="D837" s="1108" t="s">
        <v>2949</v>
      </c>
      <c r="E837" s="1108" t="s">
        <v>2950</v>
      </c>
      <c r="F837" s="1109">
        <v>0.1</v>
      </c>
      <c r="G837" s="1109">
        <v>0.0</v>
      </c>
      <c r="H837" s="1107"/>
    </row>
    <row r="838" ht="18.75" customHeight="1">
      <c r="A838" s="1107"/>
      <c r="B838" s="1108" t="s">
        <v>1285</v>
      </c>
      <c r="C838" s="1108" t="s">
        <v>1657</v>
      </c>
      <c r="D838" s="1108" t="s">
        <v>2951</v>
      </c>
      <c r="E838" s="1108" t="s">
        <v>2952</v>
      </c>
      <c r="F838" s="1109">
        <v>0.1</v>
      </c>
      <c r="G838" s="1109">
        <v>0.0</v>
      </c>
      <c r="H838" s="1107"/>
    </row>
    <row r="839" ht="18.75" customHeight="1">
      <c r="A839" s="1107"/>
      <c r="B839" s="1108" t="s">
        <v>1285</v>
      </c>
      <c r="C839" s="1108" t="s">
        <v>1657</v>
      </c>
      <c r="D839" s="1108" t="s">
        <v>2953</v>
      </c>
      <c r="E839" s="1108" t="s">
        <v>2954</v>
      </c>
      <c r="F839" s="1109">
        <v>0.1</v>
      </c>
      <c r="G839" s="1109">
        <v>0.0</v>
      </c>
      <c r="H839" s="1107"/>
    </row>
    <row r="840" ht="18.75" customHeight="1">
      <c r="A840" s="1107"/>
      <c r="B840" s="1108" t="s">
        <v>1285</v>
      </c>
      <c r="C840" s="1108" t="s">
        <v>1657</v>
      </c>
      <c r="D840" s="1108" t="s">
        <v>2955</v>
      </c>
      <c r="E840" s="1108" t="s">
        <v>2956</v>
      </c>
      <c r="F840" s="1109">
        <v>0.1</v>
      </c>
      <c r="G840" s="1109">
        <v>0.0</v>
      </c>
      <c r="H840" s="1107"/>
    </row>
    <row r="841" ht="18.75" customHeight="1">
      <c r="A841" s="1107"/>
      <c r="B841" s="1108" t="s">
        <v>1285</v>
      </c>
      <c r="C841" s="1108" t="s">
        <v>1657</v>
      </c>
      <c r="D841" s="1108" t="s">
        <v>2957</v>
      </c>
      <c r="E841" s="1108" t="s">
        <v>2958</v>
      </c>
      <c r="F841" s="1109">
        <v>0.1</v>
      </c>
      <c r="G841" s="1109">
        <v>0.0</v>
      </c>
      <c r="H841" s="1107"/>
    </row>
    <row r="842" ht="18.75" customHeight="1">
      <c r="A842" s="1107"/>
      <c r="B842" s="1108" t="s">
        <v>1285</v>
      </c>
      <c r="C842" s="1108" t="s">
        <v>1657</v>
      </c>
      <c r="D842" s="1108" t="s">
        <v>2959</v>
      </c>
      <c r="E842" s="1108" t="s">
        <v>2960</v>
      </c>
      <c r="F842" s="1109">
        <v>0.1</v>
      </c>
      <c r="G842" s="1109">
        <v>0.0</v>
      </c>
      <c r="H842" s="1107"/>
    </row>
    <row r="843" ht="18.75" customHeight="1">
      <c r="A843" s="1107"/>
      <c r="B843" s="1108" t="s">
        <v>1285</v>
      </c>
      <c r="C843" s="1108" t="s">
        <v>1657</v>
      </c>
      <c r="D843" s="1108" t="s">
        <v>2961</v>
      </c>
      <c r="E843" s="1108" t="s">
        <v>2960</v>
      </c>
      <c r="F843" s="1109">
        <v>0.1</v>
      </c>
      <c r="G843" s="1109">
        <v>0.0</v>
      </c>
      <c r="H843" s="1107"/>
    </row>
    <row r="844" ht="18.75" customHeight="1">
      <c r="A844" s="1107"/>
      <c r="B844" s="1108" t="s">
        <v>1285</v>
      </c>
      <c r="C844" s="1108" t="s">
        <v>1657</v>
      </c>
      <c r="D844" s="1108" t="s">
        <v>2962</v>
      </c>
      <c r="E844" s="1108" t="s">
        <v>2963</v>
      </c>
      <c r="F844" s="1109">
        <v>0.1</v>
      </c>
      <c r="G844" s="1109">
        <v>0.0</v>
      </c>
      <c r="H844" s="1107"/>
    </row>
    <row r="845" ht="18.75" customHeight="1">
      <c r="A845" s="1107"/>
      <c r="B845" s="1108" t="s">
        <v>1285</v>
      </c>
      <c r="C845" s="1108" t="s">
        <v>1657</v>
      </c>
      <c r="D845" s="1108" t="s">
        <v>2964</v>
      </c>
      <c r="E845" s="1108" t="s">
        <v>2965</v>
      </c>
      <c r="F845" s="1109">
        <v>0.1</v>
      </c>
      <c r="G845" s="1109">
        <v>0.0</v>
      </c>
      <c r="H845" s="1107"/>
    </row>
    <row r="846" ht="18.75" customHeight="1">
      <c r="A846" s="1107"/>
      <c r="B846" s="1108" t="s">
        <v>1285</v>
      </c>
      <c r="C846" s="1108" t="s">
        <v>1657</v>
      </c>
      <c r="D846" s="1108" t="s">
        <v>2966</v>
      </c>
      <c r="E846" s="1108" t="s">
        <v>2967</v>
      </c>
      <c r="F846" s="1109">
        <v>0.1</v>
      </c>
      <c r="G846" s="1109">
        <v>0.0</v>
      </c>
      <c r="H846" s="1107"/>
    </row>
    <row r="847" ht="18.75" customHeight="1">
      <c r="A847" s="1107"/>
      <c r="B847" s="1108" t="s">
        <v>1285</v>
      </c>
      <c r="C847" s="1108" t="s">
        <v>1657</v>
      </c>
      <c r="D847" s="1108" t="s">
        <v>2968</v>
      </c>
      <c r="E847" s="1108" t="s">
        <v>2969</v>
      </c>
      <c r="F847" s="1109">
        <v>0.1</v>
      </c>
      <c r="G847" s="1109">
        <v>0.0</v>
      </c>
      <c r="H847" s="1107"/>
    </row>
    <row r="848" ht="18.75" customHeight="1">
      <c r="A848" s="1107"/>
      <c r="B848" s="1108" t="s">
        <v>1285</v>
      </c>
      <c r="C848" s="1108" t="s">
        <v>1657</v>
      </c>
      <c r="D848" s="1108" t="s">
        <v>2970</v>
      </c>
      <c r="E848" s="1108" t="s">
        <v>2971</v>
      </c>
      <c r="F848" s="1109">
        <v>0.1</v>
      </c>
      <c r="G848" s="1109">
        <v>0.0</v>
      </c>
      <c r="H848" s="1107"/>
    </row>
    <row r="849" ht="18.75" customHeight="1">
      <c r="A849" s="1107"/>
      <c r="B849" s="1108" t="s">
        <v>1285</v>
      </c>
      <c r="C849" s="1108" t="s">
        <v>1657</v>
      </c>
      <c r="D849" s="1108" t="s">
        <v>558</v>
      </c>
      <c r="E849" s="1108" t="s">
        <v>559</v>
      </c>
      <c r="F849" s="1109">
        <v>0.1</v>
      </c>
      <c r="G849" s="1109">
        <v>0.0</v>
      </c>
      <c r="H849" s="1107"/>
    </row>
    <row r="850" ht="18.75" customHeight="1">
      <c r="A850" s="1107"/>
      <c r="B850" s="1108" t="s">
        <v>1285</v>
      </c>
      <c r="C850" s="1108" t="s">
        <v>1657</v>
      </c>
      <c r="D850" s="1108" t="s">
        <v>563</v>
      </c>
      <c r="E850" s="1108" t="s">
        <v>564</v>
      </c>
      <c r="F850" s="1109">
        <v>0.1</v>
      </c>
      <c r="G850" s="1109">
        <v>0.0</v>
      </c>
      <c r="H850" s="1107"/>
    </row>
    <row r="851" ht="18.75" customHeight="1">
      <c r="A851" s="1107"/>
      <c r="B851" s="1108" t="s">
        <v>1285</v>
      </c>
      <c r="C851" s="1108" t="s">
        <v>1657</v>
      </c>
      <c r="D851" s="1108" t="s">
        <v>567</v>
      </c>
      <c r="E851" s="1108" t="s">
        <v>568</v>
      </c>
      <c r="F851" s="1109">
        <v>0.1</v>
      </c>
      <c r="G851" s="1109">
        <v>0.0</v>
      </c>
      <c r="H851" s="1107"/>
    </row>
    <row r="852" ht="18.75" customHeight="1">
      <c r="A852" s="1107"/>
      <c r="B852" s="1108" t="s">
        <v>1285</v>
      </c>
      <c r="C852" s="1108" t="s">
        <v>1657</v>
      </c>
      <c r="D852" s="1108" t="s">
        <v>571</v>
      </c>
      <c r="E852" s="1108" t="s">
        <v>572</v>
      </c>
      <c r="F852" s="1109">
        <v>0.1</v>
      </c>
      <c r="G852" s="1109">
        <v>0.0</v>
      </c>
      <c r="H852" s="1107"/>
    </row>
    <row r="853" ht="18.75" customHeight="1">
      <c r="A853" s="1107"/>
      <c r="B853" s="1108" t="s">
        <v>1285</v>
      </c>
      <c r="C853" s="1108" t="s">
        <v>1657</v>
      </c>
      <c r="D853" s="1108" t="s">
        <v>575</v>
      </c>
      <c r="E853" s="1108" t="s">
        <v>576</v>
      </c>
      <c r="F853" s="1109">
        <v>0.1</v>
      </c>
      <c r="G853" s="1109">
        <v>0.0</v>
      </c>
      <c r="H853" s="1107"/>
    </row>
    <row r="854" ht="18.75" customHeight="1">
      <c r="A854" s="1107"/>
      <c r="B854" s="1108" t="s">
        <v>1285</v>
      </c>
      <c r="C854" s="1108" t="s">
        <v>1657</v>
      </c>
      <c r="D854" s="1108" t="s">
        <v>579</v>
      </c>
      <c r="E854" s="1108" t="s">
        <v>580</v>
      </c>
      <c r="F854" s="1109">
        <v>0.1</v>
      </c>
      <c r="G854" s="1109">
        <v>0.0</v>
      </c>
      <c r="H854" s="1107"/>
    </row>
    <row r="855" ht="18.75" customHeight="1">
      <c r="A855" s="1107"/>
      <c r="B855" s="1108" t="s">
        <v>1285</v>
      </c>
      <c r="C855" s="1108" t="s">
        <v>1657</v>
      </c>
      <c r="D855" s="1108" t="s">
        <v>583</v>
      </c>
      <c r="E855" s="1108" t="s">
        <v>584</v>
      </c>
      <c r="F855" s="1109">
        <v>0.1</v>
      </c>
      <c r="G855" s="1109">
        <v>0.0</v>
      </c>
      <c r="H855" s="1107"/>
    </row>
    <row r="856" ht="18.75" customHeight="1">
      <c r="A856" s="1107"/>
      <c r="B856" s="1108" t="s">
        <v>1285</v>
      </c>
      <c r="C856" s="1108" t="s">
        <v>1657</v>
      </c>
      <c r="D856" s="1108" t="s">
        <v>587</v>
      </c>
      <c r="E856" s="1108" t="s">
        <v>588</v>
      </c>
      <c r="F856" s="1109">
        <v>0.1</v>
      </c>
      <c r="G856" s="1109">
        <v>0.0</v>
      </c>
      <c r="H856" s="1107"/>
    </row>
    <row r="857" ht="18.75" customHeight="1">
      <c r="A857" s="1107"/>
      <c r="B857" s="1108" t="s">
        <v>1285</v>
      </c>
      <c r="C857" s="1108" t="s">
        <v>1657</v>
      </c>
      <c r="D857" s="1108" t="s">
        <v>591</v>
      </c>
      <c r="E857" s="1108" t="s">
        <v>592</v>
      </c>
      <c r="F857" s="1109">
        <v>0.1</v>
      </c>
      <c r="G857" s="1109">
        <v>0.0</v>
      </c>
      <c r="H857" s="1107"/>
    </row>
    <row r="858" ht="18.75" customHeight="1">
      <c r="A858" s="1107"/>
      <c r="B858" s="1108" t="s">
        <v>1285</v>
      </c>
      <c r="C858" s="1108" t="s">
        <v>1657</v>
      </c>
      <c r="D858" s="1108" t="s">
        <v>595</v>
      </c>
      <c r="E858" s="1108" t="s">
        <v>596</v>
      </c>
      <c r="F858" s="1109">
        <v>0.1</v>
      </c>
      <c r="G858" s="1109">
        <v>0.0</v>
      </c>
      <c r="H858" s="1107"/>
    </row>
    <row r="859" ht="18.75" customHeight="1">
      <c r="A859" s="1107"/>
      <c r="B859" s="1108" t="s">
        <v>1285</v>
      </c>
      <c r="C859" s="1108" t="s">
        <v>1657</v>
      </c>
      <c r="D859" s="1108" t="s">
        <v>599</v>
      </c>
      <c r="E859" s="1108" t="s">
        <v>600</v>
      </c>
      <c r="F859" s="1109">
        <v>0.1</v>
      </c>
      <c r="G859" s="1109">
        <v>0.0</v>
      </c>
      <c r="H859" s="1107"/>
    </row>
    <row r="860" ht="18.75" customHeight="1">
      <c r="A860" s="1107"/>
      <c r="B860" s="1108" t="s">
        <v>1285</v>
      </c>
      <c r="C860" s="1108" t="s">
        <v>1657</v>
      </c>
      <c r="D860" s="1108" t="s">
        <v>603</v>
      </c>
      <c r="E860" s="1108" t="s">
        <v>604</v>
      </c>
      <c r="F860" s="1109">
        <v>0.1</v>
      </c>
      <c r="G860" s="1109">
        <v>0.0</v>
      </c>
      <c r="H860" s="1107"/>
    </row>
    <row r="861" ht="18.75" customHeight="1">
      <c r="A861" s="1107"/>
      <c r="B861" s="1108" t="s">
        <v>1285</v>
      </c>
      <c r="C861" s="1108" t="s">
        <v>1657</v>
      </c>
      <c r="D861" s="1108" t="s">
        <v>607</v>
      </c>
      <c r="E861" s="1108" t="s">
        <v>608</v>
      </c>
      <c r="F861" s="1109">
        <v>0.1</v>
      </c>
      <c r="G861" s="1109">
        <v>0.0</v>
      </c>
      <c r="H861" s="1107"/>
    </row>
    <row r="862" ht="18.75" customHeight="1">
      <c r="A862" s="1107"/>
      <c r="B862" s="1108" t="s">
        <v>1285</v>
      </c>
      <c r="C862" s="1108" t="s">
        <v>2972</v>
      </c>
      <c r="D862" s="1108" t="s">
        <v>2973</v>
      </c>
      <c r="E862" s="1108" t="s">
        <v>2974</v>
      </c>
      <c r="F862" s="1109">
        <v>0.1</v>
      </c>
      <c r="G862" s="1109">
        <v>0.0</v>
      </c>
      <c r="H862" s="1107"/>
    </row>
    <row r="863" ht="18.75" customHeight="1">
      <c r="A863" s="1107"/>
      <c r="B863" s="1108" t="s">
        <v>1285</v>
      </c>
      <c r="C863" s="1108" t="s">
        <v>2972</v>
      </c>
      <c r="D863" s="1108" t="s">
        <v>2975</v>
      </c>
      <c r="E863" s="1108" t="s">
        <v>2976</v>
      </c>
      <c r="F863" s="1109">
        <v>0.1</v>
      </c>
      <c r="G863" s="1109">
        <v>0.0</v>
      </c>
      <c r="H863" s="1107"/>
    </row>
    <row r="864" ht="18.75" customHeight="1">
      <c r="A864" s="1107"/>
      <c r="B864" s="1108" t="s">
        <v>1285</v>
      </c>
      <c r="C864" s="1108" t="s">
        <v>2972</v>
      </c>
      <c r="D864" s="1108" t="s">
        <v>2977</v>
      </c>
      <c r="E864" s="1108" t="s">
        <v>2978</v>
      </c>
      <c r="F864" s="1109">
        <v>0.1</v>
      </c>
      <c r="G864" s="1109">
        <v>0.0</v>
      </c>
      <c r="H864" s="1107"/>
    </row>
    <row r="865" ht="18.75" customHeight="1">
      <c r="A865" s="1107"/>
      <c r="B865" s="1108" t="s">
        <v>1285</v>
      </c>
      <c r="C865" s="1108" t="s">
        <v>2972</v>
      </c>
      <c r="D865" s="1108" t="s">
        <v>2979</v>
      </c>
      <c r="E865" s="1108" t="s">
        <v>2980</v>
      </c>
      <c r="F865" s="1109">
        <v>0.1</v>
      </c>
      <c r="G865" s="1109">
        <v>0.0</v>
      </c>
      <c r="H865" s="1107"/>
    </row>
    <row r="866" ht="18.75" customHeight="1">
      <c r="A866" s="1107"/>
      <c r="B866" s="1108" t="s">
        <v>1285</v>
      </c>
      <c r="C866" s="1108" t="s">
        <v>2972</v>
      </c>
      <c r="D866" s="1108" t="s">
        <v>2981</v>
      </c>
      <c r="E866" s="1108" t="s">
        <v>2982</v>
      </c>
      <c r="F866" s="1109">
        <v>0.1</v>
      </c>
      <c r="G866" s="1109">
        <v>0.0</v>
      </c>
      <c r="H866" s="1107"/>
    </row>
    <row r="867" ht="18.75" customHeight="1">
      <c r="A867" s="1107"/>
      <c r="B867" s="1108" t="s">
        <v>1285</v>
      </c>
      <c r="C867" s="1108" t="s">
        <v>2972</v>
      </c>
      <c r="D867" s="1108" t="s">
        <v>2983</v>
      </c>
      <c r="E867" s="1108" t="s">
        <v>2984</v>
      </c>
      <c r="F867" s="1109">
        <v>0.1</v>
      </c>
      <c r="G867" s="1109">
        <v>0.0</v>
      </c>
      <c r="H867" s="1107"/>
    </row>
    <row r="868" ht="18.75" customHeight="1">
      <c r="A868" s="1107"/>
      <c r="B868" s="1108" t="s">
        <v>1285</v>
      </c>
      <c r="C868" s="1108" t="s">
        <v>2972</v>
      </c>
      <c r="D868" s="1108" t="s">
        <v>2985</v>
      </c>
      <c r="E868" s="1108" t="s">
        <v>2986</v>
      </c>
      <c r="F868" s="1109">
        <v>0.1</v>
      </c>
      <c r="G868" s="1109">
        <v>0.0</v>
      </c>
      <c r="H868" s="1107"/>
    </row>
    <row r="869" ht="18.75" customHeight="1">
      <c r="A869" s="1107"/>
      <c r="B869" s="1108" t="s">
        <v>1285</v>
      </c>
      <c r="C869" s="1108" t="s">
        <v>2972</v>
      </c>
      <c r="D869" s="1108" t="s">
        <v>2987</v>
      </c>
      <c r="E869" s="1108" t="s">
        <v>2988</v>
      </c>
      <c r="F869" s="1109">
        <v>0.1</v>
      </c>
      <c r="G869" s="1109">
        <v>0.0</v>
      </c>
      <c r="H869" s="1107"/>
    </row>
    <row r="870" ht="18.75" customHeight="1">
      <c r="A870" s="1107"/>
      <c r="B870" s="1108" t="s">
        <v>1285</v>
      </c>
      <c r="C870" s="1108" t="s">
        <v>2972</v>
      </c>
      <c r="D870" s="1108" t="s">
        <v>2989</v>
      </c>
      <c r="E870" s="1108" t="s">
        <v>2990</v>
      </c>
      <c r="F870" s="1109">
        <v>0.1</v>
      </c>
      <c r="G870" s="1109">
        <v>0.0</v>
      </c>
      <c r="H870" s="1107"/>
    </row>
    <row r="871" ht="18.75" customHeight="1">
      <c r="A871" s="1107"/>
      <c r="B871" s="1108" t="s">
        <v>1285</v>
      </c>
      <c r="C871" s="1108" t="s">
        <v>2972</v>
      </c>
      <c r="D871" s="1108" t="s">
        <v>2991</v>
      </c>
      <c r="E871" s="1108" t="s">
        <v>2992</v>
      </c>
      <c r="F871" s="1109">
        <v>0.1</v>
      </c>
      <c r="G871" s="1109">
        <v>0.0</v>
      </c>
      <c r="H871" s="1107"/>
    </row>
    <row r="872" ht="18.75" customHeight="1">
      <c r="A872" s="1107"/>
      <c r="B872" s="1108" t="s">
        <v>1285</v>
      </c>
      <c r="C872" s="1108" t="s">
        <v>2972</v>
      </c>
      <c r="D872" s="1108" t="s">
        <v>2993</v>
      </c>
      <c r="E872" s="1108" t="s">
        <v>2994</v>
      </c>
      <c r="F872" s="1109">
        <v>0.1</v>
      </c>
      <c r="G872" s="1109">
        <v>0.0</v>
      </c>
      <c r="H872" s="1107"/>
    </row>
    <row r="873" ht="18.75" customHeight="1">
      <c r="A873" s="1107"/>
      <c r="B873" s="1108" t="s">
        <v>1285</v>
      </c>
      <c r="C873" s="1108" t="s">
        <v>2972</v>
      </c>
      <c r="D873" s="1108" t="s">
        <v>2995</v>
      </c>
      <c r="E873" s="1108" t="s">
        <v>2996</v>
      </c>
      <c r="F873" s="1109">
        <v>0.1</v>
      </c>
      <c r="G873" s="1109">
        <v>0.0</v>
      </c>
      <c r="H873" s="1107"/>
    </row>
    <row r="874" ht="18.75" customHeight="1">
      <c r="A874" s="1107"/>
      <c r="B874" s="1108" t="s">
        <v>1285</v>
      </c>
      <c r="C874" s="1108" t="s">
        <v>2972</v>
      </c>
      <c r="D874" s="1108" t="s">
        <v>2997</v>
      </c>
      <c r="E874" s="1108" t="s">
        <v>2998</v>
      </c>
      <c r="F874" s="1109">
        <v>0.1</v>
      </c>
      <c r="G874" s="1109">
        <v>0.0</v>
      </c>
      <c r="H874" s="1107"/>
    </row>
    <row r="875" ht="18.75" customHeight="1">
      <c r="A875" s="1107"/>
      <c r="B875" s="1108" t="s">
        <v>1285</v>
      </c>
      <c r="C875" s="1108" t="s">
        <v>2972</v>
      </c>
      <c r="D875" s="1108" t="s">
        <v>2999</v>
      </c>
      <c r="E875" s="1108" t="s">
        <v>3000</v>
      </c>
      <c r="F875" s="1109">
        <v>0.1</v>
      </c>
      <c r="G875" s="1109">
        <v>0.0</v>
      </c>
      <c r="H875" s="1107"/>
    </row>
    <row r="876" ht="18.75" customHeight="1">
      <c r="A876" s="1107"/>
      <c r="B876" s="1108" t="s">
        <v>1285</v>
      </c>
      <c r="C876" s="1108" t="s">
        <v>2972</v>
      </c>
      <c r="D876" s="1108" t="s">
        <v>3001</v>
      </c>
      <c r="E876" s="1108" t="s">
        <v>3002</v>
      </c>
      <c r="F876" s="1109">
        <v>0.1</v>
      </c>
      <c r="G876" s="1109">
        <v>0.0</v>
      </c>
      <c r="H876" s="1107"/>
    </row>
    <row r="877" ht="18.75" customHeight="1">
      <c r="A877" s="1107"/>
      <c r="B877" s="1108" t="s">
        <v>1285</v>
      </c>
      <c r="C877" s="1108" t="s">
        <v>2972</v>
      </c>
      <c r="D877" s="1108" t="s">
        <v>3003</v>
      </c>
      <c r="E877" s="1108" t="s">
        <v>3004</v>
      </c>
      <c r="F877" s="1109">
        <v>0.1</v>
      </c>
      <c r="G877" s="1109">
        <v>0.0</v>
      </c>
      <c r="H877" s="1107"/>
    </row>
    <row r="878" ht="18.75" customHeight="1">
      <c r="A878" s="1107"/>
      <c r="B878" s="1108" t="s">
        <v>1285</v>
      </c>
      <c r="C878" s="1108" t="s">
        <v>2972</v>
      </c>
      <c r="D878" s="1108" t="s">
        <v>3005</v>
      </c>
      <c r="E878" s="1108" t="s">
        <v>3006</v>
      </c>
      <c r="F878" s="1109">
        <v>0.1</v>
      </c>
      <c r="G878" s="1109">
        <v>0.0</v>
      </c>
      <c r="H878" s="1107"/>
    </row>
    <row r="879" ht="18.75" customHeight="1">
      <c r="A879" s="1107"/>
      <c r="B879" s="1108" t="s">
        <v>1285</v>
      </c>
      <c r="C879" s="1108" t="s">
        <v>2972</v>
      </c>
      <c r="D879" s="1108" t="s">
        <v>3007</v>
      </c>
      <c r="E879" s="1108" t="s">
        <v>3008</v>
      </c>
      <c r="F879" s="1109">
        <v>0.1</v>
      </c>
      <c r="G879" s="1109">
        <v>0.0</v>
      </c>
      <c r="H879" s="1107"/>
    </row>
    <row r="880" ht="18.75" customHeight="1">
      <c r="A880" s="1107"/>
      <c r="B880" s="1108" t="s">
        <v>1285</v>
      </c>
      <c r="C880" s="1108" t="s">
        <v>2972</v>
      </c>
      <c r="D880" s="1108" t="s">
        <v>3009</v>
      </c>
      <c r="E880" s="1108" t="s">
        <v>3010</v>
      </c>
      <c r="F880" s="1109">
        <v>0.1</v>
      </c>
      <c r="G880" s="1109">
        <v>0.0</v>
      </c>
      <c r="H880" s="1107"/>
    </row>
    <row r="881" ht="18.75" customHeight="1">
      <c r="A881" s="1107"/>
      <c r="B881" s="1108" t="s">
        <v>1285</v>
      </c>
      <c r="C881" s="1108" t="s">
        <v>2972</v>
      </c>
      <c r="D881" s="1108" t="s">
        <v>3011</v>
      </c>
      <c r="E881" s="1108" t="s">
        <v>3012</v>
      </c>
      <c r="F881" s="1109">
        <v>0.1</v>
      </c>
      <c r="G881" s="1109">
        <v>0.0</v>
      </c>
      <c r="H881" s="1107"/>
    </row>
    <row r="882" ht="18.75" customHeight="1">
      <c r="A882" s="1107"/>
      <c r="B882" s="1108" t="s">
        <v>1285</v>
      </c>
      <c r="C882" s="1108" t="s">
        <v>2972</v>
      </c>
      <c r="D882" s="1108" t="s">
        <v>3013</v>
      </c>
      <c r="E882" s="1108" t="s">
        <v>3014</v>
      </c>
      <c r="F882" s="1109">
        <v>0.1</v>
      </c>
      <c r="G882" s="1109">
        <v>0.0</v>
      </c>
      <c r="H882" s="1107"/>
    </row>
    <row r="883" ht="18.75" customHeight="1">
      <c r="A883" s="1107"/>
      <c r="B883" s="1108" t="s">
        <v>1285</v>
      </c>
      <c r="C883" s="1108" t="s">
        <v>2972</v>
      </c>
      <c r="D883" s="1108" t="s">
        <v>3015</v>
      </c>
      <c r="E883" s="1108" t="s">
        <v>3016</v>
      </c>
      <c r="F883" s="1109">
        <v>0.1</v>
      </c>
      <c r="G883" s="1109">
        <v>0.0</v>
      </c>
      <c r="H883" s="1107"/>
    </row>
    <row r="884" ht="18.75" customHeight="1">
      <c r="A884" s="1107"/>
      <c r="B884" s="1108" t="s">
        <v>1285</v>
      </c>
      <c r="C884" s="1108" t="s">
        <v>2972</v>
      </c>
      <c r="D884" s="1108" t="s">
        <v>3017</v>
      </c>
      <c r="E884" s="1108" t="s">
        <v>3018</v>
      </c>
      <c r="F884" s="1109">
        <v>0.1</v>
      </c>
      <c r="G884" s="1109">
        <v>0.0</v>
      </c>
      <c r="H884" s="1107"/>
    </row>
    <row r="885" ht="18.75" customHeight="1">
      <c r="A885" s="1107"/>
      <c r="B885" s="1108" t="s">
        <v>1285</v>
      </c>
      <c r="C885" s="1108" t="s">
        <v>2972</v>
      </c>
      <c r="D885" s="1108" t="s">
        <v>3019</v>
      </c>
      <c r="E885" s="1108" t="s">
        <v>3020</v>
      </c>
      <c r="F885" s="1109">
        <v>0.1</v>
      </c>
      <c r="G885" s="1109">
        <v>0.0</v>
      </c>
      <c r="H885" s="1107"/>
    </row>
    <row r="886" ht="18.75" customHeight="1">
      <c r="A886" s="1107"/>
      <c r="B886" s="1108" t="s">
        <v>1285</v>
      </c>
      <c r="C886" s="1108" t="s">
        <v>2972</v>
      </c>
      <c r="D886" s="1108" t="s">
        <v>3021</v>
      </c>
      <c r="E886" s="1108" t="s">
        <v>3022</v>
      </c>
      <c r="F886" s="1109">
        <v>0.1</v>
      </c>
      <c r="G886" s="1109">
        <v>0.0</v>
      </c>
      <c r="H886" s="1107"/>
    </row>
    <row r="887" ht="18.75" customHeight="1">
      <c r="A887" s="1107"/>
      <c r="B887" s="1108" t="s">
        <v>1285</v>
      </c>
      <c r="C887" s="1108" t="s">
        <v>2972</v>
      </c>
      <c r="D887" s="1108" t="s">
        <v>3023</v>
      </c>
      <c r="E887" s="1108" t="s">
        <v>3024</v>
      </c>
      <c r="F887" s="1109">
        <v>0.1</v>
      </c>
      <c r="G887" s="1109">
        <v>0.0</v>
      </c>
      <c r="H887" s="1107"/>
    </row>
    <row r="888" ht="18.75" customHeight="1">
      <c r="A888" s="1107"/>
      <c r="B888" s="1108" t="s">
        <v>1285</v>
      </c>
      <c r="C888" s="1108" t="s">
        <v>2972</v>
      </c>
      <c r="D888" s="1108" t="s">
        <v>3025</v>
      </c>
      <c r="E888" s="1108" t="s">
        <v>3026</v>
      </c>
      <c r="F888" s="1109">
        <v>0.1</v>
      </c>
      <c r="G888" s="1109">
        <v>0.0</v>
      </c>
      <c r="H888" s="1107"/>
    </row>
    <row r="889" ht="18.75" customHeight="1">
      <c r="A889" s="1107"/>
      <c r="B889" s="1108" t="s">
        <v>1285</v>
      </c>
      <c r="C889" s="1108" t="s">
        <v>2972</v>
      </c>
      <c r="D889" s="1108" t="s">
        <v>3027</v>
      </c>
      <c r="E889" s="1108" t="s">
        <v>3028</v>
      </c>
      <c r="F889" s="1109">
        <v>0.1</v>
      </c>
      <c r="G889" s="1109">
        <v>0.0</v>
      </c>
      <c r="H889" s="1107"/>
    </row>
    <row r="890" ht="18.75" customHeight="1">
      <c r="A890" s="1107"/>
      <c r="B890" s="1108" t="s">
        <v>1285</v>
      </c>
      <c r="C890" s="1108" t="s">
        <v>2972</v>
      </c>
      <c r="D890" s="1108" t="s">
        <v>3029</v>
      </c>
      <c r="E890" s="1108" t="s">
        <v>3030</v>
      </c>
      <c r="F890" s="1109">
        <v>0.1</v>
      </c>
      <c r="G890" s="1109">
        <v>0.0</v>
      </c>
      <c r="H890" s="1107"/>
    </row>
    <row r="891" ht="18.75" customHeight="1">
      <c r="A891" s="1107"/>
      <c r="B891" s="1108" t="s">
        <v>1285</v>
      </c>
      <c r="C891" s="1108" t="s">
        <v>2972</v>
      </c>
      <c r="D891" s="1108" t="s">
        <v>3031</v>
      </c>
      <c r="E891" s="1108" t="s">
        <v>3032</v>
      </c>
      <c r="F891" s="1109">
        <v>0.1</v>
      </c>
      <c r="G891" s="1109">
        <v>0.0</v>
      </c>
      <c r="H891" s="1107"/>
    </row>
    <row r="892" ht="18.75" customHeight="1">
      <c r="A892" s="1107"/>
      <c r="B892" s="1108" t="s">
        <v>1285</v>
      </c>
      <c r="C892" s="1108" t="s">
        <v>2972</v>
      </c>
      <c r="D892" s="1108" t="s">
        <v>3033</v>
      </c>
      <c r="E892" s="1108" t="s">
        <v>3034</v>
      </c>
      <c r="F892" s="1109">
        <v>0.1</v>
      </c>
      <c r="G892" s="1109">
        <v>0.0</v>
      </c>
      <c r="H892" s="1107"/>
    </row>
    <row r="893" ht="18.75" customHeight="1">
      <c r="A893" s="1107"/>
      <c r="B893" s="1108" t="s">
        <v>1285</v>
      </c>
      <c r="C893" s="1108" t="s">
        <v>2972</v>
      </c>
      <c r="D893" s="1108" t="s">
        <v>3035</v>
      </c>
      <c r="E893" s="1108" t="s">
        <v>3036</v>
      </c>
      <c r="F893" s="1109">
        <v>0.1</v>
      </c>
      <c r="G893" s="1109">
        <v>0.0</v>
      </c>
      <c r="H893" s="1107"/>
    </row>
    <row r="894" ht="18.75" customHeight="1">
      <c r="A894" s="1107"/>
      <c r="B894" s="1108" t="s">
        <v>1285</v>
      </c>
      <c r="C894" s="1108" t="s">
        <v>2972</v>
      </c>
      <c r="D894" s="1108" t="s">
        <v>3037</v>
      </c>
      <c r="E894" s="1108" t="s">
        <v>3038</v>
      </c>
      <c r="F894" s="1109">
        <v>0.1</v>
      </c>
      <c r="G894" s="1109">
        <v>0.0</v>
      </c>
      <c r="H894" s="1107"/>
    </row>
    <row r="895" ht="18.75" customHeight="1">
      <c r="A895" s="1107"/>
      <c r="B895" s="1108" t="s">
        <v>1285</v>
      </c>
      <c r="C895" s="1108" t="s">
        <v>2972</v>
      </c>
      <c r="D895" s="1108" t="s">
        <v>3039</v>
      </c>
      <c r="E895" s="1108" t="s">
        <v>3040</v>
      </c>
      <c r="F895" s="1109">
        <v>0.1</v>
      </c>
      <c r="G895" s="1109">
        <v>0.0</v>
      </c>
      <c r="H895" s="1107"/>
    </row>
    <row r="896" ht="18.75" customHeight="1">
      <c r="A896" s="1107"/>
      <c r="B896" s="1108" t="s">
        <v>1285</v>
      </c>
      <c r="C896" s="1108" t="s">
        <v>2972</v>
      </c>
      <c r="D896" s="1108" t="s">
        <v>3041</v>
      </c>
      <c r="E896" s="1108" t="s">
        <v>3042</v>
      </c>
      <c r="F896" s="1109">
        <v>0.1</v>
      </c>
      <c r="G896" s="1109">
        <v>0.0</v>
      </c>
      <c r="H896" s="1107"/>
    </row>
    <row r="897" ht="18.75" customHeight="1">
      <c r="A897" s="1107"/>
      <c r="B897" s="1108" t="s">
        <v>1285</v>
      </c>
      <c r="C897" s="1108" t="s">
        <v>2972</v>
      </c>
      <c r="D897" s="1108" t="s">
        <v>3043</v>
      </c>
      <c r="E897" s="1108" t="s">
        <v>3044</v>
      </c>
      <c r="F897" s="1109">
        <v>0.1</v>
      </c>
      <c r="G897" s="1109">
        <v>0.0</v>
      </c>
      <c r="H897" s="1107"/>
    </row>
    <row r="898" ht="18.75" customHeight="1">
      <c r="A898" s="1107"/>
      <c r="B898" s="1108" t="s">
        <v>1285</v>
      </c>
      <c r="C898" s="1108" t="s">
        <v>2972</v>
      </c>
      <c r="D898" s="1108" t="s">
        <v>3045</v>
      </c>
      <c r="E898" s="1108" t="s">
        <v>3046</v>
      </c>
      <c r="F898" s="1109">
        <v>0.1</v>
      </c>
      <c r="G898" s="1109">
        <v>0.0</v>
      </c>
      <c r="H898" s="1107"/>
    </row>
    <row r="899" ht="18.75" customHeight="1">
      <c r="A899" s="1107"/>
      <c r="B899" s="1108" t="s">
        <v>1285</v>
      </c>
      <c r="C899" s="1108" t="s">
        <v>2972</v>
      </c>
      <c r="D899" s="1108" t="s">
        <v>3047</v>
      </c>
      <c r="E899" s="1108" t="s">
        <v>3048</v>
      </c>
      <c r="F899" s="1109">
        <v>0.1</v>
      </c>
      <c r="G899" s="1109">
        <v>0.0</v>
      </c>
      <c r="H899" s="1107"/>
    </row>
    <row r="900" ht="18.75" customHeight="1">
      <c r="A900" s="1107"/>
      <c r="B900" s="1108" t="s">
        <v>1285</v>
      </c>
      <c r="C900" s="1108" t="s">
        <v>2972</v>
      </c>
      <c r="D900" s="1108" t="s">
        <v>3049</v>
      </c>
      <c r="E900" s="1108" t="s">
        <v>3050</v>
      </c>
      <c r="F900" s="1109">
        <v>0.1</v>
      </c>
      <c r="G900" s="1109">
        <v>0.0</v>
      </c>
      <c r="H900" s="1107"/>
    </row>
    <row r="901" ht="18.75" customHeight="1">
      <c r="A901" s="1107"/>
      <c r="B901" s="1108" t="s">
        <v>1285</v>
      </c>
      <c r="C901" s="1108" t="s">
        <v>2972</v>
      </c>
      <c r="D901" s="1108" t="s">
        <v>3051</v>
      </c>
      <c r="E901" s="1108" t="s">
        <v>3052</v>
      </c>
      <c r="F901" s="1109">
        <v>0.1</v>
      </c>
      <c r="G901" s="1109">
        <v>0.0</v>
      </c>
      <c r="H901" s="1107"/>
    </row>
    <row r="902" ht="18.75" customHeight="1">
      <c r="A902" s="1107"/>
      <c r="B902" s="1108" t="s">
        <v>1285</v>
      </c>
      <c r="C902" s="1108" t="s">
        <v>2972</v>
      </c>
      <c r="D902" s="1108" t="s">
        <v>3053</v>
      </c>
      <c r="E902" s="1108" t="s">
        <v>3054</v>
      </c>
      <c r="F902" s="1109">
        <v>0.1</v>
      </c>
      <c r="G902" s="1109">
        <v>0.0</v>
      </c>
      <c r="H902" s="1107"/>
    </row>
    <row r="903" ht="18.75" customHeight="1">
      <c r="A903" s="1107"/>
      <c r="B903" s="1108" t="s">
        <v>1285</v>
      </c>
      <c r="C903" s="1108" t="s">
        <v>2972</v>
      </c>
      <c r="D903" s="1108" t="s">
        <v>3055</v>
      </c>
      <c r="E903" s="1108" t="s">
        <v>3056</v>
      </c>
      <c r="F903" s="1109">
        <v>0.1</v>
      </c>
      <c r="G903" s="1109">
        <v>0.0</v>
      </c>
      <c r="H903" s="1107"/>
    </row>
    <row r="904" ht="18.75" customHeight="1">
      <c r="A904" s="1107"/>
      <c r="B904" s="1108" t="s">
        <v>1285</v>
      </c>
      <c r="C904" s="1108" t="s">
        <v>2972</v>
      </c>
      <c r="D904" s="1108" t="s">
        <v>3057</v>
      </c>
      <c r="E904" s="1108" t="s">
        <v>3058</v>
      </c>
      <c r="F904" s="1109">
        <v>0.1</v>
      </c>
      <c r="G904" s="1109">
        <v>0.0</v>
      </c>
      <c r="H904" s="1107"/>
    </row>
    <row r="905" ht="18.75" customHeight="1">
      <c r="A905" s="1107"/>
      <c r="B905" s="1108" t="s">
        <v>1285</v>
      </c>
      <c r="C905" s="1108" t="s">
        <v>2972</v>
      </c>
      <c r="D905" s="1108" t="s">
        <v>3059</v>
      </c>
      <c r="E905" s="1108" t="s">
        <v>3060</v>
      </c>
      <c r="F905" s="1109">
        <v>0.1</v>
      </c>
      <c r="G905" s="1109">
        <v>0.0</v>
      </c>
      <c r="H905" s="1107"/>
    </row>
    <row r="906" ht="18.75" customHeight="1">
      <c r="A906" s="1107"/>
      <c r="B906" s="1108" t="s">
        <v>1285</v>
      </c>
      <c r="C906" s="1108" t="s">
        <v>2972</v>
      </c>
      <c r="D906" s="1108" t="s">
        <v>3061</v>
      </c>
      <c r="E906" s="1108" t="s">
        <v>3062</v>
      </c>
      <c r="F906" s="1109">
        <v>0.1</v>
      </c>
      <c r="G906" s="1109">
        <v>0.0</v>
      </c>
      <c r="H906" s="1107"/>
    </row>
    <row r="907" ht="18.75" customHeight="1">
      <c r="A907" s="1107"/>
      <c r="B907" s="1108" t="s">
        <v>1285</v>
      </c>
      <c r="C907" s="1108" t="s">
        <v>2972</v>
      </c>
      <c r="D907" s="1108" t="s">
        <v>3063</v>
      </c>
      <c r="E907" s="1108" t="s">
        <v>3064</v>
      </c>
      <c r="F907" s="1109">
        <v>0.1</v>
      </c>
      <c r="G907" s="1109">
        <v>0.0</v>
      </c>
      <c r="H907" s="1107"/>
    </row>
    <row r="908" ht="18.75" customHeight="1">
      <c r="A908" s="1107"/>
      <c r="B908" s="1108" t="s">
        <v>1285</v>
      </c>
      <c r="C908" s="1108" t="s">
        <v>2972</v>
      </c>
      <c r="D908" s="1108" t="s">
        <v>3065</v>
      </c>
      <c r="E908" s="1108" t="s">
        <v>3066</v>
      </c>
      <c r="F908" s="1109">
        <v>0.1</v>
      </c>
      <c r="G908" s="1109">
        <v>0.0</v>
      </c>
      <c r="H908" s="1107"/>
    </row>
    <row r="909" ht="18.75" customHeight="1">
      <c r="A909" s="1107"/>
      <c r="B909" s="1108" t="s">
        <v>1285</v>
      </c>
      <c r="C909" s="1108" t="s">
        <v>2972</v>
      </c>
      <c r="D909" s="1108" t="s">
        <v>3067</v>
      </c>
      <c r="E909" s="1108" t="s">
        <v>3068</v>
      </c>
      <c r="F909" s="1109">
        <v>0.1</v>
      </c>
      <c r="G909" s="1109">
        <v>0.0</v>
      </c>
      <c r="H909" s="1107"/>
    </row>
    <row r="910" ht="18.75" customHeight="1">
      <c r="A910" s="1107"/>
      <c r="B910" s="1108" t="s">
        <v>1285</v>
      </c>
      <c r="C910" s="1108" t="s">
        <v>2972</v>
      </c>
      <c r="D910" s="1108" t="s">
        <v>3069</v>
      </c>
      <c r="E910" s="1108" t="s">
        <v>3070</v>
      </c>
      <c r="F910" s="1109">
        <v>0.1</v>
      </c>
      <c r="G910" s="1109">
        <v>0.0</v>
      </c>
      <c r="H910" s="1107"/>
    </row>
    <row r="911" ht="18.75" customHeight="1">
      <c r="A911" s="1107"/>
      <c r="B911" s="1108" t="s">
        <v>1285</v>
      </c>
      <c r="C911" s="1108" t="s">
        <v>2972</v>
      </c>
      <c r="D911" s="1108" t="s">
        <v>3071</v>
      </c>
      <c r="E911" s="1108" t="s">
        <v>3072</v>
      </c>
      <c r="F911" s="1109">
        <v>0.1</v>
      </c>
      <c r="G911" s="1109">
        <v>0.0</v>
      </c>
      <c r="H911" s="1107"/>
    </row>
    <row r="912" ht="18.75" customHeight="1">
      <c r="A912" s="1107"/>
      <c r="B912" s="1108" t="s">
        <v>1285</v>
      </c>
      <c r="C912" s="1108" t="s">
        <v>2972</v>
      </c>
      <c r="D912" s="1108" t="s">
        <v>3073</v>
      </c>
      <c r="E912" s="1108" t="s">
        <v>3074</v>
      </c>
      <c r="F912" s="1109">
        <v>0.1</v>
      </c>
      <c r="G912" s="1109">
        <v>0.0</v>
      </c>
      <c r="H912" s="1107"/>
    </row>
    <row r="913" ht="18.75" customHeight="1">
      <c r="A913" s="1107"/>
      <c r="B913" s="1108" t="s">
        <v>1285</v>
      </c>
      <c r="C913" s="1108" t="s">
        <v>2972</v>
      </c>
      <c r="D913" s="1108" t="s">
        <v>3075</v>
      </c>
      <c r="E913" s="1108" t="s">
        <v>3076</v>
      </c>
      <c r="F913" s="1109">
        <v>0.1</v>
      </c>
      <c r="G913" s="1109">
        <v>0.0</v>
      </c>
      <c r="H913" s="1107"/>
    </row>
    <row r="914" ht="18.75" customHeight="1">
      <c r="A914" s="1107"/>
      <c r="B914" s="1108" t="s">
        <v>1285</v>
      </c>
      <c r="C914" s="1108" t="s">
        <v>2972</v>
      </c>
      <c r="D914" s="1108" t="s">
        <v>3077</v>
      </c>
      <c r="E914" s="1108" t="s">
        <v>3078</v>
      </c>
      <c r="F914" s="1109">
        <v>0.1</v>
      </c>
      <c r="G914" s="1109">
        <v>0.0</v>
      </c>
      <c r="H914" s="1107"/>
    </row>
    <row r="915" ht="18.75" customHeight="1">
      <c r="A915" s="1107"/>
      <c r="B915" s="1108" t="s">
        <v>1285</v>
      </c>
      <c r="C915" s="1108" t="s">
        <v>2972</v>
      </c>
      <c r="D915" s="1108" t="s">
        <v>3079</v>
      </c>
      <c r="E915" s="1108" t="s">
        <v>3080</v>
      </c>
      <c r="F915" s="1109">
        <v>0.1</v>
      </c>
      <c r="G915" s="1109">
        <v>0.0</v>
      </c>
      <c r="H915" s="1107"/>
    </row>
    <row r="916" ht="18.75" customHeight="1">
      <c r="A916" s="1107"/>
      <c r="B916" s="1108" t="s">
        <v>1285</v>
      </c>
      <c r="C916" s="1108" t="s">
        <v>2972</v>
      </c>
      <c r="D916" s="1108" t="s">
        <v>3081</v>
      </c>
      <c r="E916" s="1108" t="s">
        <v>3082</v>
      </c>
      <c r="F916" s="1109">
        <v>0.1</v>
      </c>
      <c r="G916" s="1109">
        <v>0.0</v>
      </c>
      <c r="H916" s="1107"/>
    </row>
    <row r="917" ht="18.75" customHeight="1">
      <c r="A917" s="1107"/>
      <c r="B917" s="1108" t="s">
        <v>1285</v>
      </c>
      <c r="C917" s="1108" t="s">
        <v>2972</v>
      </c>
      <c r="D917" s="1108" t="s">
        <v>3083</v>
      </c>
      <c r="E917" s="1108" t="s">
        <v>3084</v>
      </c>
      <c r="F917" s="1109">
        <v>0.1</v>
      </c>
      <c r="G917" s="1109">
        <v>0.0</v>
      </c>
      <c r="H917" s="1107"/>
    </row>
    <row r="918" ht="18.75" customHeight="1">
      <c r="A918" s="1107"/>
      <c r="B918" s="1108" t="s">
        <v>1285</v>
      </c>
      <c r="C918" s="1108" t="s">
        <v>2972</v>
      </c>
      <c r="D918" s="1108" t="s">
        <v>3085</v>
      </c>
      <c r="E918" s="1108" t="s">
        <v>3086</v>
      </c>
      <c r="F918" s="1109">
        <v>0.1</v>
      </c>
      <c r="G918" s="1109">
        <v>0.0</v>
      </c>
      <c r="H918" s="1107"/>
    </row>
    <row r="919" ht="18.75" customHeight="1">
      <c r="A919" s="1107"/>
      <c r="B919" s="1108" t="s">
        <v>1285</v>
      </c>
      <c r="C919" s="1108" t="s">
        <v>2972</v>
      </c>
      <c r="D919" s="1108" t="s">
        <v>3087</v>
      </c>
      <c r="E919" s="1108" t="s">
        <v>3088</v>
      </c>
      <c r="F919" s="1109">
        <v>0.1</v>
      </c>
      <c r="G919" s="1109">
        <v>0.0</v>
      </c>
      <c r="H919" s="1107"/>
    </row>
    <row r="920" ht="18.75" customHeight="1">
      <c r="A920" s="1107"/>
      <c r="B920" s="1108" t="s">
        <v>1285</v>
      </c>
      <c r="C920" s="1108" t="s">
        <v>2972</v>
      </c>
      <c r="D920" s="1108" t="s">
        <v>3089</v>
      </c>
      <c r="E920" s="1108" t="s">
        <v>3090</v>
      </c>
      <c r="F920" s="1109">
        <v>0.1</v>
      </c>
      <c r="G920" s="1109">
        <v>0.0</v>
      </c>
      <c r="H920" s="1107"/>
    </row>
    <row r="921" ht="18.75" customHeight="1">
      <c r="A921" s="1107"/>
      <c r="B921" s="1108" t="s">
        <v>1285</v>
      </c>
      <c r="C921" s="1108" t="s">
        <v>2972</v>
      </c>
      <c r="D921" s="1108" t="s">
        <v>3091</v>
      </c>
      <c r="E921" s="1108" t="s">
        <v>3092</v>
      </c>
      <c r="F921" s="1109">
        <v>0.1</v>
      </c>
      <c r="G921" s="1109">
        <v>0.0</v>
      </c>
      <c r="H921" s="1107"/>
    </row>
    <row r="922" ht="18.75" customHeight="1">
      <c r="A922" s="1107"/>
      <c r="B922" s="1108" t="s">
        <v>1285</v>
      </c>
      <c r="C922" s="1108" t="s">
        <v>2972</v>
      </c>
      <c r="D922" s="1108" t="s">
        <v>3093</v>
      </c>
      <c r="E922" s="1108" t="s">
        <v>3094</v>
      </c>
      <c r="F922" s="1109">
        <v>0.1</v>
      </c>
      <c r="G922" s="1109">
        <v>0.0</v>
      </c>
      <c r="H922" s="1107"/>
    </row>
    <row r="923" ht="18.75" customHeight="1">
      <c r="A923" s="1107"/>
      <c r="B923" s="1108" t="s">
        <v>1285</v>
      </c>
      <c r="C923" s="1108" t="s">
        <v>2972</v>
      </c>
      <c r="D923" s="1108" t="s">
        <v>3095</v>
      </c>
      <c r="E923" s="1108" t="s">
        <v>3096</v>
      </c>
      <c r="F923" s="1109">
        <v>0.1</v>
      </c>
      <c r="G923" s="1109">
        <v>0.0</v>
      </c>
      <c r="H923" s="1107"/>
    </row>
    <row r="924" ht="18.75" customHeight="1">
      <c r="A924" s="1107"/>
      <c r="B924" s="1108" t="s">
        <v>1285</v>
      </c>
      <c r="C924" s="1108" t="s">
        <v>2972</v>
      </c>
      <c r="D924" s="1108" t="s">
        <v>3097</v>
      </c>
      <c r="E924" s="1108" t="s">
        <v>3098</v>
      </c>
      <c r="F924" s="1109">
        <v>0.1</v>
      </c>
      <c r="G924" s="1109">
        <v>0.0</v>
      </c>
      <c r="H924" s="1107"/>
    </row>
    <row r="925" ht="18.75" customHeight="1">
      <c r="A925" s="1107"/>
      <c r="B925" s="1108" t="s">
        <v>1285</v>
      </c>
      <c r="C925" s="1108" t="s">
        <v>2972</v>
      </c>
      <c r="D925" s="1108" t="s">
        <v>3099</v>
      </c>
      <c r="E925" s="1108" t="s">
        <v>3100</v>
      </c>
      <c r="F925" s="1109">
        <v>0.1</v>
      </c>
      <c r="G925" s="1109">
        <v>0.0</v>
      </c>
      <c r="H925" s="1107"/>
    </row>
    <row r="926" ht="18.75" customHeight="1">
      <c r="A926" s="1107"/>
      <c r="B926" s="1108" t="s">
        <v>1285</v>
      </c>
      <c r="C926" s="1108" t="s">
        <v>2972</v>
      </c>
      <c r="D926" s="1108" t="s">
        <v>3101</v>
      </c>
      <c r="E926" s="1108" t="s">
        <v>3102</v>
      </c>
      <c r="F926" s="1109">
        <v>0.1</v>
      </c>
      <c r="G926" s="1109">
        <v>0.0</v>
      </c>
      <c r="H926" s="1107"/>
    </row>
    <row r="927" ht="18.75" customHeight="1">
      <c r="A927" s="1107"/>
      <c r="B927" s="1108" t="s">
        <v>1285</v>
      </c>
      <c r="C927" s="1108" t="s">
        <v>2972</v>
      </c>
      <c r="D927" s="1108" t="s">
        <v>3103</v>
      </c>
      <c r="E927" s="1108" t="s">
        <v>3104</v>
      </c>
      <c r="F927" s="1109">
        <v>0.1</v>
      </c>
      <c r="G927" s="1109">
        <v>0.0</v>
      </c>
      <c r="H927" s="1107"/>
    </row>
    <row r="928" ht="18.75" customHeight="1">
      <c r="A928" s="1107"/>
      <c r="B928" s="1108" t="s">
        <v>1285</v>
      </c>
      <c r="C928" s="1108" t="s">
        <v>2972</v>
      </c>
      <c r="D928" s="1108" t="s">
        <v>3105</v>
      </c>
      <c r="E928" s="1108" t="s">
        <v>3106</v>
      </c>
      <c r="F928" s="1109">
        <v>0.1</v>
      </c>
      <c r="G928" s="1109">
        <v>0.0</v>
      </c>
      <c r="H928" s="1107"/>
    </row>
    <row r="929" ht="18.75" customHeight="1">
      <c r="A929" s="1107"/>
      <c r="B929" s="1108" t="s">
        <v>1285</v>
      </c>
      <c r="C929" s="1108" t="s">
        <v>2972</v>
      </c>
      <c r="D929" s="1108" t="s">
        <v>3107</v>
      </c>
      <c r="E929" s="1108" t="s">
        <v>3108</v>
      </c>
      <c r="F929" s="1109">
        <v>0.1</v>
      </c>
      <c r="G929" s="1109">
        <v>0.0</v>
      </c>
      <c r="H929" s="1107"/>
    </row>
    <row r="930" ht="18.75" customHeight="1">
      <c r="A930" s="1107"/>
      <c r="B930" s="1108" t="s">
        <v>1285</v>
      </c>
      <c r="C930" s="1108" t="s">
        <v>2972</v>
      </c>
      <c r="D930" s="1108" t="s">
        <v>3109</v>
      </c>
      <c r="E930" s="1108" t="s">
        <v>3110</v>
      </c>
      <c r="F930" s="1109">
        <v>0.1</v>
      </c>
      <c r="G930" s="1109">
        <v>0.0</v>
      </c>
      <c r="H930" s="1107"/>
    </row>
    <row r="931" ht="18.75" customHeight="1">
      <c r="A931" s="1107"/>
      <c r="B931" s="1108" t="s">
        <v>1285</v>
      </c>
      <c r="C931" s="1108" t="s">
        <v>2972</v>
      </c>
      <c r="D931" s="1108" t="s">
        <v>3111</v>
      </c>
      <c r="E931" s="1108" t="s">
        <v>3112</v>
      </c>
      <c r="F931" s="1109">
        <v>0.1</v>
      </c>
      <c r="G931" s="1109">
        <v>0.0</v>
      </c>
      <c r="H931" s="1107"/>
    </row>
    <row r="932" ht="18.75" customHeight="1">
      <c r="A932" s="1107"/>
      <c r="B932" s="1108" t="s">
        <v>1285</v>
      </c>
      <c r="C932" s="1108" t="s">
        <v>2972</v>
      </c>
      <c r="D932" s="1108" t="s">
        <v>3113</v>
      </c>
      <c r="E932" s="1108" t="s">
        <v>3114</v>
      </c>
      <c r="F932" s="1109">
        <v>0.1</v>
      </c>
      <c r="G932" s="1109">
        <v>0.0</v>
      </c>
      <c r="H932" s="1107"/>
    </row>
    <row r="933" ht="18.75" customHeight="1">
      <c r="A933" s="1107"/>
      <c r="B933" s="1108" t="s">
        <v>1285</v>
      </c>
      <c r="C933" s="1108" t="s">
        <v>2972</v>
      </c>
      <c r="D933" s="1108" t="s">
        <v>3115</v>
      </c>
      <c r="E933" s="1108" t="s">
        <v>3116</v>
      </c>
      <c r="F933" s="1109">
        <v>0.1</v>
      </c>
      <c r="G933" s="1109">
        <v>0.0</v>
      </c>
      <c r="H933" s="1107"/>
    </row>
    <row r="934" ht="18.75" customHeight="1">
      <c r="A934" s="1107"/>
      <c r="B934" s="1108" t="s">
        <v>1285</v>
      </c>
      <c r="C934" s="1108" t="s">
        <v>2972</v>
      </c>
      <c r="D934" s="1108" t="s">
        <v>3117</v>
      </c>
      <c r="E934" s="1108" t="s">
        <v>3118</v>
      </c>
      <c r="F934" s="1109">
        <v>0.1</v>
      </c>
      <c r="G934" s="1109">
        <v>0.0</v>
      </c>
      <c r="H934" s="1107"/>
    </row>
    <row r="935" ht="18.75" customHeight="1">
      <c r="A935" s="1107"/>
      <c r="B935" s="1108" t="s">
        <v>1285</v>
      </c>
      <c r="C935" s="1108" t="s">
        <v>2972</v>
      </c>
      <c r="D935" s="1108" t="s">
        <v>3119</v>
      </c>
      <c r="E935" s="1108" t="s">
        <v>3120</v>
      </c>
      <c r="F935" s="1109">
        <v>0.1</v>
      </c>
      <c r="G935" s="1109">
        <v>0.0</v>
      </c>
      <c r="H935" s="1107"/>
    </row>
    <row r="936" ht="18.75" customHeight="1">
      <c r="A936" s="1107"/>
      <c r="B936" s="1108" t="s">
        <v>1285</v>
      </c>
      <c r="C936" s="1108" t="s">
        <v>2972</v>
      </c>
      <c r="D936" s="1108" t="s">
        <v>3121</v>
      </c>
      <c r="E936" s="1108" t="s">
        <v>3122</v>
      </c>
      <c r="F936" s="1109">
        <v>0.1</v>
      </c>
      <c r="G936" s="1109">
        <v>0.0</v>
      </c>
      <c r="H936" s="1107"/>
    </row>
    <row r="937" ht="18.75" customHeight="1">
      <c r="A937" s="1107"/>
      <c r="B937" s="1108" t="s">
        <v>1285</v>
      </c>
      <c r="C937" s="1108" t="s">
        <v>2972</v>
      </c>
      <c r="D937" s="1108" t="s">
        <v>3123</v>
      </c>
      <c r="E937" s="1108" t="s">
        <v>3124</v>
      </c>
      <c r="F937" s="1109">
        <v>0.1</v>
      </c>
      <c r="G937" s="1109">
        <v>0.0</v>
      </c>
      <c r="H937" s="1107"/>
    </row>
    <row r="938" ht="18.75" customHeight="1">
      <c r="A938" s="1107"/>
      <c r="B938" s="1108" t="s">
        <v>1285</v>
      </c>
      <c r="C938" s="1108" t="s">
        <v>2972</v>
      </c>
      <c r="D938" s="1108" t="s">
        <v>3125</v>
      </c>
      <c r="E938" s="1108" t="s">
        <v>3126</v>
      </c>
      <c r="F938" s="1109">
        <v>0.1</v>
      </c>
      <c r="G938" s="1109">
        <v>0.0</v>
      </c>
      <c r="H938" s="1107"/>
    </row>
    <row r="939" ht="18.75" customHeight="1">
      <c r="A939" s="1107"/>
      <c r="B939" s="1108" t="s">
        <v>1285</v>
      </c>
      <c r="C939" s="1108" t="s">
        <v>2972</v>
      </c>
      <c r="D939" s="1108" t="s">
        <v>3127</v>
      </c>
      <c r="E939" s="1108" t="s">
        <v>3128</v>
      </c>
      <c r="F939" s="1109">
        <v>0.1</v>
      </c>
      <c r="G939" s="1109">
        <v>0.0</v>
      </c>
      <c r="H939" s="1107"/>
    </row>
    <row r="940" ht="18.75" customHeight="1">
      <c r="A940" s="1107"/>
      <c r="B940" s="1108" t="s">
        <v>1285</v>
      </c>
      <c r="C940" s="1108" t="s">
        <v>2972</v>
      </c>
      <c r="D940" s="1108" t="s">
        <v>3129</v>
      </c>
      <c r="E940" s="1108" t="s">
        <v>3130</v>
      </c>
      <c r="F940" s="1109">
        <v>0.1</v>
      </c>
      <c r="G940" s="1109">
        <v>0.0</v>
      </c>
      <c r="H940" s="1107"/>
    </row>
    <row r="941" ht="18.75" customHeight="1">
      <c r="A941" s="1107"/>
      <c r="B941" s="1108" t="s">
        <v>1285</v>
      </c>
      <c r="C941" s="1108" t="s">
        <v>2972</v>
      </c>
      <c r="D941" s="1108" t="s">
        <v>3131</v>
      </c>
      <c r="E941" s="1108" t="s">
        <v>3132</v>
      </c>
      <c r="F941" s="1109">
        <v>0.1</v>
      </c>
      <c r="G941" s="1109">
        <v>0.0</v>
      </c>
      <c r="H941" s="1107"/>
    </row>
    <row r="942" ht="18.75" customHeight="1">
      <c r="A942" s="1107"/>
      <c r="B942" s="1108" t="s">
        <v>1285</v>
      </c>
      <c r="C942" s="1108" t="s">
        <v>2972</v>
      </c>
      <c r="D942" s="1108" t="s">
        <v>3133</v>
      </c>
      <c r="E942" s="1108" t="s">
        <v>3134</v>
      </c>
      <c r="F942" s="1109">
        <v>0.1</v>
      </c>
      <c r="G942" s="1109">
        <v>0.0</v>
      </c>
      <c r="H942" s="1107"/>
    </row>
    <row r="943" ht="18.75" customHeight="1">
      <c r="A943" s="1107"/>
      <c r="B943" s="1108" t="s">
        <v>1285</v>
      </c>
      <c r="C943" s="1108" t="s">
        <v>2972</v>
      </c>
      <c r="D943" s="1108" t="s">
        <v>3135</v>
      </c>
      <c r="E943" s="1108" t="s">
        <v>3136</v>
      </c>
      <c r="F943" s="1109">
        <v>0.1</v>
      </c>
      <c r="G943" s="1109">
        <v>0.0</v>
      </c>
      <c r="H943" s="1107"/>
    </row>
    <row r="944" ht="18.75" customHeight="1">
      <c r="A944" s="1107"/>
      <c r="B944" s="1108" t="s">
        <v>1285</v>
      </c>
      <c r="C944" s="1108" t="s">
        <v>2972</v>
      </c>
      <c r="D944" s="1108" t="s">
        <v>3137</v>
      </c>
      <c r="E944" s="1108" t="s">
        <v>3138</v>
      </c>
      <c r="F944" s="1109">
        <v>0.1</v>
      </c>
      <c r="G944" s="1109">
        <v>0.0</v>
      </c>
      <c r="H944" s="1107"/>
    </row>
    <row r="945" ht="18.75" customHeight="1">
      <c r="A945" s="1107"/>
      <c r="B945" s="1108" t="s">
        <v>1285</v>
      </c>
      <c r="C945" s="1108" t="s">
        <v>2972</v>
      </c>
      <c r="D945" s="1108" t="s">
        <v>3139</v>
      </c>
      <c r="E945" s="1108" t="s">
        <v>3140</v>
      </c>
      <c r="F945" s="1109">
        <v>0.1</v>
      </c>
      <c r="G945" s="1109">
        <v>0.0</v>
      </c>
      <c r="H945" s="1107"/>
    </row>
    <row r="946" ht="18.75" customHeight="1">
      <c r="A946" s="1107"/>
      <c r="B946" s="1108" t="s">
        <v>1285</v>
      </c>
      <c r="C946" s="1108" t="s">
        <v>2972</v>
      </c>
      <c r="D946" s="1108" t="s">
        <v>3141</v>
      </c>
      <c r="E946" s="1108" t="s">
        <v>3142</v>
      </c>
      <c r="F946" s="1109">
        <v>0.1</v>
      </c>
      <c r="G946" s="1109">
        <v>0.0</v>
      </c>
      <c r="H946" s="1107"/>
    </row>
    <row r="947" ht="18.75" customHeight="1">
      <c r="A947" s="1107"/>
      <c r="B947" s="1108" t="s">
        <v>1285</v>
      </c>
      <c r="C947" s="1108" t="s">
        <v>2972</v>
      </c>
      <c r="D947" s="1108" t="s">
        <v>3143</v>
      </c>
      <c r="E947" s="1108" t="s">
        <v>3144</v>
      </c>
      <c r="F947" s="1109">
        <v>0.1</v>
      </c>
      <c r="G947" s="1109">
        <v>0.0</v>
      </c>
      <c r="H947" s="1107"/>
    </row>
    <row r="948" ht="18.75" customHeight="1">
      <c r="A948" s="1107"/>
      <c r="B948" s="1108" t="s">
        <v>1285</v>
      </c>
      <c r="C948" s="1108" t="s">
        <v>2972</v>
      </c>
      <c r="D948" s="1108" t="s">
        <v>3145</v>
      </c>
      <c r="E948" s="1108" t="s">
        <v>3146</v>
      </c>
      <c r="F948" s="1109">
        <v>0.1</v>
      </c>
      <c r="G948" s="1109">
        <v>0.0</v>
      </c>
      <c r="H948" s="1107"/>
    </row>
    <row r="949" ht="18.75" customHeight="1">
      <c r="A949" s="1107"/>
      <c r="B949" s="1108" t="s">
        <v>1285</v>
      </c>
      <c r="C949" s="1108" t="s">
        <v>2972</v>
      </c>
      <c r="D949" s="1108" t="s">
        <v>3147</v>
      </c>
      <c r="E949" s="1108" t="s">
        <v>3148</v>
      </c>
      <c r="F949" s="1109">
        <v>0.1</v>
      </c>
      <c r="G949" s="1109">
        <v>0.0</v>
      </c>
      <c r="H949" s="1107"/>
    </row>
    <row r="950" ht="18.75" customHeight="1">
      <c r="A950" s="1107"/>
      <c r="B950" s="1108" t="s">
        <v>3149</v>
      </c>
      <c r="C950" s="1108" t="s">
        <v>1291</v>
      </c>
      <c r="D950" s="1108" t="s">
        <v>3150</v>
      </c>
      <c r="E950" s="1108" t="s">
        <v>3151</v>
      </c>
      <c r="F950" s="1109">
        <v>0.1</v>
      </c>
      <c r="G950" s="1109">
        <v>0.0</v>
      </c>
      <c r="H950" s="1107"/>
    </row>
    <row r="951" ht="18.75" customHeight="1">
      <c r="A951" s="1107"/>
      <c r="B951" s="1108" t="s">
        <v>3149</v>
      </c>
      <c r="C951" s="1108" t="s">
        <v>1291</v>
      </c>
      <c r="D951" s="1108" t="s">
        <v>650</v>
      </c>
      <c r="E951" s="1108" t="s">
        <v>3152</v>
      </c>
      <c r="F951" s="1109">
        <v>0.1</v>
      </c>
      <c r="G951" s="1109">
        <v>0.0</v>
      </c>
      <c r="H951" s="1107"/>
    </row>
    <row r="952" ht="18.75" customHeight="1">
      <c r="A952" s="1107"/>
      <c r="B952" s="1108" t="s">
        <v>3149</v>
      </c>
      <c r="C952" s="1108" t="s">
        <v>1291</v>
      </c>
      <c r="D952" s="1108" t="s">
        <v>653</v>
      </c>
      <c r="E952" s="1108" t="s">
        <v>3153</v>
      </c>
      <c r="F952" s="1109">
        <v>0.1</v>
      </c>
      <c r="G952" s="1109">
        <v>0.0</v>
      </c>
      <c r="H952" s="1107"/>
    </row>
    <row r="953" ht="18.75" customHeight="1">
      <c r="A953" s="1107"/>
      <c r="B953" s="1108" t="s">
        <v>3149</v>
      </c>
      <c r="C953" s="1108" t="s">
        <v>1291</v>
      </c>
      <c r="D953" s="1108" t="s">
        <v>3154</v>
      </c>
      <c r="E953" s="1108" t="s">
        <v>3155</v>
      </c>
      <c r="F953" s="1109">
        <v>0.1</v>
      </c>
      <c r="G953" s="1109">
        <v>0.0</v>
      </c>
      <c r="H953" s="1107"/>
    </row>
    <row r="954" ht="18.75" customHeight="1">
      <c r="A954" s="1107"/>
      <c r="B954" s="1108" t="s">
        <v>3149</v>
      </c>
      <c r="C954" s="1108" t="s">
        <v>1291</v>
      </c>
      <c r="D954" s="1108" t="s">
        <v>3156</v>
      </c>
      <c r="E954" s="1108" t="s">
        <v>3157</v>
      </c>
      <c r="F954" s="1109">
        <v>0.1</v>
      </c>
      <c r="G954" s="1109">
        <v>0.0</v>
      </c>
      <c r="H954" s="1107"/>
    </row>
    <row r="955" ht="18.75" customHeight="1">
      <c r="A955" s="1107"/>
      <c r="B955" s="1108" t="s">
        <v>3149</v>
      </c>
      <c r="C955" s="1108" t="s">
        <v>1291</v>
      </c>
      <c r="D955" s="1108" t="s">
        <v>657</v>
      </c>
      <c r="E955" s="1108" t="s">
        <v>3158</v>
      </c>
      <c r="F955" s="1109">
        <v>0.1</v>
      </c>
      <c r="G955" s="1109">
        <v>0.0</v>
      </c>
      <c r="H955" s="1107"/>
    </row>
    <row r="956" ht="18.75" customHeight="1">
      <c r="A956" s="1107"/>
      <c r="B956" s="1108" t="s">
        <v>3149</v>
      </c>
      <c r="C956" s="1108" t="s">
        <v>1291</v>
      </c>
      <c r="D956" s="1108" t="s">
        <v>3159</v>
      </c>
      <c r="E956" s="1108" t="s">
        <v>3160</v>
      </c>
      <c r="F956" s="1109">
        <v>0.1</v>
      </c>
      <c r="G956" s="1109">
        <v>0.0</v>
      </c>
      <c r="H956" s="1107"/>
    </row>
    <row r="957" ht="18.75" customHeight="1">
      <c r="A957" s="1107"/>
      <c r="B957" s="1108" t="s">
        <v>3149</v>
      </c>
      <c r="C957" s="1108" t="s">
        <v>1291</v>
      </c>
      <c r="D957" s="1108" t="s">
        <v>3161</v>
      </c>
      <c r="E957" s="1108" t="s">
        <v>3162</v>
      </c>
      <c r="F957" s="1109">
        <v>0.1</v>
      </c>
      <c r="G957" s="1109">
        <v>0.0</v>
      </c>
      <c r="H957" s="1107"/>
    </row>
    <row r="958" ht="18.75" customHeight="1">
      <c r="A958" s="1107"/>
      <c r="B958" s="1108" t="s">
        <v>3149</v>
      </c>
      <c r="C958" s="1108" t="s">
        <v>1291</v>
      </c>
      <c r="D958" s="1108" t="s">
        <v>661</v>
      </c>
      <c r="E958" s="1108" t="s">
        <v>3163</v>
      </c>
      <c r="F958" s="1109">
        <v>0.1</v>
      </c>
      <c r="G958" s="1109">
        <v>0.0</v>
      </c>
      <c r="H958" s="1107"/>
    </row>
    <row r="959" ht="18.75" customHeight="1">
      <c r="A959" s="1107"/>
      <c r="B959" s="1108" t="s">
        <v>3149</v>
      </c>
      <c r="C959" s="1108" t="s">
        <v>1291</v>
      </c>
      <c r="D959" s="1108" t="s">
        <v>3164</v>
      </c>
      <c r="E959" s="1108" t="s">
        <v>3165</v>
      </c>
      <c r="F959" s="1109">
        <v>0.1</v>
      </c>
      <c r="G959" s="1109">
        <v>0.0</v>
      </c>
      <c r="H959" s="1107"/>
    </row>
    <row r="960" ht="18.75" customHeight="1">
      <c r="A960" s="1107"/>
      <c r="B960" s="1108" t="s">
        <v>3149</v>
      </c>
      <c r="C960" s="1108" t="s">
        <v>1291</v>
      </c>
      <c r="D960" s="1108" t="s">
        <v>3166</v>
      </c>
      <c r="E960" s="1108" t="s">
        <v>3167</v>
      </c>
      <c r="F960" s="1109">
        <v>0.1</v>
      </c>
      <c r="G960" s="1109">
        <v>0.0</v>
      </c>
      <c r="H960" s="1107"/>
    </row>
    <row r="961" ht="18.75" customHeight="1">
      <c r="A961" s="1107"/>
      <c r="B961" s="1108" t="s">
        <v>3149</v>
      </c>
      <c r="C961" s="1108" t="s">
        <v>1291</v>
      </c>
      <c r="D961" s="1108" t="s">
        <v>665</v>
      </c>
      <c r="E961" s="1108" t="s">
        <v>3168</v>
      </c>
      <c r="F961" s="1109">
        <v>0.1</v>
      </c>
      <c r="G961" s="1109">
        <v>0.0</v>
      </c>
      <c r="H961" s="1107"/>
    </row>
    <row r="962" ht="18.75" customHeight="1">
      <c r="A962" s="1107"/>
      <c r="B962" s="1108" t="s">
        <v>3149</v>
      </c>
      <c r="C962" s="1108" t="s">
        <v>1291</v>
      </c>
      <c r="D962" s="1108" t="s">
        <v>3169</v>
      </c>
      <c r="E962" s="1108" t="s">
        <v>3170</v>
      </c>
      <c r="F962" s="1109">
        <v>0.1</v>
      </c>
      <c r="G962" s="1109">
        <v>0.0</v>
      </c>
      <c r="H962" s="1107"/>
    </row>
    <row r="963" ht="18.75" customHeight="1">
      <c r="A963" s="1107"/>
      <c r="B963" s="1108" t="s">
        <v>3149</v>
      </c>
      <c r="C963" s="1108" t="s">
        <v>1291</v>
      </c>
      <c r="D963" s="1108" t="s">
        <v>3171</v>
      </c>
      <c r="E963" s="1108" t="s">
        <v>3172</v>
      </c>
      <c r="F963" s="1109">
        <v>0.1</v>
      </c>
      <c r="G963" s="1109">
        <v>0.0</v>
      </c>
      <c r="H963" s="1107"/>
    </row>
    <row r="964" ht="18.75" customHeight="1">
      <c r="A964" s="1107"/>
      <c r="B964" s="1108" t="s">
        <v>3149</v>
      </c>
      <c r="C964" s="1108" t="s">
        <v>1291</v>
      </c>
      <c r="D964" s="1108" t="s">
        <v>669</v>
      </c>
      <c r="E964" s="1108" t="s">
        <v>3173</v>
      </c>
      <c r="F964" s="1109">
        <v>0.1</v>
      </c>
      <c r="G964" s="1109">
        <v>0.0</v>
      </c>
      <c r="H964" s="1107"/>
    </row>
    <row r="965" ht="18.75" customHeight="1">
      <c r="A965" s="1107"/>
      <c r="B965" s="1108" t="s">
        <v>3149</v>
      </c>
      <c r="C965" s="1108" t="s">
        <v>1291</v>
      </c>
      <c r="D965" s="1108" t="s">
        <v>3174</v>
      </c>
      <c r="E965" s="1108" t="s">
        <v>3175</v>
      </c>
      <c r="F965" s="1109">
        <v>0.1</v>
      </c>
      <c r="G965" s="1109">
        <v>0.0</v>
      </c>
      <c r="H965" s="1107"/>
    </row>
    <row r="966" ht="18.75" customHeight="1">
      <c r="A966" s="1107"/>
      <c r="B966" s="1108" t="s">
        <v>3149</v>
      </c>
      <c r="C966" s="1108" t="s">
        <v>1291</v>
      </c>
      <c r="D966" s="1108" t="s">
        <v>3176</v>
      </c>
      <c r="E966" s="1108" t="s">
        <v>3177</v>
      </c>
      <c r="F966" s="1109">
        <v>0.1</v>
      </c>
      <c r="G966" s="1109">
        <v>0.0</v>
      </c>
      <c r="H966" s="1107"/>
    </row>
    <row r="967" ht="18.75" customHeight="1">
      <c r="A967" s="1107"/>
      <c r="B967" s="1108" t="s">
        <v>3149</v>
      </c>
      <c r="C967" s="1108" t="s">
        <v>1291</v>
      </c>
      <c r="D967" s="1108" t="s">
        <v>3178</v>
      </c>
      <c r="E967" s="1108" t="s">
        <v>3179</v>
      </c>
      <c r="F967" s="1109">
        <v>0.1</v>
      </c>
      <c r="G967" s="1109">
        <v>0.0</v>
      </c>
      <c r="H967" s="1107"/>
    </row>
    <row r="968" ht="18.75" customHeight="1">
      <c r="A968" s="1107"/>
      <c r="B968" s="1108" t="s">
        <v>3149</v>
      </c>
      <c r="C968" s="1108" t="s">
        <v>1291</v>
      </c>
      <c r="D968" s="1108" t="s">
        <v>3180</v>
      </c>
      <c r="E968" s="1108" t="s">
        <v>3181</v>
      </c>
      <c r="F968" s="1109">
        <v>0.1</v>
      </c>
      <c r="G968" s="1109">
        <v>0.0</v>
      </c>
      <c r="H968" s="1107"/>
    </row>
    <row r="969" ht="18.75" customHeight="1">
      <c r="A969" s="1107"/>
      <c r="B969" s="1108" t="s">
        <v>3149</v>
      </c>
      <c r="C969" s="1108" t="s">
        <v>1291</v>
      </c>
      <c r="D969" s="1108" t="s">
        <v>3182</v>
      </c>
      <c r="E969" s="1108" t="s">
        <v>3183</v>
      </c>
      <c r="F969" s="1109">
        <v>0.1</v>
      </c>
      <c r="G969" s="1109">
        <v>0.0</v>
      </c>
      <c r="H969" s="1107"/>
    </row>
    <row r="970" ht="18.75" customHeight="1">
      <c r="A970" s="1107"/>
      <c r="B970" s="1108" t="s">
        <v>3149</v>
      </c>
      <c r="C970" s="1108" t="s">
        <v>1291</v>
      </c>
      <c r="D970" s="1108" t="s">
        <v>3184</v>
      </c>
      <c r="E970" s="1108" t="s">
        <v>3185</v>
      </c>
      <c r="F970" s="1109">
        <v>0.1</v>
      </c>
      <c r="G970" s="1109">
        <v>0.0</v>
      </c>
      <c r="H970" s="1107"/>
    </row>
    <row r="971" ht="18.75" customHeight="1">
      <c r="A971" s="1107"/>
      <c r="B971" s="1108" t="s">
        <v>3149</v>
      </c>
      <c r="C971" s="1108" t="s">
        <v>1291</v>
      </c>
      <c r="D971" s="1108" t="s">
        <v>3186</v>
      </c>
      <c r="E971" s="1108" t="s">
        <v>3187</v>
      </c>
      <c r="F971" s="1109">
        <v>0.1</v>
      </c>
      <c r="G971" s="1109">
        <v>0.0</v>
      </c>
      <c r="H971" s="1107"/>
    </row>
    <row r="972" ht="18.75" customHeight="1">
      <c r="A972" s="1107"/>
      <c r="B972" s="1108" t="s">
        <v>3149</v>
      </c>
      <c r="C972" s="1108" t="s">
        <v>1291</v>
      </c>
      <c r="D972" s="1108" t="s">
        <v>3188</v>
      </c>
      <c r="E972" s="1108" t="s">
        <v>3189</v>
      </c>
      <c r="F972" s="1109">
        <v>0.1</v>
      </c>
      <c r="G972" s="1109">
        <v>0.0</v>
      </c>
      <c r="H972" s="1107"/>
    </row>
    <row r="973" ht="18.75" customHeight="1">
      <c r="A973" s="1107"/>
      <c r="B973" s="1108" t="s">
        <v>3149</v>
      </c>
      <c r="C973" s="1108" t="s">
        <v>1291</v>
      </c>
      <c r="D973" s="1108" t="s">
        <v>3190</v>
      </c>
      <c r="E973" s="1108" t="s">
        <v>3191</v>
      </c>
      <c r="F973" s="1109">
        <v>0.1</v>
      </c>
      <c r="G973" s="1109">
        <v>0.0</v>
      </c>
      <c r="H973" s="1107"/>
    </row>
    <row r="974" ht="18.75" customHeight="1">
      <c r="A974" s="1107"/>
      <c r="B974" s="1108" t="s">
        <v>3149</v>
      </c>
      <c r="C974" s="1108" t="s">
        <v>1291</v>
      </c>
      <c r="D974" s="1108" t="s">
        <v>3192</v>
      </c>
      <c r="E974" s="1108" t="s">
        <v>3193</v>
      </c>
      <c r="F974" s="1109">
        <v>0.1</v>
      </c>
      <c r="G974" s="1109">
        <v>0.0</v>
      </c>
      <c r="H974" s="1107"/>
    </row>
    <row r="975" ht="18.75" customHeight="1">
      <c r="A975" s="1107"/>
      <c r="B975" s="1108" t="s">
        <v>3149</v>
      </c>
      <c r="C975" s="1108" t="s">
        <v>1291</v>
      </c>
      <c r="D975" s="1108" t="s">
        <v>3194</v>
      </c>
      <c r="E975" s="1108" t="s">
        <v>3195</v>
      </c>
      <c r="F975" s="1109">
        <v>0.1</v>
      </c>
      <c r="G975" s="1109">
        <v>0.0</v>
      </c>
      <c r="H975" s="1107"/>
    </row>
    <row r="976" ht="18.75" customHeight="1">
      <c r="A976" s="1107"/>
      <c r="B976" s="1108" t="s">
        <v>3149</v>
      </c>
      <c r="C976" s="1108" t="s">
        <v>1291</v>
      </c>
      <c r="D976" s="1108" t="s">
        <v>3196</v>
      </c>
      <c r="E976" s="1108" t="s">
        <v>3197</v>
      </c>
      <c r="F976" s="1109">
        <v>0.1</v>
      </c>
      <c r="G976" s="1109">
        <v>0.0</v>
      </c>
      <c r="H976" s="1107"/>
    </row>
    <row r="977" ht="18.75" customHeight="1">
      <c r="A977" s="1107"/>
      <c r="B977" s="1108" t="s">
        <v>3149</v>
      </c>
      <c r="C977" s="1108" t="s">
        <v>1291</v>
      </c>
      <c r="D977" s="1108" t="s">
        <v>3198</v>
      </c>
      <c r="E977" s="1108" t="s">
        <v>3199</v>
      </c>
      <c r="F977" s="1109">
        <v>0.1</v>
      </c>
      <c r="G977" s="1109">
        <v>0.0</v>
      </c>
      <c r="H977" s="1107"/>
    </row>
    <row r="978" ht="18.75" customHeight="1">
      <c r="A978" s="1107"/>
      <c r="B978" s="1108" t="s">
        <v>3149</v>
      </c>
      <c r="C978" s="1108" t="s">
        <v>1291</v>
      </c>
      <c r="D978" s="1108" t="s">
        <v>3200</v>
      </c>
      <c r="E978" s="1108" t="s">
        <v>3201</v>
      </c>
      <c r="F978" s="1109">
        <v>0.1</v>
      </c>
      <c r="G978" s="1109">
        <v>0.0</v>
      </c>
      <c r="H978" s="1107"/>
    </row>
    <row r="979" ht="18.75" customHeight="1">
      <c r="A979" s="1107"/>
      <c r="B979" s="1108" t="s">
        <v>3149</v>
      </c>
      <c r="C979" s="1108" t="s">
        <v>1291</v>
      </c>
      <c r="D979" s="1108" t="s">
        <v>3202</v>
      </c>
      <c r="E979" s="1108" t="s">
        <v>3203</v>
      </c>
      <c r="F979" s="1109">
        <v>0.1</v>
      </c>
      <c r="G979" s="1109">
        <v>0.0</v>
      </c>
      <c r="H979" s="1107"/>
    </row>
    <row r="980" ht="18.75" customHeight="1">
      <c r="A980" s="1107"/>
      <c r="B980" s="1108" t="s">
        <v>3149</v>
      </c>
      <c r="C980" s="1108" t="s">
        <v>1291</v>
      </c>
      <c r="D980" s="1108" t="s">
        <v>3204</v>
      </c>
      <c r="E980" s="1108" t="s">
        <v>3205</v>
      </c>
      <c r="F980" s="1109">
        <v>0.1</v>
      </c>
      <c r="G980" s="1109">
        <v>0.0</v>
      </c>
      <c r="H980" s="1107"/>
    </row>
    <row r="981" ht="18.75" customHeight="1">
      <c r="A981" s="1107"/>
      <c r="B981" s="1108" t="s">
        <v>3149</v>
      </c>
      <c r="C981" s="1108" t="s">
        <v>1291</v>
      </c>
      <c r="D981" s="1108" t="s">
        <v>673</v>
      </c>
      <c r="E981" s="1108" t="s">
        <v>3206</v>
      </c>
      <c r="F981" s="1109">
        <v>0.1</v>
      </c>
      <c r="G981" s="1109">
        <v>0.0</v>
      </c>
      <c r="H981" s="1107"/>
    </row>
    <row r="982" ht="18.75" customHeight="1">
      <c r="A982" s="1107"/>
      <c r="B982" s="1108" t="s">
        <v>3149</v>
      </c>
      <c r="C982" s="1108" t="s">
        <v>1291</v>
      </c>
      <c r="D982" s="1108" t="s">
        <v>3207</v>
      </c>
      <c r="E982" s="1108" t="s">
        <v>3208</v>
      </c>
      <c r="F982" s="1109">
        <v>0.1</v>
      </c>
      <c r="G982" s="1109">
        <v>0.0</v>
      </c>
      <c r="H982" s="1107"/>
    </row>
    <row r="983" ht="18.75" customHeight="1">
      <c r="A983" s="1107"/>
      <c r="B983" s="1108" t="s">
        <v>3149</v>
      </c>
      <c r="C983" s="1108" t="s">
        <v>1291</v>
      </c>
      <c r="D983" s="1108" t="s">
        <v>611</v>
      </c>
      <c r="E983" s="1108" t="s">
        <v>612</v>
      </c>
      <c r="F983" s="1109">
        <v>0.1</v>
      </c>
      <c r="G983" s="1109">
        <v>0.0</v>
      </c>
      <c r="H983" s="1107"/>
    </row>
    <row r="984" ht="18.75" customHeight="1">
      <c r="A984" s="1107"/>
      <c r="B984" s="1108" t="s">
        <v>3149</v>
      </c>
      <c r="C984" s="1108" t="s">
        <v>1657</v>
      </c>
      <c r="D984" s="1108" t="s">
        <v>3209</v>
      </c>
      <c r="E984" s="1108" t="s">
        <v>3210</v>
      </c>
      <c r="F984" s="1109">
        <v>0.1</v>
      </c>
      <c r="G984" s="1109">
        <v>0.0</v>
      </c>
      <c r="H984" s="1107"/>
    </row>
    <row r="985" ht="18.75" customHeight="1">
      <c r="A985" s="1107"/>
      <c r="B985" s="1108" t="s">
        <v>3149</v>
      </c>
      <c r="C985" s="1108" t="s">
        <v>1657</v>
      </c>
      <c r="D985" s="1108" t="s">
        <v>3211</v>
      </c>
      <c r="E985" s="1108" t="s">
        <v>3212</v>
      </c>
      <c r="F985" s="1109">
        <v>0.1</v>
      </c>
      <c r="G985" s="1109">
        <v>0.0</v>
      </c>
      <c r="H985" s="1107"/>
    </row>
    <row r="986" ht="18.75" customHeight="1">
      <c r="A986" s="1107"/>
      <c r="B986" s="1108" t="s">
        <v>3149</v>
      </c>
      <c r="C986" s="1108" t="s">
        <v>1657</v>
      </c>
      <c r="D986" s="1108" t="s">
        <v>3213</v>
      </c>
      <c r="E986" s="1108" t="s">
        <v>3214</v>
      </c>
      <c r="F986" s="1109">
        <v>0.1</v>
      </c>
      <c r="G986" s="1109">
        <v>0.0</v>
      </c>
      <c r="H986" s="1107"/>
    </row>
    <row r="987" ht="18.75" customHeight="1">
      <c r="A987" s="1107"/>
      <c r="B987" s="1108" t="s">
        <v>3149</v>
      </c>
      <c r="C987" s="1108" t="s">
        <v>1657</v>
      </c>
      <c r="D987" s="1108" t="s">
        <v>3215</v>
      </c>
      <c r="E987" s="1108" t="s">
        <v>3216</v>
      </c>
      <c r="F987" s="1109">
        <v>0.1</v>
      </c>
      <c r="G987" s="1109">
        <v>0.0</v>
      </c>
      <c r="H987" s="1107"/>
    </row>
    <row r="988" ht="18.75" customHeight="1">
      <c r="A988" s="1107"/>
      <c r="B988" s="1108" t="s">
        <v>3149</v>
      </c>
      <c r="C988" s="1108" t="s">
        <v>1657</v>
      </c>
      <c r="D988" s="1108" t="s">
        <v>3217</v>
      </c>
      <c r="E988" s="1108" t="s">
        <v>3218</v>
      </c>
      <c r="F988" s="1109">
        <v>0.1</v>
      </c>
      <c r="G988" s="1109">
        <v>0.0</v>
      </c>
      <c r="H988" s="1107"/>
    </row>
    <row r="989" ht="18.75" customHeight="1">
      <c r="A989" s="1107"/>
      <c r="B989" s="1108" t="s">
        <v>3149</v>
      </c>
      <c r="C989" s="1108" t="s">
        <v>1657</v>
      </c>
      <c r="D989" s="1108" t="s">
        <v>3219</v>
      </c>
      <c r="E989" s="1108" t="s">
        <v>3220</v>
      </c>
      <c r="F989" s="1109">
        <v>0.1</v>
      </c>
      <c r="G989" s="1109">
        <v>0.0</v>
      </c>
      <c r="H989" s="1107"/>
    </row>
    <row r="990" ht="18.75" customHeight="1">
      <c r="A990" s="1107"/>
      <c r="B990" s="1108" t="s">
        <v>3149</v>
      </c>
      <c r="C990" s="1108" t="s">
        <v>1657</v>
      </c>
      <c r="D990" s="1108" t="s">
        <v>3221</v>
      </c>
      <c r="E990" s="1108" t="s">
        <v>3222</v>
      </c>
      <c r="F990" s="1109">
        <v>0.1</v>
      </c>
      <c r="G990" s="1109">
        <v>0.0</v>
      </c>
      <c r="H990" s="1107"/>
    </row>
    <row r="991" ht="18.75" customHeight="1">
      <c r="A991" s="1107"/>
      <c r="B991" s="1108" t="s">
        <v>3149</v>
      </c>
      <c r="C991" s="1108" t="s">
        <v>1657</v>
      </c>
      <c r="D991" s="1108" t="s">
        <v>3223</v>
      </c>
      <c r="E991" s="1108" t="s">
        <v>3224</v>
      </c>
      <c r="F991" s="1109">
        <v>0.1</v>
      </c>
      <c r="G991" s="1109">
        <v>0.0</v>
      </c>
      <c r="H991" s="1107"/>
    </row>
    <row r="992" ht="18.75" customHeight="1">
      <c r="A992" s="1107"/>
      <c r="B992" s="1108" t="s">
        <v>3149</v>
      </c>
      <c r="C992" s="1108" t="s">
        <v>1657</v>
      </c>
      <c r="D992" s="1108" t="s">
        <v>3225</v>
      </c>
      <c r="E992" s="1108" t="s">
        <v>3226</v>
      </c>
      <c r="F992" s="1109">
        <v>0.1</v>
      </c>
      <c r="G992" s="1109">
        <v>0.0</v>
      </c>
      <c r="H992" s="1107"/>
    </row>
    <row r="993" ht="18.75" customHeight="1">
      <c r="A993" s="1107"/>
      <c r="B993" s="1108" t="s">
        <v>3149</v>
      </c>
      <c r="C993" s="1108" t="s">
        <v>1657</v>
      </c>
      <c r="D993" s="1108" t="s">
        <v>3227</v>
      </c>
      <c r="E993" s="1108" t="s">
        <v>3228</v>
      </c>
      <c r="F993" s="1109">
        <v>0.1</v>
      </c>
      <c r="G993" s="1109">
        <v>0.0</v>
      </c>
      <c r="H993" s="1107"/>
    </row>
    <row r="994" ht="18.75" customHeight="1">
      <c r="A994" s="1107"/>
      <c r="B994" s="1108" t="s">
        <v>3149</v>
      </c>
      <c r="C994" s="1108" t="s">
        <v>1657</v>
      </c>
      <c r="D994" s="1108" t="s">
        <v>3229</v>
      </c>
      <c r="E994" s="1108" t="s">
        <v>3230</v>
      </c>
      <c r="F994" s="1109">
        <v>0.1</v>
      </c>
      <c r="G994" s="1109">
        <v>0.0</v>
      </c>
      <c r="H994" s="1107"/>
    </row>
    <row r="995" ht="18.75" customHeight="1">
      <c r="A995" s="1107"/>
      <c r="B995" s="1108" t="s">
        <v>3149</v>
      </c>
      <c r="C995" s="1108" t="s">
        <v>1657</v>
      </c>
      <c r="D995" s="1108" t="s">
        <v>3231</v>
      </c>
      <c r="E995" s="1108" t="s">
        <v>3232</v>
      </c>
      <c r="F995" s="1109">
        <v>0.1</v>
      </c>
      <c r="G995" s="1109">
        <v>0.0</v>
      </c>
      <c r="H995" s="1107"/>
    </row>
    <row r="996" ht="18.75" customHeight="1">
      <c r="A996" s="1107"/>
      <c r="B996" s="1108" t="s">
        <v>3149</v>
      </c>
      <c r="C996" s="1108" t="s">
        <v>1657</v>
      </c>
      <c r="D996" s="1108" t="s">
        <v>3233</v>
      </c>
      <c r="E996" s="1108" t="s">
        <v>3234</v>
      </c>
      <c r="F996" s="1109">
        <v>0.1</v>
      </c>
      <c r="G996" s="1109">
        <v>0.0</v>
      </c>
      <c r="H996" s="1107"/>
    </row>
    <row r="997" ht="18.75" customHeight="1">
      <c r="A997" s="1107"/>
      <c r="B997" s="1108" t="s">
        <v>3149</v>
      </c>
      <c r="C997" s="1108" t="s">
        <v>1657</v>
      </c>
      <c r="D997" s="1108" t="s">
        <v>3235</v>
      </c>
      <c r="E997" s="1108" t="s">
        <v>3236</v>
      </c>
      <c r="F997" s="1109">
        <v>0.1</v>
      </c>
      <c r="G997" s="1109">
        <v>0.0</v>
      </c>
      <c r="H997" s="1107"/>
    </row>
    <row r="998" ht="18.75" customHeight="1">
      <c r="A998" s="1107"/>
      <c r="B998" s="1108" t="s">
        <v>3149</v>
      </c>
      <c r="C998" s="1108" t="s">
        <v>1657</v>
      </c>
      <c r="D998" s="1108" t="s">
        <v>3237</v>
      </c>
      <c r="E998" s="1108" t="s">
        <v>3238</v>
      </c>
      <c r="F998" s="1109">
        <v>0.1</v>
      </c>
      <c r="G998" s="1109">
        <v>0.0</v>
      </c>
      <c r="H998" s="1107"/>
    </row>
    <row r="999" ht="18.75" customHeight="1">
      <c r="A999" s="1107"/>
      <c r="B999" s="1108" t="s">
        <v>3149</v>
      </c>
      <c r="C999" s="1108" t="s">
        <v>1657</v>
      </c>
      <c r="D999" s="1108" t="s">
        <v>3239</v>
      </c>
      <c r="E999" s="1108" t="s">
        <v>3240</v>
      </c>
      <c r="F999" s="1109">
        <v>0.1</v>
      </c>
      <c r="G999" s="1109">
        <v>0.0</v>
      </c>
      <c r="H999" s="1107"/>
    </row>
    <row r="1000" ht="18.75" customHeight="1">
      <c r="A1000" s="1107"/>
      <c r="B1000" s="1108" t="s">
        <v>3149</v>
      </c>
      <c r="C1000" s="1108" t="s">
        <v>1657</v>
      </c>
      <c r="D1000" s="1108" t="s">
        <v>3241</v>
      </c>
      <c r="E1000" s="1108" t="s">
        <v>3242</v>
      </c>
      <c r="F1000" s="1109">
        <v>0.1</v>
      </c>
      <c r="G1000" s="1109">
        <v>0.0</v>
      </c>
      <c r="H1000" s="1107"/>
    </row>
    <row r="1001" ht="18.75" customHeight="1">
      <c r="A1001" s="1107"/>
      <c r="B1001" s="1108" t="s">
        <v>3149</v>
      </c>
      <c r="C1001" s="1108" t="s">
        <v>1657</v>
      </c>
      <c r="D1001" s="1108" t="s">
        <v>3243</v>
      </c>
      <c r="E1001" s="1108" t="s">
        <v>3244</v>
      </c>
      <c r="F1001" s="1109">
        <v>0.1</v>
      </c>
      <c r="G1001" s="1109">
        <v>0.0</v>
      </c>
      <c r="H1001" s="1107"/>
    </row>
    <row r="1002" ht="18.75" customHeight="1">
      <c r="A1002" s="1107"/>
      <c r="B1002" s="1108" t="s">
        <v>3149</v>
      </c>
      <c r="C1002" s="1108" t="s">
        <v>1657</v>
      </c>
      <c r="D1002" s="1108" t="s">
        <v>3245</v>
      </c>
      <c r="E1002" s="1108" t="s">
        <v>3246</v>
      </c>
      <c r="F1002" s="1109">
        <v>0.1</v>
      </c>
      <c r="G1002" s="1109">
        <v>0.0</v>
      </c>
      <c r="H1002" s="1107"/>
    </row>
    <row r="1003" ht="18.75" customHeight="1">
      <c r="A1003" s="1107"/>
      <c r="B1003" s="1108" t="s">
        <v>3149</v>
      </c>
      <c r="C1003" s="1108" t="s">
        <v>1657</v>
      </c>
      <c r="D1003" s="1108" t="s">
        <v>3247</v>
      </c>
      <c r="E1003" s="1108" t="s">
        <v>3248</v>
      </c>
      <c r="F1003" s="1109">
        <v>0.1</v>
      </c>
      <c r="G1003" s="1109">
        <v>0.0</v>
      </c>
      <c r="H1003" s="1107"/>
    </row>
    <row r="1004" ht="18.75" customHeight="1">
      <c r="A1004" s="1107"/>
      <c r="B1004" s="1108" t="s">
        <v>3149</v>
      </c>
      <c r="C1004" s="1108" t="s">
        <v>1657</v>
      </c>
      <c r="D1004" s="1108" t="s">
        <v>3249</v>
      </c>
      <c r="E1004" s="1108" t="s">
        <v>3250</v>
      </c>
      <c r="F1004" s="1109">
        <v>0.1</v>
      </c>
      <c r="G1004" s="1109">
        <v>0.0</v>
      </c>
      <c r="H1004" s="1107"/>
    </row>
    <row r="1005" ht="18.75" customHeight="1">
      <c r="A1005" s="1107"/>
      <c r="B1005" s="1108" t="s">
        <v>3149</v>
      </c>
      <c r="C1005" s="1108" t="s">
        <v>1657</v>
      </c>
      <c r="D1005" s="1108" t="s">
        <v>3251</v>
      </c>
      <c r="E1005" s="1108" t="s">
        <v>3252</v>
      </c>
      <c r="F1005" s="1109">
        <v>0.1</v>
      </c>
      <c r="G1005" s="1109">
        <v>0.0</v>
      </c>
      <c r="H1005" s="1107"/>
    </row>
    <row r="1006" ht="18.75" customHeight="1">
      <c r="A1006" s="1107"/>
      <c r="B1006" s="1108" t="s">
        <v>3149</v>
      </c>
      <c r="C1006" s="1108" t="s">
        <v>1657</v>
      </c>
      <c r="D1006" s="1108" t="s">
        <v>3253</v>
      </c>
      <c r="E1006" s="1108" t="s">
        <v>3254</v>
      </c>
      <c r="F1006" s="1109">
        <v>0.1</v>
      </c>
      <c r="G1006" s="1109">
        <v>0.0</v>
      </c>
      <c r="H1006" s="1107"/>
    </row>
    <row r="1007" ht="18.75" customHeight="1">
      <c r="A1007" s="1107"/>
      <c r="B1007" s="1108" t="s">
        <v>3149</v>
      </c>
      <c r="C1007" s="1108" t="s">
        <v>1657</v>
      </c>
      <c r="D1007" s="1108" t="s">
        <v>3255</v>
      </c>
      <c r="E1007" s="1108" t="s">
        <v>3256</v>
      </c>
      <c r="F1007" s="1109">
        <v>0.1</v>
      </c>
      <c r="G1007" s="1109">
        <v>0.0</v>
      </c>
      <c r="H1007" s="1107"/>
    </row>
    <row r="1008" ht="18.75" customHeight="1">
      <c r="A1008" s="1107"/>
      <c r="B1008" s="1108" t="s">
        <v>3149</v>
      </c>
      <c r="C1008" s="1108" t="s">
        <v>1657</v>
      </c>
      <c r="D1008" s="1108" t="s">
        <v>3257</v>
      </c>
      <c r="E1008" s="1108" t="s">
        <v>3258</v>
      </c>
      <c r="F1008" s="1109">
        <v>0.1</v>
      </c>
      <c r="G1008" s="1109">
        <v>0.0</v>
      </c>
      <c r="H1008" s="1107"/>
    </row>
    <row r="1009" ht="18.75" customHeight="1">
      <c r="A1009" s="1107"/>
      <c r="B1009" s="1108" t="s">
        <v>3149</v>
      </c>
      <c r="C1009" s="1108" t="s">
        <v>1657</v>
      </c>
      <c r="D1009" s="1108" t="s">
        <v>3259</v>
      </c>
      <c r="E1009" s="1108" t="s">
        <v>3260</v>
      </c>
      <c r="F1009" s="1109">
        <v>0.1</v>
      </c>
      <c r="G1009" s="1109">
        <v>0.0</v>
      </c>
      <c r="H1009" s="1107"/>
    </row>
    <row r="1010" ht="18.75" customHeight="1">
      <c r="A1010" s="1107"/>
      <c r="B1010" s="1108" t="s">
        <v>3149</v>
      </c>
      <c r="C1010" s="1108" t="s">
        <v>1657</v>
      </c>
      <c r="D1010" s="1108" t="s">
        <v>3261</v>
      </c>
      <c r="E1010" s="1108" t="s">
        <v>3262</v>
      </c>
      <c r="F1010" s="1109">
        <v>0.1</v>
      </c>
      <c r="G1010" s="1109">
        <v>0.0</v>
      </c>
      <c r="H1010" s="1107"/>
    </row>
    <row r="1011" ht="18.75" customHeight="1">
      <c r="A1011" s="1107"/>
      <c r="B1011" s="1108" t="s">
        <v>3149</v>
      </c>
      <c r="C1011" s="1108" t="s">
        <v>1657</v>
      </c>
      <c r="D1011" s="1108" t="s">
        <v>3263</v>
      </c>
      <c r="E1011" s="1108" t="s">
        <v>3264</v>
      </c>
      <c r="F1011" s="1109">
        <v>0.1</v>
      </c>
      <c r="G1011" s="1109">
        <v>0.0</v>
      </c>
      <c r="H1011" s="1107"/>
    </row>
    <row r="1012" ht="18.75" customHeight="1">
      <c r="A1012" s="1107"/>
      <c r="B1012" s="1108" t="s">
        <v>3149</v>
      </c>
      <c r="C1012" s="1108" t="s">
        <v>1657</v>
      </c>
      <c r="D1012" s="1108" t="s">
        <v>3265</v>
      </c>
      <c r="E1012" s="1108" t="s">
        <v>3266</v>
      </c>
      <c r="F1012" s="1109">
        <v>0.1</v>
      </c>
      <c r="G1012" s="1109">
        <v>0.0</v>
      </c>
      <c r="H1012" s="1107"/>
    </row>
    <row r="1013" ht="18.75" customHeight="1">
      <c r="A1013" s="1107"/>
      <c r="B1013" s="1108" t="s">
        <v>3149</v>
      </c>
      <c r="C1013" s="1108" t="s">
        <v>1657</v>
      </c>
      <c r="D1013" s="1108" t="s">
        <v>3267</v>
      </c>
      <c r="E1013" s="1108" t="s">
        <v>3268</v>
      </c>
      <c r="F1013" s="1109">
        <v>0.1</v>
      </c>
      <c r="G1013" s="1109">
        <v>0.0</v>
      </c>
      <c r="H1013" s="1107"/>
    </row>
    <row r="1014" ht="18.75" customHeight="1">
      <c r="A1014" s="1107"/>
      <c r="B1014" s="1108" t="s">
        <v>3149</v>
      </c>
      <c r="C1014" s="1108" t="s">
        <v>1657</v>
      </c>
      <c r="D1014" s="1108" t="s">
        <v>3269</v>
      </c>
      <c r="E1014" s="1108" t="s">
        <v>3270</v>
      </c>
      <c r="F1014" s="1109">
        <v>0.1</v>
      </c>
      <c r="G1014" s="1109">
        <v>0.0</v>
      </c>
      <c r="H1014" s="1107"/>
    </row>
    <row r="1015" ht="18.75" customHeight="1">
      <c r="A1015" s="1107"/>
      <c r="B1015" s="1108" t="s">
        <v>3149</v>
      </c>
      <c r="C1015" s="1108" t="s">
        <v>1657</v>
      </c>
      <c r="D1015" s="1108" t="s">
        <v>3271</v>
      </c>
      <c r="E1015" s="1108" t="s">
        <v>3272</v>
      </c>
      <c r="F1015" s="1109">
        <v>0.1</v>
      </c>
      <c r="G1015" s="1109">
        <v>0.0</v>
      </c>
      <c r="H1015" s="1107"/>
    </row>
    <row r="1016" ht="18.75" customHeight="1">
      <c r="A1016" s="1107"/>
      <c r="B1016" s="1108" t="s">
        <v>3149</v>
      </c>
      <c r="C1016" s="1108" t="s">
        <v>1657</v>
      </c>
      <c r="D1016" s="1108" t="s">
        <v>3273</v>
      </c>
      <c r="E1016" s="1108" t="s">
        <v>3274</v>
      </c>
      <c r="F1016" s="1109">
        <v>0.1</v>
      </c>
      <c r="G1016" s="1109">
        <v>0.0</v>
      </c>
      <c r="H1016" s="1107"/>
    </row>
    <row r="1017" ht="18.75" customHeight="1">
      <c r="A1017" s="1107"/>
      <c r="B1017" s="1108" t="s">
        <v>3149</v>
      </c>
      <c r="C1017" s="1108" t="s">
        <v>1657</v>
      </c>
      <c r="D1017" s="1108" t="s">
        <v>3275</v>
      </c>
      <c r="E1017" s="1108" t="s">
        <v>3276</v>
      </c>
      <c r="F1017" s="1109">
        <v>0.1</v>
      </c>
      <c r="G1017" s="1109">
        <v>0.0</v>
      </c>
      <c r="H1017" s="1107"/>
    </row>
    <row r="1018" ht="18.75" customHeight="1">
      <c r="A1018" s="1107"/>
      <c r="B1018" s="1108" t="s">
        <v>3149</v>
      </c>
      <c r="C1018" s="1108" t="s">
        <v>1657</v>
      </c>
      <c r="D1018" s="1108" t="s">
        <v>3277</v>
      </c>
      <c r="E1018" s="1108" t="s">
        <v>3278</v>
      </c>
      <c r="F1018" s="1109">
        <v>0.1</v>
      </c>
      <c r="G1018" s="1109">
        <v>0.0</v>
      </c>
      <c r="H1018" s="1107"/>
    </row>
    <row r="1019" ht="18.75" customHeight="1">
      <c r="A1019" s="1107"/>
      <c r="B1019" s="1108" t="s">
        <v>3149</v>
      </c>
      <c r="C1019" s="1108" t="s">
        <v>1657</v>
      </c>
      <c r="D1019" s="1108" t="s">
        <v>3279</v>
      </c>
      <c r="E1019" s="1108" t="s">
        <v>3280</v>
      </c>
      <c r="F1019" s="1109">
        <v>0.1</v>
      </c>
      <c r="G1019" s="1109">
        <v>0.0</v>
      </c>
      <c r="H1019" s="1107"/>
    </row>
    <row r="1020" ht="18.75" customHeight="1">
      <c r="A1020" s="1107"/>
      <c r="B1020" s="1108" t="s">
        <v>3149</v>
      </c>
      <c r="C1020" s="1108" t="s">
        <v>1657</v>
      </c>
      <c r="D1020" s="1108" t="s">
        <v>3281</v>
      </c>
      <c r="E1020" s="1108" t="s">
        <v>3282</v>
      </c>
      <c r="F1020" s="1109">
        <v>0.1</v>
      </c>
      <c r="G1020" s="1109">
        <v>0.0</v>
      </c>
      <c r="H1020" s="1107"/>
    </row>
    <row r="1021" ht="18.75" customHeight="1">
      <c r="A1021" s="1107"/>
      <c r="B1021" s="1108" t="s">
        <v>3149</v>
      </c>
      <c r="C1021" s="1108" t="s">
        <v>1657</v>
      </c>
      <c r="D1021" s="1108" t="s">
        <v>3283</v>
      </c>
      <c r="E1021" s="1108" t="s">
        <v>3284</v>
      </c>
      <c r="F1021" s="1109">
        <v>0.1</v>
      </c>
      <c r="G1021" s="1109">
        <v>0.0</v>
      </c>
      <c r="H1021" s="1107"/>
    </row>
    <row r="1022" ht="18.75" customHeight="1">
      <c r="A1022" s="1107"/>
      <c r="B1022" s="1108" t="s">
        <v>3149</v>
      </c>
      <c r="C1022" s="1108" t="s">
        <v>1657</v>
      </c>
      <c r="D1022" s="1108" t="s">
        <v>3285</v>
      </c>
      <c r="E1022" s="1108" t="s">
        <v>3286</v>
      </c>
      <c r="F1022" s="1109">
        <v>0.1</v>
      </c>
      <c r="G1022" s="1109">
        <v>0.0</v>
      </c>
      <c r="H1022" s="1107"/>
    </row>
    <row r="1023" ht="18.75" customHeight="1">
      <c r="A1023" s="1107"/>
      <c r="B1023" s="1108" t="s">
        <v>3149</v>
      </c>
      <c r="C1023" s="1108" t="s">
        <v>1657</v>
      </c>
      <c r="D1023" s="1108" t="s">
        <v>3287</v>
      </c>
      <c r="E1023" s="1108" t="s">
        <v>3288</v>
      </c>
      <c r="F1023" s="1109">
        <v>0.1</v>
      </c>
      <c r="G1023" s="1109">
        <v>0.0</v>
      </c>
      <c r="H1023" s="1107"/>
    </row>
    <row r="1024" ht="18.75" customHeight="1">
      <c r="A1024" s="1107"/>
      <c r="B1024" s="1108" t="s">
        <v>3149</v>
      </c>
      <c r="C1024" s="1108" t="s">
        <v>1657</v>
      </c>
      <c r="D1024" s="1108" t="s">
        <v>3289</v>
      </c>
      <c r="E1024" s="1108" t="s">
        <v>3290</v>
      </c>
      <c r="F1024" s="1109">
        <v>0.1</v>
      </c>
      <c r="G1024" s="1109">
        <v>0.0</v>
      </c>
      <c r="H1024" s="1107"/>
    </row>
    <row r="1025" ht="18.75" customHeight="1">
      <c r="A1025" s="1107"/>
      <c r="B1025" s="1108" t="s">
        <v>3291</v>
      </c>
      <c r="C1025" s="1108" t="s">
        <v>3292</v>
      </c>
      <c r="D1025" s="1108" t="s">
        <v>3293</v>
      </c>
      <c r="E1025" s="1108" t="s">
        <v>3294</v>
      </c>
      <c r="F1025" s="1109">
        <v>0.1</v>
      </c>
      <c r="G1025" s="1109">
        <v>0.0</v>
      </c>
      <c r="H1025" s="1107"/>
    </row>
    <row r="1026" ht="18.75" customHeight="1">
      <c r="A1026" s="1107"/>
      <c r="B1026" s="1108" t="s">
        <v>3291</v>
      </c>
      <c r="C1026" s="1108" t="s">
        <v>3292</v>
      </c>
      <c r="D1026" s="1108" t="s">
        <v>3295</v>
      </c>
      <c r="E1026" s="1108" t="s">
        <v>3296</v>
      </c>
      <c r="F1026" s="1109">
        <v>0.1</v>
      </c>
      <c r="G1026" s="1109">
        <v>0.0</v>
      </c>
      <c r="H1026" s="1107"/>
    </row>
    <row r="1027" ht="18.75" customHeight="1">
      <c r="A1027" s="1107"/>
      <c r="B1027" s="1108" t="s">
        <v>3291</v>
      </c>
      <c r="C1027" s="1108" t="s">
        <v>3292</v>
      </c>
      <c r="D1027" s="1108" t="s">
        <v>3297</v>
      </c>
      <c r="E1027" s="1108" t="s">
        <v>3298</v>
      </c>
      <c r="F1027" s="1109">
        <v>0.1</v>
      </c>
      <c r="G1027" s="1109">
        <v>0.0</v>
      </c>
      <c r="H1027" s="1107"/>
    </row>
    <row r="1028" ht="18.75" customHeight="1">
      <c r="A1028" s="1107"/>
      <c r="B1028" s="1108" t="s">
        <v>3291</v>
      </c>
      <c r="C1028" s="1108" t="s">
        <v>3292</v>
      </c>
      <c r="D1028" s="1108" t="s">
        <v>3299</v>
      </c>
      <c r="E1028" s="1108" t="s">
        <v>3300</v>
      </c>
      <c r="F1028" s="1109">
        <v>0.1</v>
      </c>
      <c r="G1028" s="1109">
        <v>0.0</v>
      </c>
      <c r="H1028" s="1107"/>
    </row>
    <row r="1029" ht="18.75" customHeight="1">
      <c r="A1029" s="1107"/>
      <c r="B1029" s="1108" t="s">
        <v>3291</v>
      </c>
      <c r="C1029" s="1108" t="s">
        <v>3292</v>
      </c>
      <c r="D1029" s="1108" t="s">
        <v>3301</v>
      </c>
      <c r="E1029" s="1108" t="s">
        <v>3302</v>
      </c>
      <c r="F1029" s="1109">
        <v>0.1</v>
      </c>
      <c r="G1029" s="1109">
        <v>0.0</v>
      </c>
      <c r="H1029" s="1107"/>
    </row>
    <row r="1030" ht="18.75" customHeight="1">
      <c r="A1030" s="1107"/>
      <c r="B1030" s="1108" t="s">
        <v>3291</v>
      </c>
      <c r="C1030" s="1108" t="s">
        <v>3292</v>
      </c>
      <c r="D1030" s="1108" t="s">
        <v>3303</v>
      </c>
      <c r="E1030" s="1108" t="s">
        <v>3304</v>
      </c>
      <c r="F1030" s="1109">
        <v>0.1</v>
      </c>
      <c r="G1030" s="1109">
        <v>0.0</v>
      </c>
      <c r="H1030" s="1107"/>
    </row>
    <row r="1031" ht="18.75" customHeight="1">
      <c r="A1031" s="1107"/>
      <c r="B1031" s="1108" t="s">
        <v>3291</v>
      </c>
      <c r="C1031" s="1108" t="s">
        <v>3305</v>
      </c>
      <c r="D1031" s="1108" t="s">
        <v>555</v>
      </c>
      <c r="E1031" s="1108" t="s">
        <v>3306</v>
      </c>
      <c r="F1031" s="1109">
        <v>0.1</v>
      </c>
      <c r="G1031" s="1109">
        <v>0.0</v>
      </c>
      <c r="H1031" s="1107"/>
    </row>
    <row r="1032" ht="18.75" customHeight="1">
      <c r="A1032" s="1107"/>
      <c r="B1032" s="1108" t="s">
        <v>3291</v>
      </c>
      <c r="C1032" s="1108" t="s">
        <v>3292</v>
      </c>
      <c r="D1032" s="1108" t="s">
        <v>3307</v>
      </c>
      <c r="E1032" s="1108" t="s">
        <v>3308</v>
      </c>
      <c r="F1032" s="1109">
        <v>0.1</v>
      </c>
      <c r="G1032" s="1109">
        <v>0.0</v>
      </c>
      <c r="H1032" s="1107"/>
    </row>
    <row r="1033" ht="18.75" customHeight="1">
      <c r="A1033" s="1107"/>
      <c r="B1033" s="1108" t="s">
        <v>3291</v>
      </c>
      <c r="C1033" s="1108" t="s">
        <v>3292</v>
      </c>
      <c r="D1033" s="1108" t="s">
        <v>3309</v>
      </c>
      <c r="E1033" s="1108" t="s">
        <v>3310</v>
      </c>
      <c r="F1033" s="1109">
        <v>0.1</v>
      </c>
      <c r="G1033" s="1109">
        <v>0.0</v>
      </c>
      <c r="H1033" s="1107"/>
    </row>
    <row r="1034" ht="18.75" customHeight="1">
      <c r="A1034" s="1107"/>
      <c r="B1034" s="1108" t="s">
        <v>3291</v>
      </c>
      <c r="C1034" s="1108" t="s">
        <v>3292</v>
      </c>
      <c r="D1034" s="1108" t="s">
        <v>3311</v>
      </c>
      <c r="E1034" s="1108" t="s">
        <v>3312</v>
      </c>
      <c r="F1034" s="1109">
        <v>0.1</v>
      </c>
      <c r="G1034" s="1109">
        <v>0.0</v>
      </c>
      <c r="H1034" s="1107"/>
    </row>
    <row r="1035" ht="18.75" customHeight="1">
      <c r="A1035" s="1107"/>
      <c r="B1035" s="1108" t="s">
        <v>3291</v>
      </c>
      <c r="C1035" s="1108" t="s">
        <v>3292</v>
      </c>
      <c r="D1035" s="1108" t="s">
        <v>3313</v>
      </c>
      <c r="E1035" s="1108" t="s">
        <v>3314</v>
      </c>
      <c r="F1035" s="1109">
        <v>0.1</v>
      </c>
      <c r="G1035" s="1109">
        <v>0.0</v>
      </c>
      <c r="H1035" s="1107"/>
    </row>
    <row r="1036" ht="18.75" customHeight="1">
      <c r="A1036" s="1107"/>
      <c r="B1036" s="1108" t="s">
        <v>3291</v>
      </c>
      <c r="C1036" s="1108" t="s">
        <v>3292</v>
      </c>
      <c r="D1036" s="1108" t="s">
        <v>3315</v>
      </c>
      <c r="E1036" s="1108" t="s">
        <v>3316</v>
      </c>
      <c r="F1036" s="1109">
        <v>0.1</v>
      </c>
      <c r="G1036" s="1109">
        <v>0.0</v>
      </c>
      <c r="H1036" s="1107"/>
    </row>
    <row r="1037" ht="18.75" customHeight="1">
      <c r="A1037" s="1107"/>
      <c r="B1037" s="1108" t="s">
        <v>3291</v>
      </c>
      <c r="C1037" s="1108" t="s">
        <v>3305</v>
      </c>
      <c r="D1037" s="1108" t="s">
        <v>561</v>
      </c>
      <c r="E1037" s="1108" t="s">
        <v>3317</v>
      </c>
      <c r="F1037" s="1109">
        <v>0.1</v>
      </c>
      <c r="G1037" s="1109">
        <v>0.0</v>
      </c>
      <c r="H1037" s="1107"/>
    </row>
    <row r="1038" ht="18.75" customHeight="1">
      <c r="A1038" s="1107"/>
      <c r="B1038" s="1108" t="s">
        <v>3291</v>
      </c>
      <c r="C1038" s="1108" t="s">
        <v>3292</v>
      </c>
      <c r="D1038" s="1108" t="s">
        <v>3318</v>
      </c>
      <c r="E1038" s="1108" t="s">
        <v>3319</v>
      </c>
      <c r="F1038" s="1109">
        <v>0.1</v>
      </c>
      <c r="G1038" s="1109">
        <v>0.0</v>
      </c>
      <c r="H1038" s="1107"/>
    </row>
    <row r="1039" ht="18.75" customHeight="1">
      <c r="A1039" s="1107"/>
      <c r="B1039" s="1108" t="s">
        <v>3291</v>
      </c>
      <c r="C1039" s="1108" t="s">
        <v>3292</v>
      </c>
      <c r="D1039" s="1108" t="s">
        <v>3320</v>
      </c>
      <c r="E1039" s="1108" t="s">
        <v>3321</v>
      </c>
      <c r="F1039" s="1109">
        <v>0.1</v>
      </c>
      <c r="G1039" s="1109">
        <v>0.0</v>
      </c>
      <c r="H1039" s="1107"/>
    </row>
    <row r="1040" ht="18.75" customHeight="1">
      <c r="A1040" s="1107"/>
      <c r="B1040" s="1108" t="s">
        <v>3291</v>
      </c>
      <c r="C1040" s="1108" t="s">
        <v>3292</v>
      </c>
      <c r="D1040" s="1108" t="s">
        <v>3322</v>
      </c>
      <c r="E1040" s="1108" t="s">
        <v>3323</v>
      </c>
      <c r="F1040" s="1109">
        <v>0.1</v>
      </c>
      <c r="G1040" s="1109">
        <v>0.0</v>
      </c>
      <c r="H1040" s="1107"/>
    </row>
    <row r="1041" ht="18.75" customHeight="1">
      <c r="A1041" s="1107"/>
      <c r="B1041" s="1108" t="s">
        <v>3291</v>
      </c>
      <c r="C1041" s="1108" t="s">
        <v>3292</v>
      </c>
      <c r="D1041" s="1108" t="s">
        <v>3324</v>
      </c>
      <c r="E1041" s="1108" t="s">
        <v>3325</v>
      </c>
      <c r="F1041" s="1109">
        <v>0.1</v>
      </c>
      <c r="G1041" s="1109">
        <v>0.0</v>
      </c>
      <c r="H1041" s="1107"/>
    </row>
    <row r="1042" ht="18.75" customHeight="1">
      <c r="A1042" s="1107"/>
      <c r="B1042" s="1108" t="s">
        <v>3291</v>
      </c>
      <c r="C1042" s="1108" t="s">
        <v>3305</v>
      </c>
      <c r="D1042" s="1108" t="s">
        <v>565</v>
      </c>
      <c r="E1042" s="1108" t="s">
        <v>3326</v>
      </c>
      <c r="F1042" s="1109">
        <v>0.1</v>
      </c>
      <c r="G1042" s="1109">
        <v>0.0</v>
      </c>
      <c r="H1042" s="1107"/>
    </row>
    <row r="1043" ht="18.75" customHeight="1">
      <c r="A1043" s="1107"/>
      <c r="B1043" s="1108" t="s">
        <v>3291</v>
      </c>
      <c r="C1043" s="1108" t="s">
        <v>3292</v>
      </c>
      <c r="D1043" s="1108" t="s">
        <v>3327</v>
      </c>
      <c r="E1043" s="1108" t="s">
        <v>3328</v>
      </c>
      <c r="F1043" s="1109">
        <v>0.1</v>
      </c>
      <c r="G1043" s="1109">
        <v>0.0</v>
      </c>
      <c r="H1043" s="1107"/>
    </row>
    <row r="1044" ht="18.75" customHeight="1">
      <c r="A1044" s="1107"/>
      <c r="B1044" s="1108" t="s">
        <v>3291</v>
      </c>
      <c r="C1044" s="1108" t="s">
        <v>3292</v>
      </c>
      <c r="D1044" s="1108" t="s">
        <v>3329</v>
      </c>
      <c r="E1044" s="1108" t="s">
        <v>3330</v>
      </c>
      <c r="F1044" s="1109">
        <v>0.1</v>
      </c>
      <c r="G1044" s="1109">
        <v>0.0</v>
      </c>
      <c r="H1044" s="1107"/>
    </row>
    <row r="1045" ht="18.75" customHeight="1">
      <c r="A1045" s="1107"/>
      <c r="B1045" s="1108" t="s">
        <v>3291</v>
      </c>
      <c r="C1045" s="1108" t="s">
        <v>3292</v>
      </c>
      <c r="D1045" s="1108" t="s">
        <v>3331</v>
      </c>
      <c r="E1045" s="1108" t="s">
        <v>3332</v>
      </c>
      <c r="F1045" s="1109">
        <v>0.1</v>
      </c>
      <c r="G1045" s="1109">
        <v>0.0</v>
      </c>
      <c r="H1045" s="1107"/>
    </row>
    <row r="1046" ht="18.75" customHeight="1">
      <c r="A1046" s="1107"/>
      <c r="B1046" s="1108" t="s">
        <v>3291</v>
      </c>
      <c r="C1046" s="1108" t="s">
        <v>3292</v>
      </c>
      <c r="D1046" s="1108" t="s">
        <v>3333</v>
      </c>
      <c r="E1046" s="1108" t="s">
        <v>3334</v>
      </c>
      <c r="F1046" s="1109">
        <v>0.1</v>
      </c>
      <c r="G1046" s="1109">
        <v>0.0</v>
      </c>
      <c r="H1046" s="1107"/>
    </row>
    <row r="1047" ht="18.75" customHeight="1">
      <c r="A1047" s="1107"/>
      <c r="B1047" s="1108" t="s">
        <v>3291</v>
      </c>
      <c r="C1047" s="1108" t="s">
        <v>3292</v>
      </c>
      <c r="D1047" s="1108" t="s">
        <v>3335</v>
      </c>
      <c r="E1047" s="1108" t="s">
        <v>3336</v>
      </c>
      <c r="F1047" s="1109">
        <v>0.1</v>
      </c>
      <c r="G1047" s="1109">
        <v>0.0</v>
      </c>
      <c r="H1047" s="1107"/>
    </row>
    <row r="1048" ht="18.75" customHeight="1">
      <c r="A1048" s="1107"/>
      <c r="B1048" s="1108" t="s">
        <v>3291</v>
      </c>
      <c r="C1048" s="1108" t="s">
        <v>3305</v>
      </c>
      <c r="D1048" s="1108" t="s">
        <v>569</v>
      </c>
      <c r="E1048" s="1108" t="s">
        <v>3337</v>
      </c>
      <c r="F1048" s="1109">
        <v>0.1</v>
      </c>
      <c r="G1048" s="1109">
        <v>0.0</v>
      </c>
      <c r="H1048" s="1107"/>
    </row>
    <row r="1049" ht="18.75" customHeight="1">
      <c r="A1049" s="1107"/>
      <c r="B1049" s="1108" t="s">
        <v>3291</v>
      </c>
      <c r="C1049" s="1108" t="s">
        <v>3292</v>
      </c>
      <c r="D1049" s="1108" t="s">
        <v>3338</v>
      </c>
      <c r="E1049" s="1108" t="s">
        <v>3339</v>
      </c>
      <c r="F1049" s="1109">
        <v>0.1</v>
      </c>
      <c r="G1049" s="1109">
        <v>0.0</v>
      </c>
      <c r="H1049" s="1107"/>
    </row>
    <row r="1050" ht="18.75" customHeight="1">
      <c r="A1050" s="1107"/>
      <c r="B1050" s="1108" t="s">
        <v>3291</v>
      </c>
      <c r="C1050" s="1108" t="s">
        <v>3292</v>
      </c>
      <c r="D1050" s="1108" t="s">
        <v>3340</v>
      </c>
      <c r="E1050" s="1108" t="s">
        <v>3341</v>
      </c>
      <c r="F1050" s="1109">
        <v>0.1</v>
      </c>
      <c r="G1050" s="1109">
        <v>0.0</v>
      </c>
      <c r="H1050" s="1107"/>
    </row>
    <row r="1051" ht="18.75" customHeight="1">
      <c r="A1051" s="1107"/>
      <c r="B1051" s="1108" t="s">
        <v>3291</v>
      </c>
      <c r="C1051" s="1108" t="s">
        <v>3292</v>
      </c>
      <c r="D1051" s="1108" t="s">
        <v>3342</v>
      </c>
      <c r="E1051" s="1108" t="s">
        <v>3343</v>
      </c>
      <c r="F1051" s="1109">
        <v>0.1</v>
      </c>
      <c r="G1051" s="1109">
        <v>0.0</v>
      </c>
      <c r="H1051" s="1107"/>
    </row>
    <row r="1052" ht="18.75" customHeight="1">
      <c r="A1052" s="1107"/>
      <c r="B1052" s="1108" t="s">
        <v>3291</v>
      </c>
      <c r="C1052" s="1108" t="s">
        <v>3292</v>
      </c>
      <c r="D1052" s="1108" t="s">
        <v>3344</v>
      </c>
      <c r="E1052" s="1108" t="s">
        <v>3345</v>
      </c>
      <c r="F1052" s="1109">
        <v>0.1</v>
      </c>
      <c r="G1052" s="1109">
        <v>0.0</v>
      </c>
      <c r="H1052" s="1107"/>
    </row>
    <row r="1053" ht="18.75" customHeight="1">
      <c r="A1053" s="1107"/>
      <c r="B1053" s="1108" t="s">
        <v>3291</v>
      </c>
      <c r="C1053" s="1108" t="s">
        <v>3305</v>
      </c>
      <c r="D1053" s="1108" t="s">
        <v>573</v>
      </c>
      <c r="E1053" s="1108" t="s">
        <v>3346</v>
      </c>
      <c r="F1053" s="1109">
        <v>0.1</v>
      </c>
      <c r="G1053" s="1109">
        <v>0.0</v>
      </c>
      <c r="H1053" s="1107"/>
    </row>
    <row r="1054" ht="18.75" customHeight="1">
      <c r="A1054" s="1107"/>
      <c r="B1054" s="1108" t="s">
        <v>3291</v>
      </c>
      <c r="C1054" s="1108" t="s">
        <v>3292</v>
      </c>
      <c r="D1054" s="1108" t="s">
        <v>3347</v>
      </c>
      <c r="E1054" s="1108" t="s">
        <v>3348</v>
      </c>
      <c r="F1054" s="1109">
        <v>0.1</v>
      </c>
      <c r="G1054" s="1109">
        <v>0.0</v>
      </c>
      <c r="H1054" s="1107"/>
    </row>
    <row r="1055" ht="18.75" customHeight="1">
      <c r="A1055" s="1107"/>
      <c r="B1055" s="1108" t="s">
        <v>3291</v>
      </c>
      <c r="C1055" s="1108" t="s">
        <v>3292</v>
      </c>
      <c r="D1055" s="1108" t="s">
        <v>3349</v>
      </c>
      <c r="E1055" s="1108" t="s">
        <v>3350</v>
      </c>
      <c r="F1055" s="1109">
        <v>0.1</v>
      </c>
      <c r="G1055" s="1109">
        <v>0.0</v>
      </c>
      <c r="H1055" s="1107"/>
    </row>
    <row r="1056" ht="18.75" customHeight="1">
      <c r="A1056" s="1107"/>
      <c r="B1056" s="1108" t="s">
        <v>3291</v>
      </c>
      <c r="C1056" s="1108" t="s">
        <v>3292</v>
      </c>
      <c r="D1056" s="1108" t="s">
        <v>3351</v>
      </c>
      <c r="E1056" s="1108" t="s">
        <v>3352</v>
      </c>
      <c r="F1056" s="1109">
        <v>0.1</v>
      </c>
      <c r="G1056" s="1109">
        <v>0.0</v>
      </c>
      <c r="H1056" s="1107"/>
    </row>
    <row r="1057" ht="18.75" customHeight="1">
      <c r="A1057" s="1107"/>
      <c r="B1057" s="1108" t="s">
        <v>3291</v>
      </c>
      <c r="C1057" s="1108" t="s">
        <v>3292</v>
      </c>
      <c r="D1057" s="1108" t="s">
        <v>3353</v>
      </c>
      <c r="E1057" s="1108" t="s">
        <v>3354</v>
      </c>
      <c r="F1057" s="1109">
        <v>0.1</v>
      </c>
      <c r="G1057" s="1109">
        <v>0.0</v>
      </c>
      <c r="H1057" s="1107"/>
    </row>
    <row r="1058" ht="18.75" customHeight="1">
      <c r="A1058" s="1107"/>
      <c r="B1058" s="1108" t="s">
        <v>3291</v>
      </c>
      <c r="C1058" s="1108" t="s">
        <v>3292</v>
      </c>
      <c r="D1058" s="1108" t="s">
        <v>3355</v>
      </c>
      <c r="E1058" s="1108" t="s">
        <v>3356</v>
      </c>
      <c r="F1058" s="1109">
        <v>0.1</v>
      </c>
      <c r="G1058" s="1109">
        <v>0.0</v>
      </c>
      <c r="H1058" s="1107"/>
    </row>
    <row r="1059" ht="18.75" customHeight="1">
      <c r="A1059" s="1107"/>
      <c r="B1059" s="1108" t="s">
        <v>3291</v>
      </c>
      <c r="C1059" s="1108" t="s">
        <v>3305</v>
      </c>
      <c r="D1059" s="1108" t="s">
        <v>577</v>
      </c>
      <c r="E1059" s="1108" t="s">
        <v>3357</v>
      </c>
      <c r="F1059" s="1109">
        <v>0.1</v>
      </c>
      <c r="G1059" s="1109">
        <v>0.0</v>
      </c>
      <c r="H1059" s="1107"/>
    </row>
    <row r="1060" ht="18.75" customHeight="1">
      <c r="A1060" s="1107"/>
      <c r="B1060" s="1108" t="s">
        <v>3291</v>
      </c>
      <c r="C1060" s="1108" t="s">
        <v>3292</v>
      </c>
      <c r="D1060" s="1108" t="s">
        <v>3358</v>
      </c>
      <c r="E1060" s="1108" t="s">
        <v>3359</v>
      </c>
      <c r="F1060" s="1109">
        <v>0.1</v>
      </c>
      <c r="G1060" s="1109">
        <v>0.0</v>
      </c>
      <c r="H1060" s="1107"/>
    </row>
    <row r="1061" ht="18.75" customHeight="1">
      <c r="A1061" s="1107"/>
      <c r="B1061" s="1108" t="s">
        <v>3291</v>
      </c>
      <c r="C1061" s="1108" t="s">
        <v>3292</v>
      </c>
      <c r="D1061" s="1108" t="s">
        <v>3360</v>
      </c>
      <c r="E1061" s="1108" t="s">
        <v>3361</v>
      </c>
      <c r="F1061" s="1109">
        <v>0.1</v>
      </c>
      <c r="G1061" s="1109">
        <v>0.0</v>
      </c>
      <c r="H1061" s="1107"/>
    </row>
    <row r="1062" ht="18.75" customHeight="1">
      <c r="A1062" s="1107"/>
      <c r="B1062" s="1108" t="s">
        <v>3291</v>
      </c>
      <c r="C1062" s="1108" t="s">
        <v>3305</v>
      </c>
      <c r="D1062" s="1108" t="s">
        <v>581</v>
      </c>
      <c r="E1062" s="1108" t="s">
        <v>3362</v>
      </c>
      <c r="F1062" s="1109">
        <v>0.1</v>
      </c>
      <c r="G1062" s="1109">
        <v>0.0</v>
      </c>
      <c r="H1062" s="1107"/>
    </row>
    <row r="1063" ht="18.75" customHeight="1">
      <c r="A1063" s="1107"/>
      <c r="B1063" s="1108" t="s">
        <v>3291</v>
      </c>
      <c r="C1063" s="1108" t="s">
        <v>3292</v>
      </c>
      <c r="D1063" s="1108" t="s">
        <v>3363</v>
      </c>
      <c r="E1063" s="1108" t="s">
        <v>3364</v>
      </c>
      <c r="F1063" s="1109">
        <v>0.1</v>
      </c>
      <c r="G1063" s="1109">
        <v>0.0</v>
      </c>
      <c r="H1063" s="1107"/>
    </row>
    <row r="1064" ht="18.75" customHeight="1">
      <c r="A1064" s="1107"/>
      <c r="B1064" s="1108" t="s">
        <v>3291</v>
      </c>
      <c r="C1064" s="1108" t="s">
        <v>3292</v>
      </c>
      <c r="D1064" s="1108" t="s">
        <v>3365</v>
      </c>
      <c r="E1064" s="1108" t="s">
        <v>3366</v>
      </c>
      <c r="F1064" s="1109">
        <v>0.1</v>
      </c>
      <c r="G1064" s="1109">
        <v>0.0</v>
      </c>
      <c r="H1064" s="1107"/>
    </row>
    <row r="1065" ht="18.75" customHeight="1">
      <c r="A1065" s="1107"/>
      <c r="B1065" s="1108" t="s">
        <v>3291</v>
      </c>
      <c r="C1065" s="1108" t="s">
        <v>3305</v>
      </c>
      <c r="D1065" s="1108" t="s">
        <v>585</v>
      </c>
      <c r="E1065" s="1108" t="s">
        <v>3367</v>
      </c>
      <c r="F1065" s="1109">
        <v>0.1</v>
      </c>
      <c r="G1065" s="1109">
        <v>0.0</v>
      </c>
      <c r="H1065" s="1107"/>
    </row>
    <row r="1066" ht="18.75" customHeight="1">
      <c r="A1066" s="1107"/>
      <c r="B1066" s="1108" t="s">
        <v>3291</v>
      </c>
      <c r="C1066" s="1108" t="s">
        <v>3292</v>
      </c>
      <c r="D1066" s="1108" t="s">
        <v>3368</v>
      </c>
      <c r="E1066" s="1108" t="s">
        <v>3369</v>
      </c>
      <c r="F1066" s="1109">
        <v>0.1</v>
      </c>
      <c r="G1066" s="1109">
        <v>0.0</v>
      </c>
      <c r="H1066" s="1107"/>
    </row>
    <row r="1067" ht="18.75" customHeight="1">
      <c r="A1067" s="1107"/>
      <c r="B1067" s="1108" t="s">
        <v>3291</v>
      </c>
      <c r="C1067" s="1108" t="s">
        <v>3305</v>
      </c>
      <c r="D1067" s="1108" t="s">
        <v>589</v>
      </c>
      <c r="E1067" s="1108" t="s">
        <v>3370</v>
      </c>
      <c r="F1067" s="1109">
        <v>0.1</v>
      </c>
      <c r="G1067" s="1109">
        <v>0.0</v>
      </c>
      <c r="H1067" s="1107"/>
    </row>
    <row r="1068" ht="18.75" customHeight="1">
      <c r="A1068" s="1107"/>
      <c r="B1068" s="1108" t="s">
        <v>3291</v>
      </c>
      <c r="C1068" s="1108" t="s">
        <v>3292</v>
      </c>
      <c r="D1068" s="1108" t="s">
        <v>3371</v>
      </c>
      <c r="E1068" s="1108" t="s">
        <v>3372</v>
      </c>
      <c r="F1068" s="1109">
        <v>0.1</v>
      </c>
      <c r="G1068" s="1109">
        <v>0.0</v>
      </c>
      <c r="H1068" s="1107"/>
    </row>
    <row r="1069" ht="18.75" customHeight="1">
      <c r="A1069" s="1107"/>
      <c r="B1069" s="1108" t="s">
        <v>3291</v>
      </c>
      <c r="C1069" s="1108" t="s">
        <v>3292</v>
      </c>
      <c r="D1069" s="1108" t="s">
        <v>3373</v>
      </c>
      <c r="E1069" s="1108" t="s">
        <v>3374</v>
      </c>
      <c r="F1069" s="1109">
        <v>0.1</v>
      </c>
      <c r="G1069" s="1109">
        <v>0.0</v>
      </c>
      <c r="H1069" s="1107"/>
    </row>
    <row r="1070" ht="18.75" customHeight="1">
      <c r="A1070" s="1107"/>
      <c r="B1070" s="1108" t="s">
        <v>3291</v>
      </c>
      <c r="C1070" s="1108" t="s">
        <v>3292</v>
      </c>
      <c r="D1070" s="1108" t="s">
        <v>3375</v>
      </c>
      <c r="E1070" s="1108" t="s">
        <v>3376</v>
      </c>
      <c r="F1070" s="1109">
        <v>0.1</v>
      </c>
      <c r="G1070" s="1109">
        <v>0.0</v>
      </c>
      <c r="H1070" s="1107"/>
    </row>
    <row r="1071" ht="18.75" customHeight="1">
      <c r="A1071" s="1107"/>
      <c r="B1071" s="1108" t="s">
        <v>3291</v>
      </c>
      <c r="C1071" s="1108" t="s">
        <v>3292</v>
      </c>
      <c r="D1071" s="1108" t="s">
        <v>3377</v>
      </c>
      <c r="E1071" s="1108" t="s">
        <v>3378</v>
      </c>
      <c r="F1071" s="1109">
        <v>0.1</v>
      </c>
      <c r="G1071" s="1109">
        <v>0.0</v>
      </c>
      <c r="H1071" s="1107"/>
    </row>
    <row r="1072" ht="18.75" customHeight="1">
      <c r="A1072" s="1107"/>
      <c r="B1072" s="1108" t="s">
        <v>3291</v>
      </c>
      <c r="C1072" s="1108" t="s">
        <v>3292</v>
      </c>
      <c r="D1072" s="1108" t="s">
        <v>3379</v>
      </c>
      <c r="E1072" s="1108" t="s">
        <v>3380</v>
      </c>
      <c r="F1072" s="1109">
        <v>0.1</v>
      </c>
      <c r="G1072" s="1109">
        <v>0.0</v>
      </c>
      <c r="H1072" s="1107"/>
    </row>
    <row r="1073" ht="18.75" customHeight="1">
      <c r="A1073" s="1107"/>
      <c r="B1073" s="1108" t="s">
        <v>3291</v>
      </c>
      <c r="C1073" s="1108" t="s">
        <v>3292</v>
      </c>
      <c r="D1073" s="1108" t="s">
        <v>3381</v>
      </c>
      <c r="E1073" s="1108" t="s">
        <v>3382</v>
      </c>
      <c r="F1073" s="1109">
        <v>0.1</v>
      </c>
      <c r="G1073" s="1109">
        <v>0.0</v>
      </c>
      <c r="H1073" s="1107"/>
    </row>
    <row r="1074" ht="18.75" customHeight="1">
      <c r="A1074" s="1107"/>
      <c r="B1074" s="1108" t="s">
        <v>3291</v>
      </c>
      <c r="C1074" s="1108" t="s">
        <v>3292</v>
      </c>
      <c r="D1074" s="1108" t="s">
        <v>3383</v>
      </c>
      <c r="E1074" s="1108" t="s">
        <v>3384</v>
      </c>
      <c r="F1074" s="1109">
        <v>0.1</v>
      </c>
      <c r="G1074" s="1109">
        <v>0.0</v>
      </c>
      <c r="H1074" s="1107"/>
    </row>
    <row r="1075" ht="18.75" customHeight="1">
      <c r="A1075" s="1107"/>
      <c r="B1075" s="1108" t="s">
        <v>3291</v>
      </c>
      <c r="C1075" s="1108" t="s">
        <v>3292</v>
      </c>
      <c r="D1075" s="1108" t="s">
        <v>3385</v>
      </c>
      <c r="E1075" s="1108" t="s">
        <v>3386</v>
      </c>
      <c r="F1075" s="1109">
        <v>0.1</v>
      </c>
      <c r="G1075" s="1109">
        <v>0.0</v>
      </c>
      <c r="H1075" s="1107"/>
    </row>
    <row r="1076" ht="18.75" customHeight="1">
      <c r="A1076" s="1107"/>
      <c r="B1076" s="1108" t="s">
        <v>3291</v>
      </c>
      <c r="C1076" s="1108" t="s">
        <v>3292</v>
      </c>
      <c r="D1076" s="1108" t="s">
        <v>3387</v>
      </c>
      <c r="E1076" s="1108" t="s">
        <v>3388</v>
      </c>
      <c r="F1076" s="1109">
        <v>0.1</v>
      </c>
      <c r="G1076" s="1109">
        <v>0.0</v>
      </c>
      <c r="H1076" s="1107"/>
    </row>
    <row r="1077" ht="18.75" customHeight="1">
      <c r="A1077" s="1107"/>
      <c r="B1077" s="1108" t="s">
        <v>3291</v>
      </c>
      <c r="C1077" s="1108" t="s">
        <v>3292</v>
      </c>
      <c r="D1077" s="1108" t="s">
        <v>3389</v>
      </c>
      <c r="E1077" s="1108" t="s">
        <v>3390</v>
      </c>
      <c r="F1077" s="1109">
        <v>0.1</v>
      </c>
      <c r="G1077" s="1109">
        <v>0.0</v>
      </c>
      <c r="H1077" s="1107"/>
    </row>
    <row r="1078" ht="18.75" customHeight="1">
      <c r="A1078" s="1107"/>
      <c r="B1078" s="1108" t="s">
        <v>3291</v>
      </c>
      <c r="C1078" s="1108" t="s">
        <v>3292</v>
      </c>
      <c r="D1078" s="1108" t="s">
        <v>3391</v>
      </c>
      <c r="E1078" s="1108" t="s">
        <v>3392</v>
      </c>
      <c r="F1078" s="1109">
        <v>0.1</v>
      </c>
      <c r="G1078" s="1109">
        <v>0.0</v>
      </c>
      <c r="H1078" s="1107"/>
    </row>
    <row r="1079" ht="18.75" customHeight="1">
      <c r="A1079" s="1107"/>
      <c r="B1079" s="1108" t="s">
        <v>3291</v>
      </c>
      <c r="C1079" s="1108" t="s">
        <v>3292</v>
      </c>
      <c r="D1079" s="1108" t="s">
        <v>3393</v>
      </c>
      <c r="E1079" s="1108" t="s">
        <v>3394</v>
      </c>
      <c r="F1079" s="1109">
        <v>0.1</v>
      </c>
      <c r="G1079" s="1109">
        <v>0.0</v>
      </c>
      <c r="H1079" s="1107"/>
    </row>
    <row r="1080" ht="18.75" customHeight="1">
      <c r="A1080" s="1107"/>
      <c r="B1080" s="1108" t="s">
        <v>3291</v>
      </c>
      <c r="C1080" s="1108" t="s">
        <v>3305</v>
      </c>
      <c r="D1080" s="1108" t="s">
        <v>3395</v>
      </c>
      <c r="E1080" s="1108" t="s">
        <v>3396</v>
      </c>
      <c r="F1080" s="1109">
        <v>0.1</v>
      </c>
      <c r="G1080" s="1109">
        <v>0.0</v>
      </c>
      <c r="H1080" s="1107"/>
    </row>
    <row r="1081" ht="18.75" customHeight="1">
      <c r="A1081" s="1107"/>
      <c r="B1081" s="1108" t="s">
        <v>3291</v>
      </c>
      <c r="C1081" s="1108" t="s">
        <v>3292</v>
      </c>
      <c r="D1081" s="1108" t="s">
        <v>3397</v>
      </c>
      <c r="E1081" s="1108" t="s">
        <v>3398</v>
      </c>
      <c r="F1081" s="1109">
        <v>0.1</v>
      </c>
      <c r="G1081" s="1109">
        <v>0.0</v>
      </c>
      <c r="H1081" s="1107"/>
    </row>
    <row r="1082" ht="18.75" customHeight="1">
      <c r="A1082" s="1107"/>
      <c r="B1082" s="1108" t="s">
        <v>3291</v>
      </c>
      <c r="C1082" s="1108" t="s">
        <v>3292</v>
      </c>
      <c r="D1082" s="1108" t="s">
        <v>3399</v>
      </c>
      <c r="E1082" s="1108" t="s">
        <v>3400</v>
      </c>
      <c r="F1082" s="1109">
        <v>0.1</v>
      </c>
      <c r="G1082" s="1109">
        <v>0.0</v>
      </c>
      <c r="H1082" s="1107"/>
    </row>
    <row r="1083" ht="18.75" customHeight="1">
      <c r="A1083" s="1107"/>
      <c r="B1083" s="1108" t="s">
        <v>3291</v>
      </c>
      <c r="C1083" s="1108" t="s">
        <v>3292</v>
      </c>
      <c r="D1083" s="1108" t="s">
        <v>593</v>
      </c>
      <c r="E1083" s="1108" t="s">
        <v>3401</v>
      </c>
      <c r="F1083" s="1109">
        <v>0.1</v>
      </c>
      <c r="G1083" s="1109">
        <v>0.0</v>
      </c>
      <c r="H1083" s="1107"/>
    </row>
    <row r="1084" ht="18.75" customHeight="1">
      <c r="A1084" s="1107"/>
      <c r="B1084" s="1108" t="s">
        <v>3291</v>
      </c>
      <c r="C1084" s="1108" t="s">
        <v>3292</v>
      </c>
      <c r="D1084" s="1108" t="s">
        <v>3402</v>
      </c>
      <c r="E1084" s="1108" t="s">
        <v>3403</v>
      </c>
      <c r="F1084" s="1109">
        <v>0.1</v>
      </c>
      <c r="G1084" s="1109">
        <v>0.0</v>
      </c>
      <c r="H1084" s="1107"/>
    </row>
    <row r="1085" ht="18.75" customHeight="1">
      <c r="A1085" s="1107"/>
      <c r="B1085" s="1108" t="s">
        <v>3291</v>
      </c>
      <c r="C1085" s="1108" t="s">
        <v>3292</v>
      </c>
      <c r="D1085" s="1108" t="s">
        <v>3404</v>
      </c>
      <c r="E1085" s="1108" t="s">
        <v>3405</v>
      </c>
      <c r="F1085" s="1109">
        <v>0.1</v>
      </c>
      <c r="G1085" s="1109">
        <v>0.0</v>
      </c>
      <c r="H1085" s="1107"/>
    </row>
    <row r="1086" ht="18.75" customHeight="1">
      <c r="A1086" s="1107"/>
      <c r="B1086" s="1108" t="s">
        <v>3291</v>
      </c>
      <c r="C1086" s="1108" t="s">
        <v>3305</v>
      </c>
      <c r="D1086" s="1108" t="s">
        <v>597</v>
      </c>
      <c r="E1086" s="1108" t="s">
        <v>3406</v>
      </c>
      <c r="F1086" s="1109">
        <v>0.1</v>
      </c>
      <c r="G1086" s="1109">
        <v>0.0</v>
      </c>
      <c r="H1086" s="1107"/>
    </row>
    <row r="1087" ht="18.75" customHeight="1">
      <c r="A1087" s="1107"/>
      <c r="B1087" s="1108" t="s">
        <v>3291</v>
      </c>
      <c r="C1087" s="1108" t="s">
        <v>3292</v>
      </c>
      <c r="D1087" s="1108" t="s">
        <v>3407</v>
      </c>
      <c r="E1087" s="1108" t="s">
        <v>3408</v>
      </c>
      <c r="F1087" s="1109">
        <v>0.1</v>
      </c>
      <c r="G1087" s="1109">
        <v>0.0</v>
      </c>
      <c r="H1087" s="1107"/>
    </row>
    <row r="1088" ht="18.75" customHeight="1">
      <c r="A1088" s="1107"/>
      <c r="B1088" s="1108" t="s">
        <v>3291</v>
      </c>
      <c r="C1088" s="1108" t="s">
        <v>3292</v>
      </c>
      <c r="D1088" s="1108" t="s">
        <v>3409</v>
      </c>
      <c r="E1088" s="1108" t="s">
        <v>3410</v>
      </c>
      <c r="F1088" s="1109">
        <v>0.1</v>
      </c>
      <c r="G1088" s="1109">
        <v>0.0</v>
      </c>
      <c r="H1088" s="1107"/>
    </row>
    <row r="1089" ht="18.75" customHeight="1">
      <c r="A1089" s="1107"/>
      <c r="B1089" s="1108" t="s">
        <v>3291</v>
      </c>
      <c r="C1089" s="1108" t="s">
        <v>3292</v>
      </c>
      <c r="D1089" s="1108" t="s">
        <v>3411</v>
      </c>
      <c r="E1089" s="1108" t="s">
        <v>3412</v>
      </c>
      <c r="F1089" s="1109">
        <v>0.1</v>
      </c>
      <c r="G1089" s="1109">
        <v>0.0</v>
      </c>
      <c r="H1089" s="1107"/>
    </row>
    <row r="1090" ht="18.75" customHeight="1">
      <c r="A1090" s="1107"/>
      <c r="B1090" s="1108" t="s">
        <v>3291</v>
      </c>
      <c r="C1090" s="1108" t="s">
        <v>3305</v>
      </c>
      <c r="D1090" s="1108" t="s">
        <v>601</v>
      </c>
      <c r="E1090" s="1108" t="s">
        <v>3413</v>
      </c>
      <c r="F1090" s="1109">
        <v>0.1</v>
      </c>
      <c r="G1090" s="1109">
        <v>0.0</v>
      </c>
      <c r="H1090" s="1107"/>
    </row>
    <row r="1091" ht="18.75" customHeight="1">
      <c r="A1091" s="1107"/>
      <c r="B1091" s="1108" t="s">
        <v>3291</v>
      </c>
      <c r="C1091" s="1108" t="s">
        <v>3292</v>
      </c>
      <c r="D1091" s="1108" t="s">
        <v>3414</v>
      </c>
      <c r="E1091" s="1108" t="s">
        <v>3415</v>
      </c>
      <c r="F1091" s="1109">
        <v>0.1</v>
      </c>
      <c r="G1091" s="1109">
        <v>0.0</v>
      </c>
      <c r="H1091" s="1107"/>
    </row>
    <row r="1092" ht="18.75" customHeight="1">
      <c r="A1092" s="1107"/>
      <c r="B1092" s="1108" t="s">
        <v>3291</v>
      </c>
      <c r="C1092" s="1108" t="s">
        <v>3292</v>
      </c>
      <c r="D1092" s="1108" t="s">
        <v>3416</v>
      </c>
      <c r="E1092" s="1108" t="s">
        <v>3417</v>
      </c>
      <c r="F1092" s="1109">
        <v>0.1</v>
      </c>
      <c r="G1092" s="1109">
        <v>0.0</v>
      </c>
      <c r="H1092" s="1107"/>
    </row>
    <row r="1093" ht="18.75" customHeight="1">
      <c r="A1093" s="1107"/>
      <c r="B1093" s="1108" t="s">
        <v>3291</v>
      </c>
      <c r="C1093" s="1108" t="s">
        <v>3292</v>
      </c>
      <c r="D1093" s="1108" t="s">
        <v>3418</v>
      </c>
      <c r="E1093" s="1108" t="s">
        <v>3419</v>
      </c>
      <c r="F1093" s="1109">
        <v>0.1</v>
      </c>
      <c r="G1093" s="1109">
        <v>0.0</v>
      </c>
      <c r="H1093" s="1107"/>
    </row>
    <row r="1094" ht="18.75" customHeight="1">
      <c r="A1094" s="1107"/>
      <c r="B1094" s="1108" t="s">
        <v>3291</v>
      </c>
      <c r="C1094" s="1108" t="s">
        <v>3292</v>
      </c>
      <c r="D1094" s="1108" t="s">
        <v>3420</v>
      </c>
      <c r="E1094" s="1108" t="s">
        <v>3419</v>
      </c>
      <c r="F1094" s="1109">
        <v>0.1</v>
      </c>
      <c r="G1094" s="1109">
        <v>0.0</v>
      </c>
      <c r="H1094" s="1107"/>
    </row>
    <row r="1095" ht="18.75" customHeight="1">
      <c r="A1095" s="1107"/>
      <c r="B1095" s="1108" t="s">
        <v>3291</v>
      </c>
      <c r="C1095" s="1108" t="s">
        <v>3292</v>
      </c>
      <c r="D1095" s="1108" t="s">
        <v>3421</v>
      </c>
      <c r="E1095" s="1108" t="s">
        <v>3422</v>
      </c>
      <c r="F1095" s="1109">
        <v>0.1</v>
      </c>
      <c r="G1095" s="1109">
        <v>0.0</v>
      </c>
      <c r="H1095" s="1107"/>
    </row>
    <row r="1096" ht="18.75" customHeight="1">
      <c r="A1096" s="1107"/>
      <c r="B1096" s="1108" t="s">
        <v>3291</v>
      </c>
      <c r="C1096" s="1108" t="s">
        <v>3292</v>
      </c>
      <c r="D1096" s="1108" t="s">
        <v>3423</v>
      </c>
      <c r="E1096" s="1108" t="s">
        <v>3424</v>
      </c>
      <c r="F1096" s="1109">
        <v>0.1</v>
      </c>
      <c r="G1096" s="1109">
        <v>0.0</v>
      </c>
      <c r="H1096" s="1107"/>
    </row>
    <row r="1097" ht="18.75" customHeight="1">
      <c r="A1097" s="1107"/>
      <c r="B1097" s="1108" t="s">
        <v>3291</v>
      </c>
      <c r="C1097" s="1108" t="s">
        <v>3305</v>
      </c>
      <c r="D1097" s="1108" t="s">
        <v>605</v>
      </c>
      <c r="E1097" s="1108" t="s">
        <v>3425</v>
      </c>
      <c r="F1097" s="1109">
        <v>0.1</v>
      </c>
      <c r="G1097" s="1109">
        <v>0.0</v>
      </c>
      <c r="H1097" s="1107"/>
    </row>
    <row r="1098" ht="18.75" customHeight="1">
      <c r="A1098" s="1107"/>
      <c r="B1098" s="1108" t="s">
        <v>3291</v>
      </c>
      <c r="C1098" s="1108" t="s">
        <v>3292</v>
      </c>
      <c r="D1098" s="1108" t="s">
        <v>3426</v>
      </c>
      <c r="E1098" s="1108" t="s">
        <v>3427</v>
      </c>
      <c r="F1098" s="1109">
        <v>0.1</v>
      </c>
      <c r="G1098" s="1109">
        <v>0.0</v>
      </c>
      <c r="H1098" s="1107"/>
    </row>
    <row r="1099" ht="18.75" customHeight="1">
      <c r="A1099" s="1107"/>
      <c r="B1099" s="1108" t="s">
        <v>3291</v>
      </c>
      <c r="C1099" s="1108" t="s">
        <v>3292</v>
      </c>
      <c r="D1099" s="1108" t="s">
        <v>3428</v>
      </c>
      <c r="E1099" s="1108" t="s">
        <v>3429</v>
      </c>
      <c r="F1099" s="1109">
        <v>0.1</v>
      </c>
      <c r="G1099" s="1109">
        <v>0.0</v>
      </c>
      <c r="H1099" s="1107"/>
    </row>
    <row r="1100" ht="18.75" customHeight="1">
      <c r="A1100" s="1107"/>
      <c r="B1100" s="1108" t="s">
        <v>3291</v>
      </c>
      <c r="C1100" s="1108" t="s">
        <v>3292</v>
      </c>
      <c r="D1100" s="1108" t="s">
        <v>3430</v>
      </c>
      <c r="E1100" s="1108" t="s">
        <v>3431</v>
      </c>
      <c r="F1100" s="1109">
        <v>0.1</v>
      </c>
      <c r="G1100" s="1109">
        <v>0.0</v>
      </c>
      <c r="H1100" s="1107"/>
    </row>
    <row r="1101" ht="18.75" customHeight="1">
      <c r="A1101" s="1107"/>
      <c r="B1101" s="1108" t="s">
        <v>3291</v>
      </c>
      <c r="C1101" s="1108" t="s">
        <v>3292</v>
      </c>
      <c r="D1101" s="1108" t="s">
        <v>3432</v>
      </c>
      <c r="E1101" s="1108" t="s">
        <v>3433</v>
      </c>
      <c r="F1101" s="1109">
        <v>0.1</v>
      </c>
      <c r="G1101" s="1109">
        <v>0.0</v>
      </c>
      <c r="H1101" s="1107"/>
    </row>
    <row r="1102" ht="18.75" customHeight="1">
      <c r="A1102" s="1107"/>
      <c r="B1102" s="1108" t="s">
        <v>3291</v>
      </c>
      <c r="C1102" s="1108" t="s">
        <v>3292</v>
      </c>
      <c r="D1102" s="1108" t="s">
        <v>3434</v>
      </c>
      <c r="E1102" s="1108" t="s">
        <v>3435</v>
      </c>
      <c r="F1102" s="1109">
        <v>0.1</v>
      </c>
      <c r="G1102" s="1109">
        <v>0.0</v>
      </c>
      <c r="H1102" s="1107"/>
    </row>
    <row r="1103" ht="18.75" customHeight="1">
      <c r="A1103" s="1107"/>
      <c r="B1103" s="1108" t="s">
        <v>3291</v>
      </c>
      <c r="C1103" s="1108" t="s">
        <v>3292</v>
      </c>
      <c r="D1103" s="1108" t="s">
        <v>609</v>
      </c>
      <c r="E1103" s="1108" t="s">
        <v>3436</v>
      </c>
      <c r="F1103" s="1109">
        <v>0.1</v>
      </c>
      <c r="G1103" s="1109">
        <v>0.0</v>
      </c>
      <c r="H1103" s="1107"/>
    </row>
    <row r="1104" ht="18.75" customHeight="1">
      <c r="A1104" s="1107"/>
      <c r="B1104" s="1108" t="s">
        <v>3291</v>
      </c>
      <c r="C1104" s="1108" t="s">
        <v>3292</v>
      </c>
      <c r="D1104" s="1108" t="s">
        <v>3437</v>
      </c>
      <c r="E1104" s="1108" t="s">
        <v>3438</v>
      </c>
      <c r="F1104" s="1109">
        <v>0.1</v>
      </c>
      <c r="G1104" s="1109">
        <v>0.0</v>
      </c>
      <c r="H1104" s="1107"/>
    </row>
    <row r="1105" ht="18.75" customHeight="1">
      <c r="A1105" s="1107"/>
      <c r="B1105" s="1108" t="s">
        <v>3291</v>
      </c>
      <c r="C1105" s="1108" t="s">
        <v>3292</v>
      </c>
      <c r="D1105" s="1108" t="s">
        <v>3439</v>
      </c>
      <c r="E1105" s="1108" t="s">
        <v>3440</v>
      </c>
      <c r="F1105" s="1109">
        <v>0.1</v>
      </c>
      <c r="G1105" s="1109">
        <v>0.0</v>
      </c>
      <c r="H1105" s="1107"/>
    </row>
    <row r="1106" ht="18.75" customHeight="1">
      <c r="A1106" s="1107"/>
      <c r="B1106" s="1108" t="s">
        <v>3291</v>
      </c>
      <c r="C1106" s="1108" t="s">
        <v>3305</v>
      </c>
      <c r="D1106" s="1108" t="s">
        <v>613</v>
      </c>
      <c r="E1106" s="1108" t="s">
        <v>3441</v>
      </c>
      <c r="F1106" s="1109">
        <v>0.1</v>
      </c>
      <c r="G1106" s="1109">
        <v>0.0</v>
      </c>
      <c r="H1106" s="1107"/>
    </row>
    <row r="1107" ht="18.75" customHeight="1">
      <c r="A1107" s="1107"/>
      <c r="B1107" s="1108" t="s">
        <v>3291</v>
      </c>
      <c r="C1107" s="1108" t="s">
        <v>3292</v>
      </c>
      <c r="D1107" s="1108" t="s">
        <v>3442</v>
      </c>
      <c r="E1107" s="1108" t="s">
        <v>3443</v>
      </c>
      <c r="F1107" s="1109">
        <v>0.1</v>
      </c>
      <c r="G1107" s="1109">
        <v>0.0</v>
      </c>
      <c r="H1107" s="1107"/>
    </row>
    <row r="1108" ht="18.75" customHeight="1">
      <c r="A1108" s="1107"/>
      <c r="B1108" s="1108" t="s">
        <v>3291</v>
      </c>
      <c r="C1108" s="1108" t="s">
        <v>3292</v>
      </c>
      <c r="D1108" s="1108" t="s">
        <v>617</v>
      </c>
      <c r="E1108" s="1108" t="s">
        <v>3444</v>
      </c>
      <c r="F1108" s="1109">
        <v>0.1</v>
      </c>
      <c r="G1108" s="1109">
        <v>0.0</v>
      </c>
      <c r="H1108" s="1107"/>
    </row>
    <row r="1109" ht="18.75" customHeight="1">
      <c r="A1109" s="1107"/>
      <c r="B1109" s="1108" t="s">
        <v>3291</v>
      </c>
      <c r="C1109" s="1108" t="s">
        <v>3305</v>
      </c>
      <c r="D1109" s="1108" t="s">
        <v>3445</v>
      </c>
      <c r="E1109" s="1108" t="s">
        <v>3446</v>
      </c>
      <c r="F1109" s="1109">
        <v>0.1</v>
      </c>
      <c r="G1109" s="1109">
        <v>0.0</v>
      </c>
      <c r="H1109" s="1107"/>
    </row>
    <row r="1110" ht="18.75" customHeight="1">
      <c r="A1110" s="1107"/>
      <c r="B1110" s="1108" t="s">
        <v>3291</v>
      </c>
      <c r="C1110" s="1108" t="s">
        <v>3292</v>
      </c>
      <c r="D1110" s="1108" t="s">
        <v>3447</v>
      </c>
      <c r="E1110" s="1108" t="s">
        <v>3448</v>
      </c>
      <c r="F1110" s="1109">
        <v>0.1</v>
      </c>
      <c r="G1110" s="1109">
        <v>0.0</v>
      </c>
      <c r="H1110" s="1107"/>
    </row>
    <row r="1111" ht="18.75" customHeight="1">
      <c r="A1111" s="1107"/>
      <c r="B1111" s="1108" t="s">
        <v>3291</v>
      </c>
      <c r="C1111" s="1108" t="s">
        <v>3292</v>
      </c>
      <c r="D1111" s="1108" t="s">
        <v>3449</v>
      </c>
      <c r="E1111" s="1108" t="s">
        <v>3450</v>
      </c>
      <c r="F1111" s="1109">
        <v>0.1</v>
      </c>
      <c r="G1111" s="1109">
        <v>0.0</v>
      </c>
      <c r="H1111" s="1107"/>
    </row>
    <row r="1112" ht="18.75" customHeight="1">
      <c r="A1112" s="1107"/>
      <c r="B1112" s="1108" t="s">
        <v>3291</v>
      </c>
      <c r="C1112" s="1108" t="s">
        <v>3292</v>
      </c>
      <c r="D1112" s="1108" t="s">
        <v>3451</v>
      </c>
      <c r="E1112" s="1108" t="s">
        <v>3452</v>
      </c>
      <c r="F1112" s="1109">
        <v>0.1</v>
      </c>
      <c r="G1112" s="1109">
        <v>0.0</v>
      </c>
      <c r="H1112" s="1107"/>
    </row>
    <row r="1113" ht="18.75" customHeight="1">
      <c r="A1113" s="1107"/>
      <c r="B1113" s="1108" t="s">
        <v>3291</v>
      </c>
      <c r="C1113" s="1108" t="s">
        <v>3453</v>
      </c>
      <c r="D1113" s="1108" t="s">
        <v>3454</v>
      </c>
      <c r="E1113" s="1108" t="s">
        <v>3455</v>
      </c>
      <c r="F1113" s="1109">
        <v>0.1</v>
      </c>
      <c r="G1113" s="1109">
        <v>0.0</v>
      </c>
      <c r="H1113" s="1107"/>
    </row>
    <row r="1114" ht="18.75" customHeight="1">
      <c r="A1114" s="1107"/>
      <c r="B1114" s="1108" t="s">
        <v>3291</v>
      </c>
      <c r="C1114" s="1108" t="s">
        <v>3453</v>
      </c>
      <c r="D1114" s="1108" t="s">
        <v>3456</v>
      </c>
      <c r="E1114" s="1108" t="s">
        <v>3457</v>
      </c>
      <c r="F1114" s="1109">
        <v>0.1</v>
      </c>
      <c r="G1114" s="1109">
        <v>0.0</v>
      </c>
      <c r="H1114" s="1107"/>
    </row>
    <row r="1115" ht="18.75" customHeight="1">
      <c r="A1115" s="1107"/>
      <c r="B1115" s="1108" t="s">
        <v>3291</v>
      </c>
      <c r="C1115" s="1108" t="s">
        <v>3453</v>
      </c>
      <c r="D1115" s="1108" t="s">
        <v>3458</v>
      </c>
      <c r="E1115" s="1108" t="s">
        <v>3459</v>
      </c>
      <c r="F1115" s="1109">
        <v>0.1</v>
      </c>
      <c r="G1115" s="1109">
        <v>0.0</v>
      </c>
      <c r="H1115" s="1107"/>
    </row>
    <row r="1116" ht="18.75" customHeight="1">
      <c r="A1116" s="1107"/>
      <c r="B1116" s="1108" t="s">
        <v>3291</v>
      </c>
      <c r="C1116" s="1108" t="s">
        <v>3453</v>
      </c>
      <c r="D1116" s="1108" t="s">
        <v>3460</v>
      </c>
      <c r="E1116" s="1108" t="s">
        <v>3461</v>
      </c>
      <c r="F1116" s="1109">
        <v>0.1</v>
      </c>
      <c r="G1116" s="1109">
        <v>0.0</v>
      </c>
      <c r="H1116" s="1107"/>
    </row>
    <row r="1117" ht="18.75" customHeight="1">
      <c r="A1117" s="1107"/>
      <c r="B1117" s="1108" t="s">
        <v>3291</v>
      </c>
      <c r="C1117" s="1108" t="s">
        <v>3453</v>
      </c>
      <c r="D1117" s="1108" t="s">
        <v>3462</v>
      </c>
      <c r="E1117" s="1108" t="s">
        <v>3463</v>
      </c>
      <c r="F1117" s="1109">
        <v>0.1</v>
      </c>
      <c r="G1117" s="1109">
        <v>0.0</v>
      </c>
      <c r="H1117" s="1107"/>
    </row>
    <row r="1118" ht="18.75" customHeight="1">
      <c r="A1118" s="1107"/>
      <c r="B1118" s="1108" t="s">
        <v>3291</v>
      </c>
      <c r="C1118" s="1108" t="s">
        <v>3453</v>
      </c>
      <c r="D1118" s="1108" t="s">
        <v>3464</v>
      </c>
      <c r="E1118" s="1108" t="s">
        <v>3465</v>
      </c>
      <c r="F1118" s="1109">
        <v>0.1</v>
      </c>
      <c r="G1118" s="1109">
        <v>0.0</v>
      </c>
      <c r="H1118" s="1107"/>
    </row>
    <row r="1119" ht="18.75" customHeight="1">
      <c r="A1119" s="1107"/>
      <c r="B1119" s="1108" t="s">
        <v>3291</v>
      </c>
      <c r="C1119" s="1108" t="s">
        <v>3453</v>
      </c>
      <c r="D1119" s="1108" t="s">
        <v>3466</v>
      </c>
      <c r="E1119" s="1108" t="s">
        <v>3467</v>
      </c>
      <c r="F1119" s="1109">
        <v>0.1</v>
      </c>
      <c r="G1119" s="1109">
        <v>0.0</v>
      </c>
      <c r="H1119" s="1107"/>
    </row>
    <row r="1120" ht="18.75" customHeight="1">
      <c r="A1120" s="1107"/>
      <c r="B1120" s="1108" t="s">
        <v>3291</v>
      </c>
      <c r="C1120" s="1108" t="s">
        <v>3453</v>
      </c>
      <c r="D1120" s="1108" t="s">
        <v>3468</v>
      </c>
      <c r="E1120" s="1108" t="s">
        <v>3469</v>
      </c>
      <c r="F1120" s="1109">
        <v>0.1</v>
      </c>
      <c r="G1120" s="1109">
        <v>0.0</v>
      </c>
      <c r="H1120" s="1107"/>
    </row>
    <row r="1121" ht="18.75" customHeight="1">
      <c r="A1121" s="1107"/>
      <c r="B1121" s="1108" t="s">
        <v>3291</v>
      </c>
      <c r="C1121" s="1108" t="s">
        <v>3453</v>
      </c>
      <c r="D1121" s="1108" t="s">
        <v>3470</v>
      </c>
      <c r="E1121" s="1108" t="s">
        <v>3471</v>
      </c>
      <c r="F1121" s="1109">
        <v>0.1</v>
      </c>
      <c r="G1121" s="1109">
        <v>0.0</v>
      </c>
      <c r="H1121" s="1107"/>
    </row>
    <row r="1122" ht="18.75" customHeight="1">
      <c r="A1122" s="1107"/>
      <c r="B1122" s="1108" t="s">
        <v>3291</v>
      </c>
      <c r="C1122" s="1108" t="s">
        <v>3453</v>
      </c>
      <c r="D1122" s="1108" t="s">
        <v>3472</v>
      </c>
      <c r="E1122" s="1108" t="s">
        <v>3473</v>
      </c>
      <c r="F1122" s="1109">
        <v>0.1</v>
      </c>
      <c r="G1122" s="1109">
        <v>0.0</v>
      </c>
      <c r="H1122" s="1107"/>
    </row>
    <row r="1123" ht="18.75" customHeight="1">
      <c r="A1123" s="1107"/>
      <c r="B1123" s="1108" t="s">
        <v>3291</v>
      </c>
      <c r="C1123" s="1108" t="s">
        <v>3453</v>
      </c>
      <c r="D1123" s="1108" t="s">
        <v>3474</v>
      </c>
      <c r="E1123" s="1108" t="s">
        <v>3475</v>
      </c>
      <c r="F1123" s="1109">
        <v>0.1</v>
      </c>
      <c r="G1123" s="1109">
        <v>0.0</v>
      </c>
      <c r="H1123" s="1107"/>
    </row>
    <row r="1124" ht="18.75" customHeight="1">
      <c r="A1124" s="1107"/>
      <c r="B1124" s="1108" t="s">
        <v>3291</v>
      </c>
      <c r="C1124" s="1108" t="s">
        <v>3453</v>
      </c>
      <c r="D1124" s="1108" t="s">
        <v>3476</v>
      </c>
      <c r="E1124" s="1108" t="s">
        <v>3477</v>
      </c>
      <c r="F1124" s="1109">
        <v>0.1</v>
      </c>
      <c r="G1124" s="1109">
        <v>0.0</v>
      </c>
      <c r="H1124" s="1107"/>
    </row>
    <row r="1125" ht="18.75" customHeight="1">
      <c r="A1125" s="1107"/>
      <c r="B1125" s="1108" t="s">
        <v>3291</v>
      </c>
      <c r="C1125" s="1108" t="s">
        <v>3453</v>
      </c>
      <c r="D1125" s="1108" t="s">
        <v>3478</v>
      </c>
      <c r="E1125" s="1108" t="s">
        <v>3479</v>
      </c>
      <c r="F1125" s="1109">
        <v>0.1</v>
      </c>
      <c r="G1125" s="1109">
        <v>0.0</v>
      </c>
      <c r="H1125" s="1107"/>
    </row>
    <row r="1126" ht="18.75" customHeight="1">
      <c r="A1126" s="1107"/>
      <c r="B1126" s="1108" t="s">
        <v>3291</v>
      </c>
      <c r="C1126" s="1108" t="s">
        <v>3480</v>
      </c>
      <c r="D1126" s="1108" t="s">
        <v>3481</v>
      </c>
      <c r="E1126" s="1108" t="s">
        <v>3482</v>
      </c>
      <c r="F1126" s="1109">
        <v>0.1</v>
      </c>
      <c r="G1126" s="1109">
        <v>0.0</v>
      </c>
      <c r="H1126" s="1107"/>
    </row>
    <row r="1127" ht="18.75" customHeight="1">
      <c r="A1127" s="1107"/>
      <c r="B1127" s="1108" t="s">
        <v>3291</v>
      </c>
      <c r="C1127" s="1108" t="s">
        <v>3453</v>
      </c>
      <c r="D1127" s="1108" t="s">
        <v>3483</v>
      </c>
      <c r="E1127" s="1108" t="s">
        <v>3484</v>
      </c>
      <c r="F1127" s="1109">
        <v>0.1</v>
      </c>
      <c r="G1127" s="1109">
        <v>0.0</v>
      </c>
      <c r="H1127" s="1107"/>
    </row>
    <row r="1128" ht="18.75" customHeight="1">
      <c r="A1128" s="1107"/>
      <c r="B1128" s="1108" t="s">
        <v>3291</v>
      </c>
      <c r="C1128" s="1108" t="s">
        <v>3485</v>
      </c>
      <c r="D1128" s="1108" t="s">
        <v>3486</v>
      </c>
      <c r="E1128" s="1108" t="s">
        <v>3487</v>
      </c>
      <c r="F1128" s="1109">
        <v>0.1</v>
      </c>
      <c r="G1128" s="1109">
        <v>0.0</v>
      </c>
      <c r="H1128" s="1107"/>
    </row>
    <row r="1129" ht="18.75" customHeight="1">
      <c r="A1129" s="1107"/>
      <c r="B1129" s="1108" t="s">
        <v>3291</v>
      </c>
      <c r="C1129" s="1108" t="s">
        <v>3453</v>
      </c>
      <c r="D1129" s="1108" t="s">
        <v>3488</v>
      </c>
      <c r="E1129" s="1108" t="s">
        <v>3489</v>
      </c>
      <c r="F1129" s="1109">
        <v>0.1</v>
      </c>
      <c r="G1129" s="1109">
        <v>0.0</v>
      </c>
      <c r="H1129" s="1107"/>
    </row>
    <row r="1130" ht="18.75" customHeight="1">
      <c r="A1130" s="1107"/>
      <c r="B1130" s="1108" t="s">
        <v>3291</v>
      </c>
      <c r="C1130" s="1108" t="s">
        <v>3453</v>
      </c>
      <c r="D1130" s="1108" t="s">
        <v>3490</v>
      </c>
      <c r="E1130" s="1108" t="s">
        <v>3491</v>
      </c>
      <c r="F1130" s="1109">
        <v>0.1</v>
      </c>
      <c r="G1130" s="1109">
        <v>0.0</v>
      </c>
      <c r="H1130" s="1107"/>
    </row>
    <row r="1131" ht="18.75" customHeight="1">
      <c r="A1131" s="1107"/>
      <c r="B1131" s="1108" t="s">
        <v>3291</v>
      </c>
      <c r="C1131" s="1108" t="s">
        <v>3453</v>
      </c>
      <c r="D1131" s="1108" t="s">
        <v>3492</v>
      </c>
      <c r="E1131" s="1108" t="s">
        <v>3493</v>
      </c>
      <c r="F1131" s="1109">
        <v>0.1</v>
      </c>
      <c r="G1131" s="1109">
        <v>0.0</v>
      </c>
      <c r="H1131" s="1107"/>
    </row>
    <row r="1132" ht="18.75" customHeight="1">
      <c r="A1132" s="1107"/>
      <c r="B1132" s="1108" t="s">
        <v>3291</v>
      </c>
      <c r="C1132" s="1108" t="s">
        <v>3453</v>
      </c>
      <c r="D1132" s="1108" t="s">
        <v>3494</v>
      </c>
      <c r="E1132" s="1108" t="s">
        <v>3495</v>
      </c>
      <c r="F1132" s="1109">
        <v>0.1</v>
      </c>
      <c r="G1132" s="1109">
        <v>0.0</v>
      </c>
      <c r="H1132" s="1107"/>
    </row>
    <row r="1133" ht="18.75" customHeight="1">
      <c r="A1133" s="1107"/>
      <c r="B1133" s="1108" t="s">
        <v>3291</v>
      </c>
      <c r="C1133" s="1108" t="s">
        <v>3453</v>
      </c>
      <c r="D1133" s="1108" t="s">
        <v>3496</v>
      </c>
      <c r="E1133" s="1108" t="s">
        <v>3497</v>
      </c>
      <c r="F1133" s="1109">
        <v>0.1</v>
      </c>
      <c r="G1133" s="1109">
        <v>0.0</v>
      </c>
      <c r="H1133" s="1107"/>
    </row>
    <row r="1134" ht="18.75" customHeight="1">
      <c r="A1134" s="1107"/>
      <c r="B1134" s="1108" t="s">
        <v>3291</v>
      </c>
      <c r="C1134" s="1108" t="s">
        <v>3498</v>
      </c>
      <c r="D1134" s="1108" t="s">
        <v>3499</v>
      </c>
      <c r="E1134" s="1108" t="s">
        <v>3500</v>
      </c>
      <c r="F1134" s="1109">
        <v>0.1</v>
      </c>
      <c r="G1134" s="1109">
        <v>0.0</v>
      </c>
      <c r="H1134" s="1107"/>
    </row>
    <row r="1135" ht="18.75" customHeight="1">
      <c r="A1135" s="1107"/>
      <c r="B1135" s="1108" t="s">
        <v>3291</v>
      </c>
      <c r="C1135" s="1108" t="s">
        <v>3453</v>
      </c>
      <c r="D1135" s="1108" t="s">
        <v>3501</v>
      </c>
      <c r="E1135" s="1108" t="s">
        <v>3502</v>
      </c>
      <c r="F1135" s="1109">
        <v>0.1</v>
      </c>
      <c r="G1135" s="1109">
        <v>0.0</v>
      </c>
      <c r="H1135" s="1107"/>
    </row>
    <row r="1136" ht="18.75" customHeight="1">
      <c r="A1136" s="1107"/>
      <c r="B1136" s="1108" t="s">
        <v>3291</v>
      </c>
      <c r="C1136" s="1108" t="s">
        <v>3453</v>
      </c>
      <c r="D1136" s="1108" t="s">
        <v>3503</v>
      </c>
      <c r="E1136" s="1108" t="s">
        <v>3504</v>
      </c>
      <c r="F1136" s="1109">
        <v>0.1</v>
      </c>
      <c r="G1136" s="1109">
        <v>0.0</v>
      </c>
      <c r="H1136" s="1107"/>
    </row>
    <row r="1137" ht="18.75" customHeight="1">
      <c r="A1137" s="1107"/>
      <c r="B1137" s="1108" t="s">
        <v>3291</v>
      </c>
      <c r="C1137" s="1108" t="s">
        <v>3453</v>
      </c>
      <c r="D1137" s="1108" t="s">
        <v>3505</v>
      </c>
      <c r="E1137" s="1108" t="s">
        <v>3506</v>
      </c>
      <c r="F1137" s="1109">
        <v>0.1</v>
      </c>
      <c r="G1137" s="1109">
        <v>0.0</v>
      </c>
      <c r="H1137" s="1107"/>
    </row>
    <row r="1138" ht="18.75" customHeight="1">
      <c r="A1138" s="1107"/>
      <c r="B1138" s="1108" t="s">
        <v>3291</v>
      </c>
      <c r="C1138" s="1108" t="s">
        <v>3507</v>
      </c>
      <c r="D1138" s="1108" t="s">
        <v>3508</v>
      </c>
      <c r="E1138" s="1108" t="s">
        <v>3509</v>
      </c>
      <c r="F1138" s="1109">
        <v>0.1</v>
      </c>
      <c r="G1138" s="1109">
        <v>0.0</v>
      </c>
      <c r="H1138" s="1107"/>
    </row>
    <row r="1139" ht="18.75" customHeight="1">
      <c r="A1139" s="1107"/>
      <c r="B1139" s="1108" t="s">
        <v>3291</v>
      </c>
      <c r="C1139" s="1108" t="s">
        <v>3453</v>
      </c>
      <c r="D1139" s="1108" t="s">
        <v>3510</v>
      </c>
      <c r="E1139" s="1108" t="s">
        <v>3511</v>
      </c>
      <c r="F1139" s="1109">
        <v>0.1</v>
      </c>
      <c r="G1139" s="1109">
        <v>0.0</v>
      </c>
      <c r="H1139" s="1107"/>
    </row>
    <row r="1140" ht="18.75" customHeight="1">
      <c r="A1140" s="1107"/>
      <c r="B1140" s="1108" t="s">
        <v>3291</v>
      </c>
      <c r="C1140" s="1108" t="s">
        <v>3453</v>
      </c>
      <c r="D1140" s="1108"/>
      <c r="E1140" s="1108" t="s">
        <v>3509</v>
      </c>
      <c r="F1140" s="1109">
        <v>0.1</v>
      </c>
      <c r="G1140" s="1109">
        <v>0.0</v>
      </c>
      <c r="H1140" s="1107"/>
    </row>
    <row r="1141" ht="18.75" customHeight="1">
      <c r="A1141" s="1107"/>
      <c r="B1141" s="1108" t="s">
        <v>3291</v>
      </c>
      <c r="C1141" s="1108" t="s">
        <v>3453</v>
      </c>
      <c r="D1141" s="1108" t="s">
        <v>3512</v>
      </c>
      <c r="E1141" s="1108" t="s">
        <v>3513</v>
      </c>
      <c r="F1141" s="1109">
        <v>0.1</v>
      </c>
      <c r="G1141" s="1109">
        <v>0.0</v>
      </c>
      <c r="H1141" s="1107"/>
    </row>
    <row r="1142" ht="18.75" customHeight="1">
      <c r="A1142" s="1107"/>
      <c r="B1142" s="1108" t="s">
        <v>3291</v>
      </c>
      <c r="C1142" s="1108" t="s">
        <v>3453</v>
      </c>
      <c r="D1142" s="1108" t="s">
        <v>3514</v>
      </c>
      <c r="E1142" s="1108" t="s">
        <v>3515</v>
      </c>
      <c r="F1142" s="1109">
        <v>0.1</v>
      </c>
      <c r="G1142" s="1109">
        <v>0.0</v>
      </c>
      <c r="H1142" s="1107"/>
    </row>
    <row r="1143" ht="18.75" customHeight="1">
      <c r="A1143" s="1107"/>
      <c r="B1143" s="1108" t="s">
        <v>3291</v>
      </c>
      <c r="C1143" s="1108" t="s">
        <v>3485</v>
      </c>
      <c r="D1143" s="1108" t="s">
        <v>3516</v>
      </c>
      <c r="E1143" s="1108" t="s">
        <v>3517</v>
      </c>
      <c r="F1143" s="1109">
        <v>0.1</v>
      </c>
      <c r="G1143" s="1109">
        <v>0.0</v>
      </c>
      <c r="H1143" s="1107"/>
    </row>
    <row r="1144" ht="18.75" customHeight="1">
      <c r="A1144" s="1107"/>
      <c r="B1144" s="1108" t="s">
        <v>3291</v>
      </c>
      <c r="C1144" s="1108" t="s">
        <v>3485</v>
      </c>
      <c r="D1144" s="1108" t="s">
        <v>3518</v>
      </c>
      <c r="E1144" s="1108" t="s">
        <v>3519</v>
      </c>
      <c r="F1144" s="1109">
        <v>0.1</v>
      </c>
      <c r="G1144" s="1109">
        <v>0.0</v>
      </c>
      <c r="H1144" s="1107"/>
    </row>
    <row r="1145" ht="18.75" customHeight="1">
      <c r="A1145" s="1107"/>
      <c r="B1145" s="1108" t="s">
        <v>3291</v>
      </c>
      <c r="C1145" s="1108" t="s">
        <v>3453</v>
      </c>
      <c r="D1145" s="1108" t="s">
        <v>3520</v>
      </c>
      <c r="E1145" s="1108" t="s">
        <v>3521</v>
      </c>
      <c r="F1145" s="1109">
        <v>0.1</v>
      </c>
      <c r="G1145" s="1109">
        <v>0.0</v>
      </c>
      <c r="H1145" s="1107"/>
    </row>
    <row r="1146" ht="18.75" customHeight="1">
      <c r="A1146" s="1107"/>
      <c r="B1146" s="1108" t="s">
        <v>3291</v>
      </c>
      <c r="C1146" s="1108" t="s">
        <v>3453</v>
      </c>
      <c r="D1146" s="1108" t="s">
        <v>3522</v>
      </c>
      <c r="E1146" s="1108" t="s">
        <v>3523</v>
      </c>
      <c r="F1146" s="1109">
        <v>0.1</v>
      </c>
      <c r="G1146" s="1109">
        <v>0.0</v>
      </c>
      <c r="H1146" s="1107"/>
    </row>
    <row r="1147" ht="18.75" customHeight="1">
      <c r="A1147" s="1107"/>
      <c r="B1147" s="1108" t="s">
        <v>3291</v>
      </c>
      <c r="C1147" s="1108" t="s">
        <v>3480</v>
      </c>
      <c r="D1147" s="1108" t="s">
        <v>3524</v>
      </c>
      <c r="E1147" s="1108" t="s">
        <v>3525</v>
      </c>
      <c r="F1147" s="1109">
        <v>0.1</v>
      </c>
      <c r="G1147" s="1109">
        <v>0.0</v>
      </c>
      <c r="H1147" s="1107"/>
    </row>
    <row r="1148" ht="18.75" customHeight="1">
      <c r="A1148" s="1107"/>
      <c r="B1148" s="1108" t="s">
        <v>3291</v>
      </c>
      <c r="C1148" s="1108" t="s">
        <v>3485</v>
      </c>
      <c r="D1148" s="1108" t="s">
        <v>3526</v>
      </c>
      <c r="E1148" s="1108" t="s">
        <v>3527</v>
      </c>
      <c r="F1148" s="1109">
        <v>0.1</v>
      </c>
      <c r="G1148" s="1109">
        <v>0.0</v>
      </c>
      <c r="H1148" s="1107"/>
    </row>
    <row r="1149" ht="18.75" customHeight="1">
      <c r="A1149" s="1107"/>
      <c r="B1149" s="1108" t="s">
        <v>3291</v>
      </c>
      <c r="C1149" s="1108" t="s">
        <v>3453</v>
      </c>
      <c r="D1149" s="1108" t="s">
        <v>3528</v>
      </c>
      <c r="E1149" s="1108" t="s">
        <v>3529</v>
      </c>
      <c r="F1149" s="1109">
        <v>0.1</v>
      </c>
      <c r="G1149" s="1109">
        <v>0.0</v>
      </c>
      <c r="H1149" s="1107"/>
    </row>
    <row r="1150" ht="18.75" customHeight="1">
      <c r="A1150" s="1107"/>
      <c r="B1150" s="1108" t="s">
        <v>3291</v>
      </c>
      <c r="C1150" s="1108" t="s">
        <v>3453</v>
      </c>
      <c r="D1150" s="1108" t="s">
        <v>3530</v>
      </c>
      <c r="E1150" s="1108" t="s">
        <v>3531</v>
      </c>
      <c r="F1150" s="1109">
        <v>0.1</v>
      </c>
      <c r="G1150" s="1109">
        <v>0.0</v>
      </c>
      <c r="H1150" s="1107"/>
    </row>
    <row r="1151" ht="18.75" customHeight="1">
      <c r="A1151" s="1107"/>
      <c r="B1151" s="1108" t="s">
        <v>3291</v>
      </c>
      <c r="C1151" s="1108" t="s">
        <v>3453</v>
      </c>
      <c r="D1151" s="1108" t="s">
        <v>3532</v>
      </c>
      <c r="E1151" s="1108" t="s">
        <v>3533</v>
      </c>
      <c r="F1151" s="1109">
        <v>0.1</v>
      </c>
      <c r="G1151" s="1109">
        <v>0.0</v>
      </c>
      <c r="H1151" s="1107"/>
    </row>
    <row r="1152" ht="18.75" customHeight="1">
      <c r="A1152" s="1107"/>
      <c r="B1152" s="1108" t="s">
        <v>3291</v>
      </c>
      <c r="C1152" s="1108" t="s">
        <v>3453</v>
      </c>
      <c r="D1152" s="1108" t="s">
        <v>3534</v>
      </c>
      <c r="E1152" s="1108" t="s">
        <v>3535</v>
      </c>
      <c r="F1152" s="1109">
        <v>0.1</v>
      </c>
      <c r="G1152" s="1109">
        <v>0.0</v>
      </c>
      <c r="H1152" s="1107"/>
    </row>
    <row r="1153" ht="18.75" customHeight="1">
      <c r="A1153" s="1107"/>
      <c r="B1153" s="1108" t="s">
        <v>3291</v>
      </c>
      <c r="C1153" s="1108" t="s">
        <v>3498</v>
      </c>
      <c r="D1153" s="1108" t="s">
        <v>3536</v>
      </c>
      <c r="E1153" s="1108" t="s">
        <v>3537</v>
      </c>
      <c r="F1153" s="1109">
        <v>0.1</v>
      </c>
      <c r="G1153" s="1109">
        <v>0.0</v>
      </c>
      <c r="H1153" s="1107"/>
    </row>
    <row r="1154" ht="18.75" customHeight="1">
      <c r="A1154" s="1107"/>
      <c r="B1154" s="1108" t="s">
        <v>3291</v>
      </c>
      <c r="C1154" s="1108" t="s">
        <v>3453</v>
      </c>
      <c r="D1154" s="1108" t="s">
        <v>3538</v>
      </c>
      <c r="E1154" s="1108" t="s">
        <v>3539</v>
      </c>
      <c r="F1154" s="1109">
        <v>0.1</v>
      </c>
      <c r="G1154" s="1109">
        <v>0.0</v>
      </c>
      <c r="H1154" s="1107"/>
    </row>
    <row r="1155" ht="18.75" customHeight="1">
      <c r="A1155" s="1107"/>
      <c r="B1155" s="1108" t="s">
        <v>3291</v>
      </c>
      <c r="C1155" s="1108" t="s">
        <v>3453</v>
      </c>
      <c r="D1155" s="1108" t="s">
        <v>3540</v>
      </c>
      <c r="E1155" s="1108" t="s">
        <v>3541</v>
      </c>
      <c r="F1155" s="1109">
        <v>0.1</v>
      </c>
      <c r="G1155" s="1109">
        <v>0.0</v>
      </c>
      <c r="H1155" s="1107"/>
    </row>
    <row r="1156" ht="18.75" customHeight="1">
      <c r="A1156" s="1107"/>
      <c r="B1156" s="1108" t="s">
        <v>3291</v>
      </c>
      <c r="C1156" s="1108" t="s">
        <v>3453</v>
      </c>
      <c r="D1156" s="1108" t="s">
        <v>3542</v>
      </c>
      <c r="E1156" s="1108" t="s">
        <v>3543</v>
      </c>
      <c r="F1156" s="1109">
        <v>0.1</v>
      </c>
      <c r="G1156" s="1109">
        <v>0.0</v>
      </c>
      <c r="H1156" s="1107"/>
    </row>
    <row r="1157" ht="18.75" customHeight="1">
      <c r="A1157" s="1107"/>
      <c r="B1157" s="1108" t="s">
        <v>3291</v>
      </c>
      <c r="C1157" s="1108" t="s">
        <v>3498</v>
      </c>
      <c r="D1157" s="1108" t="s">
        <v>3544</v>
      </c>
      <c r="E1157" s="1108" t="s">
        <v>3545</v>
      </c>
      <c r="F1157" s="1109">
        <v>0.1</v>
      </c>
      <c r="G1157" s="1109">
        <v>0.0</v>
      </c>
      <c r="H1157" s="1107"/>
    </row>
    <row r="1158" ht="18.75" customHeight="1">
      <c r="A1158" s="1107"/>
      <c r="B1158" s="1108" t="s">
        <v>3291</v>
      </c>
      <c r="C1158" s="1108" t="s">
        <v>3453</v>
      </c>
      <c r="D1158" s="1108" t="s">
        <v>3546</v>
      </c>
      <c r="E1158" s="1108" t="s">
        <v>3547</v>
      </c>
      <c r="F1158" s="1109">
        <v>0.1</v>
      </c>
      <c r="G1158" s="1109">
        <v>0.0</v>
      </c>
      <c r="H1158" s="1107"/>
    </row>
    <row r="1159" ht="18.75" customHeight="1">
      <c r="A1159" s="1107"/>
      <c r="B1159" s="1108" t="s">
        <v>3291</v>
      </c>
      <c r="C1159" s="1108" t="s">
        <v>3453</v>
      </c>
      <c r="D1159" s="1108" t="s">
        <v>3548</v>
      </c>
      <c r="E1159" s="1108" t="s">
        <v>3549</v>
      </c>
      <c r="F1159" s="1109">
        <v>0.1</v>
      </c>
      <c r="G1159" s="1109">
        <v>0.0</v>
      </c>
      <c r="H1159" s="1107"/>
    </row>
    <row r="1160" ht="18.75" customHeight="1">
      <c r="A1160" s="1107"/>
      <c r="B1160" s="1108" t="s">
        <v>3291</v>
      </c>
      <c r="C1160" s="1108" t="s">
        <v>3453</v>
      </c>
      <c r="D1160" s="1108" t="s">
        <v>3550</v>
      </c>
      <c r="E1160" s="1108" t="s">
        <v>3551</v>
      </c>
      <c r="F1160" s="1109">
        <v>0.1</v>
      </c>
      <c r="G1160" s="1109">
        <v>0.0</v>
      </c>
      <c r="H1160" s="1107"/>
    </row>
    <row r="1161" ht="18.75" customHeight="1">
      <c r="A1161" s="1107"/>
      <c r="B1161" s="1108" t="s">
        <v>3291</v>
      </c>
      <c r="C1161" s="1108" t="s">
        <v>3453</v>
      </c>
      <c r="D1161" s="1108" t="s">
        <v>3552</v>
      </c>
      <c r="E1161" s="1108" t="s">
        <v>3553</v>
      </c>
      <c r="F1161" s="1109">
        <v>0.1</v>
      </c>
      <c r="G1161" s="1109">
        <v>0.0</v>
      </c>
      <c r="H1161" s="1107"/>
    </row>
    <row r="1162" ht="18.75" customHeight="1">
      <c r="A1162" s="1107"/>
      <c r="B1162" s="1108" t="s">
        <v>3291</v>
      </c>
      <c r="C1162" s="1108" t="s">
        <v>3453</v>
      </c>
      <c r="D1162" s="1108" t="s">
        <v>3554</v>
      </c>
      <c r="E1162" s="1108" t="s">
        <v>3555</v>
      </c>
      <c r="F1162" s="1109">
        <v>0.1</v>
      </c>
      <c r="G1162" s="1109">
        <v>0.0</v>
      </c>
      <c r="H1162" s="1107"/>
    </row>
    <row r="1163" ht="18.75" customHeight="1">
      <c r="A1163" s="1107"/>
      <c r="B1163" s="1108" t="s">
        <v>3291</v>
      </c>
      <c r="C1163" s="1108" t="s">
        <v>3453</v>
      </c>
      <c r="D1163" s="1108" t="s">
        <v>3556</v>
      </c>
      <c r="E1163" s="1108" t="s">
        <v>3557</v>
      </c>
      <c r="F1163" s="1109">
        <v>0.1</v>
      </c>
      <c r="G1163" s="1109">
        <v>0.0</v>
      </c>
      <c r="H1163" s="1107"/>
    </row>
    <row r="1164" ht="18.75" customHeight="1">
      <c r="A1164" s="1107"/>
      <c r="B1164" s="1108" t="s">
        <v>3291</v>
      </c>
      <c r="C1164" s="1108" t="s">
        <v>3453</v>
      </c>
      <c r="D1164" s="1108" t="s">
        <v>3558</v>
      </c>
      <c r="E1164" s="1108" t="s">
        <v>3559</v>
      </c>
      <c r="F1164" s="1109">
        <v>0.1</v>
      </c>
      <c r="G1164" s="1109">
        <v>0.0</v>
      </c>
      <c r="H1164" s="1107"/>
    </row>
    <row r="1165" ht="18.75" customHeight="1">
      <c r="A1165" s="1107"/>
      <c r="B1165" s="1108" t="s">
        <v>3291</v>
      </c>
      <c r="C1165" s="1108" t="s">
        <v>3453</v>
      </c>
      <c r="D1165" s="1108" t="s">
        <v>3560</v>
      </c>
      <c r="E1165" s="1108" t="s">
        <v>3561</v>
      </c>
      <c r="F1165" s="1109">
        <v>0.1</v>
      </c>
      <c r="G1165" s="1109">
        <v>0.0</v>
      </c>
      <c r="H1165" s="1107"/>
    </row>
    <row r="1166" ht="18.75" customHeight="1">
      <c r="A1166" s="1107"/>
      <c r="B1166" s="1108" t="s">
        <v>3291</v>
      </c>
      <c r="C1166" s="1108" t="s">
        <v>3485</v>
      </c>
      <c r="D1166" s="1108" t="s">
        <v>3562</v>
      </c>
      <c r="E1166" s="1108" t="s">
        <v>3563</v>
      </c>
      <c r="F1166" s="1109">
        <v>0.1</v>
      </c>
      <c r="G1166" s="1109">
        <v>0.0</v>
      </c>
      <c r="H1166" s="1107"/>
    </row>
    <row r="1167" ht="18.75" customHeight="1">
      <c r="A1167" s="1107"/>
      <c r="B1167" s="1108" t="s">
        <v>3291</v>
      </c>
      <c r="C1167" s="1108" t="s">
        <v>3485</v>
      </c>
      <c r="D1167" s="1108" t="s">
        <v>3564</v>
      </c>
      <c r="E1167" s="1108" t="s">
        <v>3565</v>
      </c>
      <c r="F1167" s="1109">
        <v>0.1</v>
      </c>
      <c r="G1167" s="1109">
        <v>0.0</v>
      </c>
      <c r="H1167" s="1107"/>
    </row>
    <row r="1168" ht="18.75" customHeight="1">
      <c r="A1168" s="1107"/>
      <c r="B1168" s="1108" t="s">
        <v>3291</v>
      </c>
      <c r="C1168" s="1108" t="s">
        <v>3453</v>
      </c>
      <c r="D1168" s="1108" t="s">
        <v>3566</v>
      </c>
      <c r="E1168" s="1108" t="s">
        <v>3567</v>
      </c>
      <c r="F1168" s="1109">
        <v>0.1</v>
      </c>
      <c r="G1168" s="1109">
        <v>0.0</v>
      </c>
      <c r="H1168" s="1107"/>
    </row>
    <row r="1169" ht="18.75" customHeight="1">
      <c r="A1169" s="1107"/>
      <c r="B1169" s="1108" t="s">
        <v>3291</v>
      </c>
      <c r="C1169" s="1108" t="s">
        <v>3453</v>
      </c>
      <c r="D1169" s="1108" t="s">
        <v>3568</v>
      </c>
      <c r="E1169" s="1108" t="s">
        <v>3569</v>
      </c>
      <c r="F1169" s="1109">
        <v>0.1</v>
      </c>
      <c r="G1169" s="1109">
        <v>0.0</v>
      </c>
      <c r="H1169" s="1107"/>
    </row>
    <row r="1170" ht="18.75" customHeight="1">
      <c r="A1170" s="1107"/>
      <c r="B1170" s="1108" t="s">
        <v>3291</v>
      </c>
      <c r="C1170" s="1108" t="s">
        <v>3453</v>
      </c>
      <c r="D1170" s="1108" t="s">
        <v>3570</v>
      </c>
      <c r="E1170" s="1108" t="s">
        <v>3571</v>
      </c>
      <c r="F1170" s="1109">
        <v>0.1</v>
      </c>
      <c r="G1170" s="1109">
        <v>0.0</v>
      </c>
      <c r="H1170" s="1107"/>
    </row>
    <row r="1171" ht="18.75" customHeight="1">
      <c r="A1171" s="1107"/>
      <c r="B1171" s="1108" t="s">
        <v>3291</v>
      </c>
      <c r="C1171" s="1108" t="s">
        <v>3453</v>
      </c>
      <c r="D1171" s="1108" t="s">
        <v>3572</v>
      </c>
      <c r="E1171" s="1108" t="s">
        <v>3573</v>
      </c>
      <c r="F1171" s="1109">
        <v>0.1</v>
      </c>
      <c r="G1171" s="1109">
        <v>0.0</v>
      </c>
      <c r="H1171" s="1107"/>
    </row>
    <row r="1172" ht="18.75" customHeight="1">
      <c r="A1172" s="1107"/>
      <c r="B1172" s="1108" t="s">
        <v>3291</v>
      </c>
      <c r="C1172" s="1108" t="s">
        <v>3453</v>
      </c>
      <c r="D1172" s="1108" t="s">
        <v>3574</v>
      </c>
      <c r="E1172" s="1108" t="s">
        <v>3575</v>
      </c>
      <c r="F1172" s="1109">
        <v>0.1</v>
      </c>
      <c r="G1172" s="1109">
        <v>0.0</v>
      </c>
      <c r="H1172" s="1107"/>
    </row>
    <row r="1173" ht="18.75" customHeight="1">
      <c r="A1173" s="1107"/>
      <c r="B1173" s="1108" t="s">
        <v>3291</v>
      </c>
      <c r="C1173" s="1108" t="s">
        <v>3453</v>
      </c>
      <c r="D1173" s="1108" t="s">
        <v>3576</v>
      </c>
      <c r="E1173" s="1108" t="s">
        <v>3577</v>
      </c>
      <c r="F1173" s="1109">
        <v>0.1</v>
      </c>
      <c r="G1173" s="1109">
        <v>0.0</v>
      </c>
      <c r="H1173" s="1107"/>
    </row>
    <row r="1174" ht="18.75" customHeight="1">
      <c r="A1174" s="1107"/>
      <c r="B1174" s="1108" t="s">
        <v>3291</v>
      </c>
      <c r="C1174" s="1108" t="s">
        <v>3453</v>
      </c>
      <c r="D1174" s="1108" t="s">
        <v>3578</v>
      </c>
      <c r="E1174" s="1108" t="s">
        <v>3579</v>
      </c>
      <c r="F1174" s="1109">
        <v>0.1</v>
      </c>
      <c r="G1174" s="1109">
        <v>0.0</v>
      </c>
      <c r="H1174" s="1107"/>
    </row>
    <row r="1175" ht="18.75" customHeight="1">
      <c r="A1175" s="1107"/>
      <c r="B1175" s="1108" t="s">
        <v>3291</v>
      </c>
      <c r="C1175" s="1108" t="s">
        <v>3453</v>
      </c>
      <c r="D1175" s="1108" t="s">
        <v>3580</v>
      </c>
      <c r="E1175" s="1108" t="s">
        <v>3581</v>
      </c>
      <c r="F1175" s="1109">
        <v>0.1</v>
      </c>
      <c r="G1175" s="1109">
        <v>0.0</v>
      </c>
      <c r="H1175" s="1107"/>
    </row>
    <row r="1176" ht="18.75" customHeight="1">
      <c r="A1176" s="1107"/>
      <c r="B1176" s="1108" t="s">
        <v>3291</v>
      </c>
      <c r="C1176" s="1108" t="s">
        <v>3507</v>
      </c>
      <c r="D1176" s="1108" t="s">
        <v>3582</v>
      </c>
      <c r="E1176" s="1108" t="s">
        <v>3583</v>
      </c>
      <c r="F1176" s="1109">
        <v>0.1</v>
      </c>
      <c r="G1176" s="1109">
        <v>0.0</v>
      </c>
      <c r="H1176" s="1107"/>
    </row>
    <row r="1177" ht="18.75" customHeight="1">
      <c r="A1177" s="1107"/>
      <c r="B1177" s="1108" t="s">
        <v>3291</v>
      </c>
      <c r="C1177" s="1108" t="s">
        <v>3453</v>
      </c>
      <c r="D1177" s="1108" t="s">
        <v>3584</v>
      </c>
      <c r="E1177" s="1108" t="s">
        <v>3585</v>
      </c>
      <c r="F1177" s="1109">
        <v>0.1</v>
      </c>
      <c r="G1177" s="1109">
        <v>0.0</v>
      </c>
      <c r="H1177" s="1107"/>
    </row>
    <row r="1178" ht="18.75" customHeight="1">
      <c r="A1178" s="1107"/>
      <c r="B1178" s="1108" t="s">
        <v>3291</v>
      </c>
      <c r="C1178" s="1108" t="s">
        <v>3453</v>
      </c>
      <c r="D1178" s="1108" t="s">
        <v>3586</v>
      </c>
      <c r="E1178" s="1108" t="s">
        <v>3587</v>
      </c>
      <c r="F1178" s="1109">
        <v>0.1</v>
      </c>
      <c r="G1178" s="1109">
        <v>0.0</v>
      </c>
      <c r="H1178" s="1107"/>
    </row>
    <row r="1179" ht="18.75" customHeight="1">
      <c r="A1179" s="1107"/>
      <c r="B1179" s="1108" t="s">
        <v>3291</v>
      </c>
      <c r="C1179" s="1108" t="s">
        <v>3498</v>
      </c>
      <c r="D1179" s="1108" t="s">
        <v>3588</v>
      </c>
      <c r="E1179" s="1108" t="s">
        <v>3589</v>
      </c>
      <c r="F1179" s="1109">
        <v>0.1</v>
      </c>
      <c r="G1179" s="1109">
        <v>0.0</v>
      </c>
      <c r="H1179" s="1107"/>
    </row>
    <row r="1180" ht="18.75" customHeight="1">
      <c r="A1180" s="1107"/>
      <c r="B1180" s="1108" t="s">
        <v>3291</v>
      </c>
      <c r="C1180" s="1108" t="s">
        <v>3453</v>
      </c>
      <c r="D1180" s="1108" t="s">
        <v>3590</v>
      </c>
      <c r="E1180" s="1108" t="s">
        <v>3591</v>
      </c>
      <c r="F1180" s="1109">
        <v>0.1</v>
      </c>
      <c r="G1180" s="1109">
        <v>0.0</v>
      </c>
      <c r="H1180" s="1107"/>
    </row>
    <row r="1181" ht="18.75" customHeight="1">
      <c r="A1181" s="1107"/>
      <c r="B1181" s="1108" t="s">
        <v>3291</v>
      </c>
      <c r="C1181" s="1108" t="s">
        <v>3453</v>
      </c>
      <c r="D1181" s="1108" t="s">
        <v>3592</v>
      </c>
      <c r="E1181" s="1108" t="s">
        <v>3593</v>
      </c>
      <c r="F1181" s="1109">
        <v>0.1</v>
      </c>
      <c r="G1181" s="1109">
        <v>0.0</v>
      </c>
      <c r="H1181" s="1107"/>
    </row>
    <row r="1182" ht="18.75" customHeight="1">
      <c r="A1182" s="1107"/>
      <c r="B1182" s="1108" t="s">
        <v>3291</v>
      </c>
      <c r="C1182" s="1108" t="s">
        <v>3453</v>
      </c>
      <c r="D1182" s="1108" t="s">
        <v>3594</v>
      </c>
      <c r="E1182" s="1108" t="s">
        <v>3595</v>
      </c>
      <c r="F1182" s="1109">
        <v>0.1</v>
      </c>
      <c r="G1182" s="1109">
        <v>0.0</v>
      </c>
      <c r="H1182" s="1107"/>
    </row>
    <row r="1183" ht="18.75" customHeight="1">
      <c r="A1183" s="1107"/>
      <c r="B1183" s="1108" t="s">
        <v>3291</v>
      </c>
      <c r="C1183" s="1108" t="s">
        <v>3453</v>
      </c>
      <c r="D1183" s="1108" t="s">
        <v>3596</v>
      </c>
      <c r="E1183" s="1108" t="s">
        <v>3597</v>
      </c>
      <c r="F1183" s="1109">
        <v>0.1</v>
      </c>
      <c r="G1183" s="1109">
        <v>0.0</v>
      </c>
      <c r="H1183" s="1107"/>
    </row>
    <row r="1184" ht="18.75" customHeight="1">
      <c r="A1184" s="1107"/>
      <c r="B1184" s="1108" t="s">
        <v>3291</v>
      </c>
      <c r="C1184" s="1108" t="s">
        <v>3453</v>
      </c>
      <c r="D1184" s="1108" t="s">
        <v>3598</v>
      </c>
      <c r="E1184" s="1108" t="s">
        <v>3599</v>
      </c>
      <c r="F1184" s="1109">
        <v>0.1</v>
      </c>
      <c r="G1184" s="1109">
        <v>0.0</v>
      </c>
      <c r="H1184" s="1107"/>
    </row>
    <row r="1185" ht="18.75" customHeight="1">
      <c r="A1185" s="1107"/>
      <c r="B1185" s="1108" t="s">
        <v>3291</v>
      </c>
      <c r="C1185" s="1108" t="s">
        <v>3453</v>
      </c>
      <c r="D1185" s="1108" t="s">
        <v>3600</v>
      </c>
      <c r="E1185" s="1108" t="s">
        <v>3601</v>
      </c>
      <c r="F1185" s="1109">
        <v>0.1</v>
      </c>
      <c r="G1185" s="1109">
        <v>0.0</v>
      </c>
      <c r="H1185" s="1107"/>
    </row>
    <row r="1186" ht="18.75" customHeight="1">
      <c r="A1186" s="1107"/>
      <c r="B1186" s="1108" t="s">
        <v>3291</v>
      </c>
      <c r="C1186" s="1108" t="s">
        <v>3485</v>
      </c>
      <c r="D1186" s="1108" t="s">
        <v>3602</v>
      </c>
      <c r="E1186" s="1108" t="s">
        <v>3603</v>
      </c>
      <c r="F1186" s="1109">
        <v>0.1</v>
      </c>
      <c r="G1186" s="1109">
        <v>0.0</v>
      </c>
      <c r="H1186" s="1107"/>
    </row>
    <row r="1187" ht="18.75" customHeight="1">
      <c r="A1187" s="1107"/>
      <c r="B1187" s="1108" t="s">
        <v>3291</v>
      </c>
      <c r="C1187" s="1108" t="s">
        <v>3453</v>
      </c>
      <c r="D1187" s="1108" t="s">
        <v>3604</v>
      </c>
      <c r="E1187" s="1108" t="s">
        <v>3605</v>
      </c>
      <c r="F1187" s="1109">
        <v>0.1</v>
      </c>
      <c r="G1187" s="1109">
        <v>0.0</v>
      </c>
      <c r="H1187" s="1107"/>
    </row>
    <row r="1188" ht="18.75" customHeight="1">
      <c r="A1188" s="1107"/>
      <c r="B1188" s="1108" t="s">
        <v>3291</v>
      </c>
      <c r="C1188" s="1108" t="s">
        <v>3453</v>
      </c>
      <c r="D1188" s="1108" t="s">
        <v>3606</v>
      </c>
      <c r="E1188" s="1108" t="s">
        <v>3607</v>
      </c>
      <c r="F1188" s="1109">
        <v>0.1</v>
      </c>
      <c r="G1188" s="1109">
        <v>0.0</v>
      </c>
      <c r="H1188" s="1107"/>
    </row>
    <row r="1189" ht="18.75" customHeight="1">
      <c r="A1189" s="1107"/>
      <c r="B1189" s="1108" t="s">
        <v>3291</v>
      </c>
      <c r="C1189" s="1108" t="s">
        <v>3453</v>
      </c>
      <c r="D1189" s="1108" t="s">
        <v>3608</v>
      </c>
      <c r="E1189" s="1108" t="s">
        <v>3609</v>
      </c>
      <c r="F1189" s="1109">
        <v>0.1</v>
      </c>
      <c r="G1189" s="1109">
        <v>0.0</v>
      </c>
      <c r="H1189" s="1107"/>
    </row>
    <row r="1190" ht="18.75" customHeight="1">
      <c r="A1190" s="1107"/>
      <c r="B1190" s="1108" t="s">
        <v>3291</v>
      </c>
      <c r="C1190" s="1108" t="s">
        <v>3453</v>
      </c>
      <c r="D1190" s="1108" t="s">
        <v>3610</v>
      </c>
      <c r="E1190" s="1108" t="s">
        <v>3611</v>
      </c>
      <c r="F1190" s="1109">
        <v>0.1</v>
      </c>
      <c r="G1190" s="1109">
        <v>0.0</v>
      </c>
      <c r="H1190" s="1107"/>
    </row>
    <row r="1191" ht="18.75" customHeight="1">
      <c r="A1191" s="1107"/>
      <c r="B1191" s="1108" t="s">
        <v>3291</v>
      </c>
      <c r="C1191" s="1108" t="s">
        <v>3453</v>
      </c>
      <c r="D1191" s="1108" t="s">
        <v>3612</v>
      </c>
      <c r="E1191" s="1108" t="s">
        <v>3613</v>
      </c>
      <c r="F1191" s="1109">
        <v>0.1</v>
      </c>
      <c r="G1191" s="1109">
        <v>0.0</v>
      </c>
      <c r="H1191" s="1107"/>
    </row>
    <row r="1192" ht="18.75" customHeight="1">
      <c r="A1192" s="1107"/>
      <c r="B1192" s="1108" t="s">
        <v>3291</v>
      </c>
      <c r="C1192" s="1108" t="s">
        <v>3453</v>
      </c>
      <c r="D1192" s="1108" t="s">
        <v>3614</v>
      </c>
      <c r="E1192" s="1108" t="s">
        <v>3615</v>
      </c>
      <c r="F1192" s="1109">
        <v>0.1</v>
      </c>
      <c r="G1192" s="1109">
        <v>0.0</v>
      </c>
      <c r="H1192" s="1107"/>
    </row>
    <row r="1193" ht="18.75" customHeight="1">
      <c r="A1193" s="1107"/>
      <c r="B1193" s="1108" t="s">
        <v>3291</v>
      </c>
      <c r="C1193" s="1108" t="s">
        <v>3453</v>
      </c>
      <c r="D1193" s="1108" t="s">
        <v>3616</v>
      </c>
      <c r="E1193" s="1108" t="s">
        <v>3617</v>
      </c>
      <c r="F1193" s="1109">
        <v>0.1</v>
      </c>
      <c r="G1193" s="1109">
        <v>0.0</v>
      </c>
      <c r="H1193" s="1107"/>
    </row>
    <row r="1194" ht="18.75" customHeight="1">
      <c r="A1194" s="1107"/>
      <c r="B1194" s="1108" t="s">
        <v>3291</v>
      </c>
      <c r="C1194" s="1108" t="s">
        <v>3453</v>
      </c>
      <c r="D1194" s="1108" t="s">
        <v>3618</v>
      </c>
      <c r="E1194" s="1108" t="s">
        <v>3619</v>
      </c>
      <c r="F1194" s="1109">
        <v>0.1</v>
      </c>
      <c r="G1194" s="1109">
        <v>0.0</v>
      </c>
      <c r="H1194" s="1107"/>
    </row>
    <row r="1195" ht="18.75" customHeight="1">
      <c r="A1195" s="1107"/>
      <c r="B1195" s="1108" t="s">
        <v>3291</v>
      </c>
      <c r="C1195" s="1108" t="s">
        <v>3480</v>
      </c>
      <c r="D1195" s="1108" t="s">
        <v>3620</v>
      </c>
      <c r="E1195" s="1108" t="s">
        <v>3621</v>
      </c>
      <c r="F1195" s="1109">
        <v>0.1</v>
      </c>
      <c r="G1195" s="1109">
        <v>0.0</v>
      </c>
      <c r="H1195" s="1107"/>
    </row>
    <row r="1196" ht="18.75" customHeight="1">
      <c r="A1196" s="1107"/>
      <c r="B1196" s="1108" t="s">
        <v>3291</v>
      </c>
      <c r="C1196" s="1108" t="s">
        <v>3453</v>
      </c>
      <c r="D1196" s="1108" t="s">
        <v>3622</v>
      </c>
      <c r="E1196" s="1108" t="s">
        <v>3623</v>
      </c>
      <c r="F1196" s="1109">
        <v>0.1</v>
      </c>
      <c r="G1196" s="1109">
        <v>0.0</v>
      </c>
      <c r="H1196" s="1107"/>
    </row>
    <row r="1197" ht="18.75" customHeight="1">
      <c r="A1197" s="1107"/>
      <c r="B1197" s="1108" t="s">
        <v>3291</v>
      </c>
      <c r="C1197" s="1108" t="s">
        <v>3498</v>
      </c>
      <c r="D1197" s="1108" t="s">
        <v>3624</v>
      </c>
      <c r="E1197" s="1108" t="s">
        <v>3625</v>
      </c>
      <c r="F1197" s="1109">
        <v>0.1</v>
      </c>
      <c r="G1197" s="1109">
        <v>0.0</v>
      </c>
      <c r="H1197" s="1107"/>
    </row>
    <row r="1198" ht="18.75" customHeight="1">
      <c r="A1198" s="1107"/>
      <c r="B1198" s="1108" t="s">
        <v>3291</v>
      </c>
      <c r="C1198" s="1108" t="s">
        <v>3453</v>
      </c>
      <c r="D1198" s="1108" t="s">
        <v>3626</v>
      </c>
      <c r="E1198" s="1108" t="s">
        <v>3627</v>
      </c>
      <c r="F1198" s="1109">
        <v>0.1</v>
      </c>
      <c r="G1198" s="1109">
        <v>0.0</v>
      </c>
      <c r="H1198" s="1107"/>
    </row>
    <row r="1199" ht="18.75" customHeight="1">
      <c r="A1199" s="1107"/>
      <c r="B1199" s="1108" t="s">
        <v>3291</v>
      </c>
      <c r="C1199" s="1108" t="s">
        <v>3453</v>
      </c>
      <c r="D1199" s="1108" t="s">
        <v>3628</v>
      </c>
      <c r="E1199" s="1108" t="s">
        <v>3629</v>
      </c>
      <c r="F1199" s="1109">
        <v>0.1</v>
      </c>
      <c r="G1199" s="1109">
        <v>0.0</v>
      </c>
      <c r="H1199" s="1107"/>
    </row>
    <row r="1200" ht="18.75" customHeight="1">
      <c r="A1200" s="1107"/>
      <c r="B1200" s="1108" t="s">
        <v>3291</v>
      </c>
      <c r="C1200" s="1108" t="s">
        <v>3453</v>
      </c>
      <c r="D1200" s="1108" t="s">
        <v>3630</v>
      </c>
      <c r="E1200" s="1108" t="s">
        <v>3631</v>
      </c>
      <c r="F1200" s="1109">
        <v>0.1</v>
      </c>
      <c r="G1200" s="1109">
        <v>0.0</v>
      </c>
      <c r="H1200" s="1107"/>
    </row>
    <row r="1201" ht="18.75" customHeight="1">
      <c r="A1201" s="1107"/>
      <c r="B1201" s="1108" t="s">
        <v>3291</v>
      </c>
      <c r="C1201" s="1108" t="s">
        <v>3507</v>
      </c>
      <c r="D1201" s="1108" t="s">
        <v>3632</v>
      </c>
      <c r="E1201" s="1108" t="s">
        <v>3633</v>
      </c>
      <c r="F1201" s="1109">
        <v>0.1</v>
      </c>
      <c r="G1201" s="1109">
        <v>0.0</v>
      </c>
      <c r="H1201" s="1107"/>
    </row>
    <row r="1202" ht="18.75" customHeight="1">
      <c r="A1202" s="1107"/>
      <c r="B1202" s="1108" t="s">
        <v>3291</v>
      </c>
      <c r="C1202" s="1108" t="s">
        <v>3453</v>
      </c>
      <c r="D1202" s="1108" t="s">
        <v>3634</v>
      </c>
      <c r="E1202" s="1108" t="s">
        <v>3635</v>
      </c>
      <c r="F1202" s="1109">
        <v>0.1</v>
      </c>
      <c r="G1202" s="1109">
        <v>0.0</v>
      </c>
      <c r="H1202" s="1107"/>
    </row>
    <row r="1203" ht="18.75" customHeight="1">
      <c r="A1203" s="1107"/>
      <c r="B1203" s="1108" t="s">
        <v>3291</v>
      </c>
      <c r="C1203" s="1108" t="s">
        <v>3453</v>
      </c>
      <c r="D1203" s="1108" t="s">
        <v>3636</v>
      </c>
      <c r="E1203" s="1108" t="s">
        <v>3637</v>
      </c>
      <c r="F1203" s="1109">
        <v>0.1</v>
      </c>
      <c r="G1203" s="1109">
        <v>0.0</v>
      </c>
      <c r="H1203" s="1107"/>
    </row>
    <row r="1204" ht="18.75" customHeight="1">
      <c r="A1204" s="1107"/>
      <c r="B1204" s="1108" t="s">
        <v>3291</v>
      </c>
      <c r="C1204" s="1108" t="s">
        <v>3453</v>
      </c>
      <c r="D1204" s="1108" t="s">
        <v>3638</v>
      </c>
      <c r="E1204" s="1108" t="s">
        <v>3639</v>
      </c>
      <c r="F1204" s="1109">
        <v>0.1</v>
      </c>
      <c r="G1204" s="1109">
        <v>0.0</v>
      </c>
      <c r="H1204" s="1107"/>
    </row>
    <row r="1205" ht="18.75" customHeight="1">
      <c r="A1205" s="1107"/>
      <c r="B1205" s="1108" t="s">
        <v>3291</v>
      </c>
      <c r="C1205" s="1108" t="s">
        <v>3453</v>
      </c>
      <c r="D1205" s="1108" t="s">
        <v>3640</v>
      </c>
      <c r="E1205" s="1108" t="s">
        <v>3641</v>
      </c>
      <c r="F1205" s="1109">
        <v>0.1</v>
      </c>
      <c r="G1205" s="1109">
        <v>0.0</v>
      </c>
      <c r="H1205" s="1107"/>
    </row>
    <row r="1206" ht="18.75" customHeight="1">
      <c r="A1206" s="1107"/>
      <c r="B1206" s="1108" t="s">
        <v>3291</v>
      </c>
      <c r="C1206" s="1108" t="s">
        <v>3453</v>
      </c>
      <c r="D1206" s="1108" t="s">
        <v>3642</v>
      </c>
      <c r="E1206" s="1108" t="s">
        <v>3643</v>
      </c>
      <c r="F1206" s="1109">
        <v>0.1</v>
      </c>
      <c r="G1206" s="1109">
        <v>0.0</v>
      </c>
      <c r="H1206" s="1107"/>
    </row>
    <row r="1207" ht="18.75" customHeight="1">
      <c r="A1207" s="1107"/>
      <c r="B1207" s="1108" t="s">
        <v>3291</v>
      </c>
      <c r="C1207" s="1108" t="s">
        <v>3453</v>
      </c>
      <c r="D1207" s="1108" t="s">
        <v>3644</v>
      </c>
      <c r="E1207" s="1108" t="s">
        <v>3645</v>
      </c>
      <c r="F1207" s="1109">
        <v>0.1</v>
      </c>
      <c r="G1207" s="1109">
        <v>0.0</v>
      </c>
      <c r="H1207" s="1107"/>
    </row>
    <row r="1208" ht="18.75" customHeight="1">
      <c r="A1208" s="1107"/>
      <c r="B1208" s="1108" t="s">
        <v>3291</v>
      </c>
      <c r="C1208" s="1108" t="s">
        <v>3485</v>
      </c>
      <c r="D1208" s="1108" t="s">
        <v>3646</v>
      </c>
      <c r="E1208" s="1108" t="s">
        <v>3647</v>
      </c>
      <c r="F1208" s="1109">
        <v>0.1</v>
      </c>
      <c r="G1208" s="1109">
        <v>0.0</v>
      </c>
      <c r="H1208" s="1107"/>
    </row>
    <row r="1209" ht="18.75" customHeight="1">
      <c r="A1209" s="1107"/>
      <c r="B1209" s="1108" t="s">
        <v>3291</v>
      </c>
      <c r="C1209" s="1108" t="s">
        <v>3485</v>
      </c>
      <c r="D1209" s="1108" t="s">
        <v>3648</v>
      </c>
      <c r="E1209" s="1108" t="s">
        <v>3649</v>
      </c>
      <c r="F1209" s="1109">
        <v>0.1</v>
      </c>
      <c r="G1209" s="1109">
        <v>0.0</v>
      </c>
      <c r="H1209" s="1107"/>
    </row>
    <row r="1210" ht="18.75" customHeight="1">
      <c r="A1210" s="1107"/>
      <c r="B1210" s="1108" t="s">
        <v>3291</v>
      </c>
      <c r="C1210" s="1108" t="s">
        <v>3453</v>
      </c>
      <c r="D1210" s="1108" t="s">
        <v>3650</v>
      </c>
      <c r="E1210" s="1108" t="s">
        <v>3651</v>
      </c>
      <c r="F1210" s="1109">
        <v>0.1</v>
      </c>
      <c r="G1210" s="1109">
        <v>0.0</v>
      </c>
      <c r="H1210" s="1107"/>
    </row>
    <row r="1211" ht="18.75" customHeight="1">
      <c r="A1211" s="1107"/>
      <c r="B1211" s="1108" t="s">
        <v>3291</v>
      </c>
      <c r="C1211" s="1108" t="s">
        <v>3453</v>
      </c>
      <c r="D1211" s="1108" t="s">
        <v>3652</v>
      </c>
      <c r="E1211" s="1108" t="s">
        <v>3653</v>
      </c>
      <c r="F1211" s="1109">
        <v>0.1</v>
      </c>
      <c r="G1211" s="1109">
        <v>0.0</v>
      </c>
      <c r="H1211" s="1107"/>
    </row>
    <row r="1212" ht="18.75" customHeight="1">
      <c r="A1212" s="1107"/>
      <c r="B1212" s="1108" t="s">
        <v>3291</v>
      </c>
      <c r="C1212" s="1108" t="s">
        <v>3507</v>
      </c>
      <c r="D1212" s="1108" t="s">
        <v>3654</v>
      </c>
      <c r="E1212" s="1108" t="s">
        <v>3655</v>
      </c>
      <c r="F1212" s="1109">
        <v>0.1</v>
      </c>
      <c r="G1212" s="1109">
        <v>0.0</v>
      </c>
      <c r="H1212" s="1107"/>
    </row>
    <row r="1213" ht="18.75" customHeight="1">
      <c r="A1213" s="1107"/>
      <c r="B1213" s="1108" t="s">
        <v>3291</v>
      </c>
      <c r="C1213" s="1108" t="s">
        <v>3507</v>
      </c>
      <c r="D1213" s="1108" t="s">
        <v>3656</v>
      </c>
      <c r="E1213" s="1108" t="s">
        <v>3657</v>
      </c>
      <c r="F1213" s="1109">
        <v>0.1</v>
      </c>
      <c r="G1213" s="1109">
        <v>0.0</v>
      </c>
      <c r="H1213" s="1107"/>
    </row>
    <row r="1214" ht="18.75" customHeight="1">
      <c r="A1214" s="1107"/>
      <c r="B1214" s="1108" t="s">
        <v>3291</v>
      </c>
      <c r="C1214" s="1108" t="s">
        <v>3453</v>
      </c>
      <c r="D1214" s="1108" t="s">
        <v>3658</v>
      </c>
      <c r="E1214" s="1108" t="s">
        <v>3659</v>
      </c>
      <c r="F1214" s="1109">
        <v>0.1</v>
      </c>
      <c r="G1214" s="1109">
        <v>0.0</v>
      </c>
      <c r="H1214" s="1107"/>
    </row>
    <row r="1215" ht="18.75" customHeight="1">
      <c r="A1215" s="1107"/>
      <c r="B1215" s="1108" t="s">
        <v>3291</v>
      </c>
      <c r="C1215" s="1108" t="s">
        <v>3453</v>
      </c>
      <c r="D1215" s="1108" t="s">
        <v>3660</v>
      </c>
      <c r="E1215" s="1108" t="s">
        <v>3661</v>
      </c>
      <c r="F1215" s="1109">
        <v>0.1</v>
      </c>
      <c r="G1215" s="1109">
        <v>0.0</v>
      </c>
      <c r="H1215" s="1107"/>
    </row>
    <row r="1216" ht="18.75" customHeight="1">
      <c r="A1216" s="1107"/>
      <c r="B1216" s="1108" t="s">
        <v>3291</v>
      </c>
      <c r="C1216" s="1108" t="s">
        <v>3453</v>
      </c>
      <c r="D1216" s="1108" t="s">
        <v>3662</v>
      </c>
      <c r="E1216" s="1108" t="s">
        <v>3663</v>
      </c>
      <c r="F1216" s="1109">
        <v>0.1</v>
      </c>
      <c r="G1216" s="1109">
        <v>0.0</v>
      </c>
      <c r="H1216" s="1107"/>
    </row>
    <row r="1217" ht="18.75" customHeight="1">
      <c r="A1217" s="1107"/>
      <c r="B1217" s="1108" t="s">
        <v>3291</v>
      </c>
      <c r="C1217" s="1108" t="s">
        <v>3453</v>
      </c>
      <c r="D1217" s="1108" t="s">
        <v>3664</v>
      </c>
      <c r="E1217" s="1108" t="s">
        <v>3665</v>
      </c>
      <c r="F1217" s="1109">
        <v>0.1</v>
      </c>
      <c r="G1217" s="1109">
        <v>0.0</v>
      </c>
      <c r="H1217" s="1107"/>
    </row>
    <row r="1218" ht="18.75" customHeight="1">
      <c r="A1218" s="1107"/>
      <c r="B1218" s="1108" t="s">
        <v>3291</v>
      </c>
      <c r="C1218" s="1108" t="s">
        <v>3453</v>
      </c>
      <c r="D1218" s="1108" t="s">
        <v>3666</v>
      </c>
      <c r="E1218" s="1108" t="s">
        <v>3667</v>
      </c>
      <c r="F1218" s="1109">
        <v>0.1</v>
      </c>
      <c r="G1218" s="1109">
        <v>0.0</v>
      </c>
      <c r="H1218" s="1107"/>
    </row>
    <row r="1219" ht="18.75" customHeight="1">
      <c r="A1219" s="1107"/>
      <c r="B1219" s="1108" t="s">
        <v>3291</v>
      </c>
      <c r="C1219" s="1108" t="s">
        <v>3498</v>
      </c>
      <c r="D1219" s="1108" t="s">
        <v>3668</v>
      </c>
      <c r="E1219" s="1108" t="s">
        <v>3669</v>
      </c>
      <c r="F1219" s="1109">
        <v>0.1</v>
      </c>
      <c r="G1219" s="1109">
        <v>0.0</v>
      </c>
      <c r="H1219" s="1107"/>
    </row>
    <row r="1220" ht="18.75" customHeight="1">
      <c r="A1220" s="1107"/>
      <c r="B1220" s="1108" t="s">
        <v>3291</v>
      </c>
      <c r="C1220" s="1108" t="s">
        <v>3453</v>
      </c>
      <c r="D1220" s="1108" t="s">
        <v>3670</v>
      </c>
      <c r="E1220" s="1108" t="s">
        <v>3671</v>
      </c>
      <c r="F1220" s="1109">
        <v>0.1</v>
      </c>
      <c r="G1220" s="1109">
        <v>0.0</v>
      </c>
      <c r="H1220" s="1107"/>
    </row>
    <row r="1221" ht="18.75" customHeight="1">
      <c r="A1221" s="1107"/>
      <c r="B1221" s="1108" t="s">
        <v>3291</v>
      </c>
      <c r="C1221" s="1108" t="s">
        <v>3453</v>
      </c>
      <c r="D1221" s="1108" t="s">
        <v>3672</v>
      </c>
      <c r="E1221" s="1108" t="s">
        <v>3673</v>
      </c>
      <c r="F1221" s="1109">
        <v>0.1</v>
      </c>
      <c r="G1221" s="1109">
        <v>0.0</v>
      </c>
      <c r="H1221" s="1107"/>
    </row>
    <row r="1222" ht="18.75" customHeight="1">
      <c r="A1222" s="1107"/>
      <c r="B1222" s="1108" t="s">
        <v>3291</v>
      </c>
      <c r="C1222" s="1108" t="s">
        <v>3453</v>
      </c>
      <c r="D1222" s="1108" t="s">
        <v>3674</v>
      </c>
      <c r="E1222" s="1108" t="s">
        <v>3675</v>
      </c>
      <c r="F1222" s="1109">
        <v>0.1</v>
      </c>
      <c r="G1222" s="1109">
        <v>0.0</v>
      </c>
      <c r="H1222" s="1107"/>
    </row>
    <row r="1223" ht="18.75" customHeight="1">
      <c r="A1223" s="1107"/>
      <c r="B1223" s="1108" t="s">
        <v>3291</v>
      </c>
      <c r="C1223" s="1108" t="s">
        <v>3507</v>
      </c>
      <c r="D1223" s="1108" t="s">
        <v>3676</v>
      </c>
      <c r="E1223" s="1108" t="s">
        <v>3677</v>
      </c>
      <c r="F1223" s="1109">
        <v>0.1</v>
      </c>
      <c r="G1223" s="1109">
        <v>0.0</v>
      </c>
      <c r="H1223" s="1107"/>
    </row>
    <row r="1224" ht="18.75" customHeight="1">
      <c r="A1224" s="1107"/>
      <c r="B1224" s="1108" t="s">
        <v>3291</v>
      </c>
      <c r="C1224" s="1108" t="s">
        <v>3453</v>
      </c>
      <c r="D1224" s="1108" t="s">
        <v>3678</v>
      </c>
      <c r="E1224" s="1108" t="s">
        <v>3679</v>
      </c>
      <c r="F1224" s="1109">
        <v>0.1</v>
      </c>
      <c r="G1224" s="1109">
        <v>0.0</v>
      </c>
      <c r="H1224" s="1107"/>
    </row>
    <row r="1225" ht="18.75" customHeight="1">
      <c r="A1225" s="1107"/>
      <c r="B1225" s="1108" t="s">
        <v>3291</v>
      </c>
      <c r="C1225" s="1108" t="s">
        <v>3453</v>
      </c>
      <c r="D1225" s="1108" t="s">
        <v>3680</v>
      </c>
      <c r="E1225" s="1108" t="s">
        <v>3681</v>
      </c>
      <c r="F1225" s="1109">
        <v>0.1</v>
      </c>
      <c r="G1225" s="1109">
        <v>0.0</v>
      </c>
      <c r="H1225" s="1107"/>
    </row>
    <row r="1226" ht="18.75" customHeight="1">
      <c r="A1226" s="1107"/>
      <c r="B1226" s="1108" t="s">
        <v>3291</v>
      </c>
      <c r="C1226" s="1108" t="s">
        <v>3453</v>
      </c>
      <c r="D1226" s="1108" t="s">
        <v>3682</v>
      </c>
      <c r="E1226" s="1108" t="s">
        <v>3683</v>
      </c>
      <c r="F1226" s="1109">
        <v>0.1</v>
      </c>
      <c r="G1226" s="1109">
        <v>0.0</v>
      </c>
      <c r="H1226" s="1107"/>
    </row>
    <row r="1227" ht="18.75" customHeight="1">
      <c r="A1227" s="1107"/>
      <c r="B1227" s="1108" t="s">
        <v>3291</v>
      </c>
      <c r="C1227" s="1108" t="s">
        <v>3453</v>
      </c>
      <c r="D1227" s="1108" t="s">
        <v>3684</v>
      </c>
      <c r="E1227" s="1108" t="s">
        <v>3685</v>
      </c>
      <c r="F1227" s="1109">
        <v>0.1</v>
      </c>
      <c r="G1227" s="1109">
        <v>0.0</v>
      </c>
      <c r="H1227" s="1107"/>
    </row>
    <row r="1228" ht="18.75" customHeight="1">
      <c r="A1228" s="1107"/>
      <c r="B1228" s="1108" t="s">
        <v>3291</v>
      </c>
      <c r="C1228" s="1108" t="s">
        <v>3453</v>
      </c>
      <c r="D1228" s="1108" t="s">
        <v>3686</v>
      </c>
      <c r="E1228" s="1108" t="s">
        <v>3687</v>
      </c>
      <c r="F1228" s="1109">
        <v>0.1</v>
      </c>
      <c r="G1228" s="1109">
        <v>0.0</v>
      </c>
      <c r="H1228" s="1107"/>
    </row>
    <row r="1229" ht="18.75" customHeight="1">
      <c r="A1229" s="1107"/>
      <c r="B1229" s="1108" t="s">
        <v>3291</v>
      </c>
      <c r="C1229" s="1108" t="s">
        <v>3453</v>
      </c>
      <c r="D1229" s="1108" t="s">
        <v>3688</v>
      </c>
      <c r="E1229" s="1108" t="s">
        <v>3689</v>
      </c>
      <c r="F1229" s="1109">
        <v>0.1</v>
      </c>
      <c r="G1229" s="1109">
        <v>0.0</v>
      </c>
      <c r="H1229" s="1107"/>
    </row>
    <row r="1230" ht="18.75" customHeight="1">
      <c r="A1230" s="1107"/>
      <c r="B1230" s="1108" t="s">
        <v>3291</v>
      </c>
      <c r="C1230" s="1108" t="s">
        <v>3453</v>
      </c>
      <c r="D1230" s="1108" t="s">
        <v>3690</v>
      </c>
      <c r="E1230" s="1108" t="s">
        <v>3691</v>
      </c>
      <c r="F1230" s="1109">
        <v>0.1</v>
      </c>
      <c r="G1230" s="1109">
        <v>0.0</v>
      </c>
      <c r="H1230" s="1107"/>
    </row>
    <row r="1231" ht="18.75" customHeight="1">
      <c r="A1231" s="1107"/>
      <c r="B1231" s="1108" t="s">
        <v>3291</v>
      </c>
      <c r="C1231" s="1108" t="s">
        <v>3453</v>
      </c>
      <c r="D1231" s="1108" t="s">
        <v>3692</v>
      </c>
      <c r="E1231" s="1108" t="s">
        <v>3693</v>
      </c>
      <c r="F1231" s="1109">
        <v>0.1</v>
      </c>
      <c r="G1231" s="1109">
        <v>0.0</v>
      </c>
      <c r="H1231" s="1107"/>
    </row>
    <row r="1232" ht="18.75" customHeight="1">
      <c r="A1232" s="1107"/>
      <c r="B1232" s="1108" t="s">
        <v>3291</v>
      </c>
      <c r="C1232" s="1108" t="s">
        <v>3453</v>
      </c>
      <c r="D1232" s="1108" t="s">
        <v>3694</v>
      </c>
      <c r="E1232" s="1108" t="s">
        <v>3695</v>
      </c>
      <c r="F1232" s="1109">
        <v>0.1</v>
      </c>
      <c r="G1232" s="1109">
        <v>0.0</v>
      </c>
      <c r="H1232" s="1107"/>
    </row>
    <row r="1233" ht="18.75" customHeight="1">
      <c r="A1233" s="1107"/>
      <c r="B1233" s="1108" t="s">
        <v>3291</v>
      </c>
      <c r="C1233" s="1108" t="s">
        <v>3453</v>
      </c>
      <c r="D1233" s="1108" t="s">
        <v>3696</v>
      </c>
      <c r="E1233" s="1108" t="s">
        <v>3697</v>
      </c>
      <c r="F1233" s="1109">
        <v>0.1</v>
      </c>
      <c r="G1233" s="1109">
        <v>0.0</v>
      </c>
      <c r="H1233" s="1107"/>
    </row>
    <row r="1234" ht="18.75" customHeight="1">
      <c r="A1234" s="1107"/>
      <c r="B1234" s="1108" t="s">
        <v>3291</v>
      </c>
      <c r="C1234" s="1108" t="s">
        <v>3453</v>
      </c>
      <c r="D1234" s="1108" t="s">
        <v>3698</v>
      </c>
      <c r="E1234" s="1108" t="s">
        <v>3699</v>
      </c>
      <c r="F1234" s="1109">
        <v>0.1</v>
      </c>
      <c r="G1234" s="1109">
        <v>0.0</v>
      </c>
      <c r="H1234" s="1107"/>
    </row>
    <row r="1235" ht="18.75" customHeight="1">
      <c r="A1235" s="1107"/>
      <c r="B1235" s="1108" t="s">
        <v>3291</v>
      </c>
      <c r="C1235" s="1108" t="s">
        <v>3453</v>
      </c>
      <c r="D1235" s="1108" t="s">
        <v>3700</v>
      </c>
      <c r="E1235" s="1108" t="s">
        <v>3701</v>
      </c>
      <c r="F1235" s="1109">
        <v>0.1</v>
      </c>
      <c r="G1235" s="1109">
        <v>0.0</v>
      </c>
      <c r="H1235" s="1107"/>
    </row>
    <row r="1236" ht="18.75" customHeight="1">
      <c r="A1236" s="1107"/>
      <c r="B1236" s="1108" t="s">
        <v>3291</v>
      </c>
      <c r="C1236" s="1108" t="s">
        <v>3453</v>
      </c>
      <c r="D1236" s="1108" t="s">
        <v>3702</v>
      </c>
      <c r="E1236" s="1108" t="s">
        <v>3703</v>
      </c>
      <c r="F1236" s="1109">
        <v>0.1</v>
      </c>
      <c r="G1236" s="1109">
        <v>0.0</v>
      </c>
      <c r="H1236" s="1107"/>
    </row>
    <row r="1237" ht="18.75" customHeight="1">
      <c r="A1237" s="1107"/>
      <c r="B1237" s="1108" t="s">
        <v>3291</v>
      </c>
      <c r="C1237" s="1108" t="s">
        <v>3453</v>
      </c>
      <c r="D1237" s="1108" t="s">
        <v>615</v>
      </c>
      <c r="E1237" s="1108" t="s">
        <v>616</v>
      </c>
      <c r="F1237" s="1109">
        <v>0.1</v>
      </c>
      <c r="G1237" s="1109">
        <v>0.0</v>
      </c>
      <c r="H1237" s="1107"/>
    </row>
    <row r="1238" ht="18.75" customHeight="1">
      <c r="A1238" s="1107"/>
      <c r="B1238" s="1108" t="s">
        <v>3291</v>
      </c>
      <c r="C1238" s="1108" t="s">
        <v>3507</v>
      </c>
      <c r="D1238" s="1108" t="s">
        <v>619</v>
      </c>
      <c r="E1238" s="1108" t="s">
        <v>620</v>
      </c>
      <c r="F1238" s="1109">
        <v>0.1</v>
      </c>
      <c r="G1238" s="1109">
        <v>0.0</v>
      </c>
      <c r="H1238" s="1107"/>
    </row>
    <row r="1239" ht="18.75" customHeight="1">
      <c r="A1239" s="1107"/>
      <c r="B1239" s="1108" t="s">
        <v>3291</v>
      </c>
      <c r="C1239" s="1108" t="s">
        <v>3453</v>
      </c>
      <c r="D1239" s="1108" t="s">
        <v>621</v>
      </c>
      <c r="E1239" s="1108" t="s">
        <v>622</v>
      </c>
      <c r="F1239" s="1109">
        <v>0.1</v>
      </c>
      <c r="G1239" s="1109">
        <v>0.0</v>
      </c>
      <c r="H1239" s="1107"/>
    </row>
    <row r="1240" ht="18.75" customHeight="1">
      <c r="A1240" s="1107"/>
      <c r="B1240" s="1108" t="s">
        <v>3291</v>
      </c>
      <c r="C1240" s="1108" t="s">
        <v>3453</v>
      </c>
      <c r="D1240" s="1108" t="s">
        <v>623</v>
      </c>
      <c r="E1240" s="1108" t="s">
        <v>624</v>
      </c>
      <c r="F1240" s="1109">
        <v>0.1</v>
      </c>
      <c r="G1240" s="1109">
        <v>0.0</v>
      </c>
      <c r="H1240" s="1107"/>
    </row>
    <row r="1241" ht="18.75" customHeight="1">
      <c r="A1241" s="1107"/>
      <c r="B1241" s="1108" t="s">
        <v>3291</v>
      </c>
      <c r="C1241" s="1108" t="s">
        <v>3453</v>
      </c>
      <c r="D1241" s="1108" t="s">
        <v>627</v>
      </c>
      <c r="E1241" s="1108" t="s">
        <v>628</v>
      </c>
      <c r="F1241" s="1109">
        <v>0.1</v>
      </c>
      <c r="G1241" s="1109">
        <v>0.0</v>
      </c>
      <c r="H1241" s="1107"/>
    </row>
    <row r="1242" ht="18.75" customHeight="1">
      <c r="A1242" s="1107"/>
      <c r="B1242" s="1108" t="s">
        <v>3291</v>
      </c>
      <c r="C1242" s="1108" t="s">
        <v>3453</v>
      </c>
      <c r="D1242" s="1108" t="s">
        <v>629</v>
      </c>
      <c r="E1242" s="1108" t="s">
        <v>630</v>
      </c>
      <c r="F1242" s="1109">
        <v>0.1</v>
      </c>
      <c r="G1242" s="1109">
        <v>0.0</v>
      </c>
      <c r="H1242" s="1107"/>
    </row>
    <row r="1243" ht="18.75" customHeight="1">
      <c r="A1243" s="1107"/>
      <c r="B1243" s="1108" t="s">
        <v>3291</v>
      </c>
      <c r="C1243" s="1108" t="s">
        <v>3453</v>
      </c>
      <c r="D1243" s="1108" t="s">
        <v>632</v>
      </c>
      <c r="E1243" s="1108" t="s">
        <v>633</v>
      </c>
      <c r="F1243" s="1109">
        <v>0.1</v>
      </c>
      <c r="G1243" s="1109">
        <v>0.0</v>
      </c>
      <c r="H1243" s="1107"/>
    </row>
    <row r="1244" ht="18.75" customHeight="1">
      <c r="A1244" s="1107"/>
      <c r="B1244" s="1108" t="s">
        <v>3291</v>
      </c>
      <c r="C1244" s="1108" t="s">
        <v>3453</v>
      </c>
      <c r="D1244" s="1108" t="s">
        <v>637</v>
      </c>
      <c r="E1244" s="1108" t="s">
        <v>638</v>
      </c>
      <c r="F1244" s="1109">
        <v>0.1</v>
      </c>
      <c r="G1244" s="1109">
        <v>0.0</v>
      </c>
      <c r="H1244" s="1107"/>
    </row>
    <row r="1245" ht="18.75" customHeight="1">
      <c r="A1245" s="1107"/>
      <c r="B1245" s="1108" t="s">
        <v>3291</v>
      </c>
      <c r="C1245" s="1108" t="s">
        <v>3453</v>
      </c>
      <c r="D1245" s="1108" t="s">
        <v>641</v>
      </c>
      <c r="E1245" s="1108" t="s">
        <v>642</v>
      </c>
      <c r="F1245" s="1109">
        <v>0.1</v>
      </c>
      <c r="G1245" s="1109">
        <v>0.0</v>
      </c>
      <c r="H1245" s="1107"/>
    </row>
    <row r="1246" ht="18.75" customHeight="1">
      <c r="A1246" s="1107"/>
      <c r="B1246" s="1108" t="s">
        <v>3291</v>
      </c>
      <c r="C1246" s="1108" t="s">
        <v>3453</v>
      </c>
      <c r="D1246" s="1108" t="s">
        <v>645</v>
      </c>
      <c r="E1246" s="1108" t="s">
        <v>646</v>
      </c>
      <c r="F1246" s="1109">
        <v>0.1</v>
      </c>
      <c r="G1246" s="1109">
        <v>0.0</v>
      </c>
      <c r="H1246" s="1107"/>
    </row>
    <row r="1247" ht="18.75" customHeight="1">
      <c r="A1247" s="1107"/>
      <c r="B1247" s="1108" t="s">
        <v>3291</v>
      </c>
      <c r="C1247" s="1108" t="s">
        <v>3453</v>
      </c>
      <c r="D1247" s="1108" t="s">
        <v>648</v>
      </c>
      <c r="E1247" s="1108" t="s">
        <v>649</v>
      </c>
      <c r="F1247" s="1109">
        <v>0.1</v>
      </c>
      <c r="G1247" s="1109">
        <v>0.0</v>
      </c>
      <c r="H1247" s="1107"/>
    </row>
    <row r="1248" ht="18.75" customHeight="1">
      <c r="A1248" s="1107"/>
      <c r="B1248" s="1108" t="s">
        <v>3291</v>
      </c>
      <c r="C1248" s="1108" t="s">
        <v>3453</v>
      </c>
      <c r="D1248" s="1108" t="s">
        <v>652</v>
      </c>
      <c r="E1248" s="1108" t="s">
        <v>3704</v>
      </c>
      <c r="F1248" s="1109">
        <v>0.1</v>
      </c>
      <c r="G1248" s="1109">
        <v>0.0</v>
      </c>
      <c r="H1248" s="1107"/>
    </row>
    <row r="1249" ht="18.75" customHeight="1">
      <c r="A1249" s="1107"/>
      <c r="B1249" s="1108" t="s">
        <v>3291</v>
      </c>
      <c r="C1249" s="1108" t="s">
        <v>3453</v>
      </c>
      <c r="D1249" s="1108" t="s">
        <v>655</v>
      </c>
      <c r="E1249" s="1108" t="s">
        <v>656</v>
      </c>
      <c r="F1249" s="1109">
        <v>0.1</v>
      </c>
      <c r="G1249" s="1109">
        <v>0.0</v>
      </c>
      <c r="H1249" s="1107"/>
    </row>
    <row r="1250" ht="18.75" customHeight="1">
      <c r="A1250" s="1107"/>
      <c r="B1250" s="1108" t="s">
        <v>3291</v>
      </c>
      <c r="C1250" s="1108" t="s">
        <v>3453</v>
      </c>
      <c r="D1250" s="1108" t="s">
        <v>659</v>
      </c>
      <c r="E1250" s="1108" t="s">
        <v>660</v>
      </c>
      <c r="F1250" s="1109">
        <v>0.1</v>
      </c>
      <c r="G1250" s="1109">
        <v>0.0</v>
      </c>
      <c r="H1250" s="1107"/>
    </row>
    <row r="1251" ht="18.75" customHeight="1">
      <c r="A1251" s="1107"/>
      <c r="B1251" s="1108" t="s">
        <v>3291</v>
      </c>
      <c r="C1251" s="1108" t="s">
        <v>3453</v>
      </c>
      <c r="D1251" s="1108" t="s">
        <v>663</v>
      </c>
      <c r="E1251" s="1108" t="s">
        <v>664</v>
      </c>
      <c r="F1251" s="1109">
        <v>0.1</v>
      </c>
      <c r="G1251" s="1109">
        <v>0.0</v>
      </c>
      <c r="H1251" s="1107"/>
    </row>
    <row r="1252" ht="18.75" customHeight="1">
      <c r="A1252" s="1107"/>
      <c r="B1252" s="1108" t="s">
        <v>3291</v>
      </c>
      <c r="C1252" s="1108" t="s">
        <v>3453</v>
      </c>
      <c r="D1252" s="1108" t="s">
        <v>667</v>
      </c>
      <c r="E1252" s="1108" t="s">
        <v>668</v>
      </c>
      <c r="F1252" s="1109">
        <v>0.1</v>
      </c>
      <c r="G1252" s="1109">
        <v>0.0</v>
      </c>
      <c r="H1252" s="1107"/>
    </row>
    <row r="1253" ht="18.75" customHeight="1">
      <c r="A1253" s="1107"/>
      <c r="B1253" s="1108" t="s">
        <v>3291</v>
      </c>
      <c r="C1253" s="1108" t="s">
        <v>3453</v>
      </c>
      <c r="D1253" s="1108" t="s">
        <v>671</v>
      </c>
      <c r="E1253" s="1108" t="s">
        <v>672</v>
      </c>
      <c r="F1253" s="1109">
        <v>0.1</v>
      </c>
      <c r="G1253" s="1109">
        <v>0.0</v>
      </c>
      <c r="H1253" s="1107"/>
    </row>
    <row r="1254" ht="18.75" customHeight="1">
      <c r="A1254" s="1107"/>
      <c r="B1254" s="1108" t="s">
        <v>3291</v>
      </c>
      <c r="C1254" s="1108" t="s">
        <v>3453</v>
      </c>
      <c r="D1254" s="1108" t="s">
        <v>675</v>
      </c>
      <c r="E1254" s="1108" t="s">
        <v>676</v>
      </c>
      <c r="F1254" s="1109">
        <v>0.1</v>
      </c>
      <c r="G1254" s="1109">
        <v>0.0</v>
      </c>
      <c r="H1254" s="1107"/>
    </row>
    <row r="1255" ht="18.75" customHeight="1">
      <c r="A1255" s="1107"/>
      <c r="B1255" s="1108" t="s">
        <v>3291</v>
      </c>
      <c r="C1255" s="1108" t="s">
        <v>3453</v>
      </c>
      <c r="D1255" s="1108" t="s">
        <v>678</v>
      </c>
      <c r="E1255" s="1108" t="s">
        <v>679</v>
      </c>
      <c r="F1255" s="1109">
        <v>0.1</v>
      </c>
      <c r="G1255" s="1109">
        <v>0.0</v>
      </c>
      <c r="H1255" s="1107"/>
    </row>
    <row r="1256" ht="18.75" customHeight="1">
      <c r="A1256" s="1107"/>
      <c r="B1256" s="1108" t="s">
        <v>3291</v>
      </c>
      <c r="C1256" s="1108" t="s">
        <v>3453</v>
      </c>
      <c r="D1256" s="1108" t="s">
        <v>682</v>
      </c>
      <c r="E1256" s="1108" t="s">
        <v>683</v>
      </c>
      <c r="F1256" s="1109">
        <v>0.1</v>
      </c>
      <c r="G1256" s="1109">
        <v>0.0</v>
      </c>
      <c r="H1256" s="1107"/>
    </row>
    <row r="1257" ht="18.75" customHeight="1">
      <c r="A1257" s="1107"/>
      <c r="B1257" s="1108" t="s">
        <v>3291</v>
      </c>
      <c r="C1257" s="1108" t="s">
        <v>3453</v>
      </c>
      <c r="D1257" s="1108" t="s">
        <v>3705</v>
      </c>
      <c r="E1257" s="1108" t="s">
        <v>3706</v>
      </c>
      <c r="F1257" s="1109">
        <v>0.1</v>
      </c>
      <c r="G1257" s="1109">
        <v>0.0</v>
      </c>
      <c r="H1257" s="1107"/>
    </row>
    <row r="1258" ht="18.75" customHeight="1">
      <c r="A1258" s="1107"/>
      <c r="B1258" s="1108" t="s">
        <v>3291</v>
      </c>
      <c r="C1258" s="1108" t="s">
        <v>3453</v>
      </c>
      <c r="D1258" s="1108" t="s">
        <v>3707</v>
      </c>
      <c r="E1258" s="1108" t="s">
        <v>3708</v>
      </c>
      <c r="F1258" s="1109">
        <v>0.1</v>
      </c>
      <c r="G1258" s="1109">
        <v>0.0</v>
      </c>
      <c r="H1258" s="1107"/>
    </row>
    <row r="1259" ht="18.75" customHeight="1">
      <c r="A1259" s="1107"/>
      <c r="B1259" s="1108" t="s">
        <v>3291</v>
      </c>
      <c r="C1259" s="1108" t="s">
        <v>3709</v>
      </c>
      <c r="D1259" s="1108" t="s">
        <v>3710</v>
      </c>
      <c r="E1259" s="1108" t="s">
        <v>3711</v>
      </c>
      <c r="F1259" s="1109">
        <v>0.1</v>
      </c>
      <c r="G1259" s="1109">
        <v>0.0</v>
      </c>
      <c r="H1259" s="1107"/>
    </row>
    <row r="1260" ht="18.75" customHeight="1">
      <c r="A1260" s="1107"/>
      <c r="B1260" s="1108" t="s">
        <v>3291</v>
      </c>
      <c r="C1260" s="1108" t="s">
        <v>3709</v>
      </c>
      <c r="D1260" s="1108" t="s">
        <v>3712</v>
      </c>
      <c r="E1260" s="1108" t="s">
        <v>3713</v>
      </c>
      <c r="F1260" s="1109">
        <v>0.1</v>
      </c>
      <c r="G1260" s="1109">
        <v>0.0</v>
      </c>
      <c r="H1260" s="1107"/>
    </row>
    <row r="1261" ht="18.75" customHeight="1">
      <c r="A1261" s="1107"/>
      <c r="B1261" s="1108" t="s">
        <v>3291</v>
      </c>
      <c r="C1261" s="1108" t="s">
        <v>3709</v>
      </c>
      <c r="D1261" s="1108" t="s">
        <v>3714</v>
      </c>
      <c r="E1261" s="1108" t="s">
        <v>3715</v>
      </c>
      <c r="F1261" s="1109">
        <v>0.1</v>
      </c>
      <c r="G1261" s="1109">
        <v>0.0</v>
      </c>
      <c r="H1261" s="1107"/>
    </row>
    <row r="1262" ht="18.75" customHeight="1">
      <c r="A1262" s="1107"/>
      <c r="B1262" s="1108" t="s">
        <v>3291</v>
      </c>
      <c r="C1262" s="1108" t="s">
        <v>3709</v>
      </c>
      <c r="D1262" s="1108" t="s">
        <v>3716</v>
      </c>
      <c r="E1262" s="1108" t="s">
        <v>3717</v>
      </c>
      <c r="F1262" s="1109">
        <v>0.1</v>
      </c>
      <c r="G1262" s="1109">
        <v>0.0</v>
      </c>
      <c r="H1262" s="1107"/>
    </row>
    <row r="1263" ht="18.75" customHeight="1">
      <c r="A1263" s="1107"/>
      <c r="B1263" s="1108" t="s">
        <v>3291</v>
      </c>
      <c r="C1263" s="1108" t="s">
        <v>3709</v>
      </c>
      <c r="D1263" s="1108" t="s">
        <v>3718</v>
      </c>
      <c r="E1263" s="1108" t="s">
        <v>3719</v>
      </c>
      <c r="F1263" s="1109">
        <v>0.1</v>
      </c>
      <c r="G1263" s="1109">
        <v>0.0</v>
      </c>
      <c r="H1263" s="1107"/>
    </row>
    <row r="1264" ht="18.75" customHeight="1">
      <c r="A1264" s="1107"/>
      <c r="B1264" s="1108" t="s">
        <v>3291</v>
      </c>
      <c r="C1264" s="1108" t="s">
        <v>3709</v>
      </c>
      <c r="D1264" s="1108" t="s">
        <v>3720</v>
      </c>
      <c r="E1264" s="1108" t="s">
        <v>3721</v>
      </c>
      <c r="F1264" s="1109">
        <v>0.1</v>
      </c>
      <c r="G1264" s="1109">
        <v>0.0</v>
      </c>
      <c r="H1264" s="1107"/>
    </row>
    <row r="1265" ht="18.75" customHeight="1">
      <c r="A1265" s="1107"/>
      <c r="B1265" s="1108" t="s">
        <v>3291</v>
      </c>
      <c r="C1265" s="1108" t="s">
        <v>3709</v>
      </c>
      <c r="D1265" s="1108" t="s">
        <v>3722</v>
      </c>
      <c r="E1265" s="1108" t="s">
        <v>3723</v>
      </c>
      <c r="F1265" s="1109">
        <v>0.1</v>
      </c>
      <c r="G1265" s="1109">
        <v>0.0</v>
      </c>
      <c r="H1265" s="1107"/>
    </row>
    <row r="1266" ht="18.75" customHeight="1">
      <c r="A1266" s="1107"/>
      <c r="B1266" s="1108" t="s">
        <v>3724</v>
      </c>
      <c r="C1266" s="1108" t="s">
        <v>3725</v>
      </c>
      <c r="D1266" s="1108" t="s">
        <v>433</v>
      </c>
      <c r="E1266" s="1108" t="s">
        <v>3726</v>
      </c>
      <c r="F1266" s="1109">
        <v>0.1</v>
      </c>
      <c r="G1266" s="1109">
        <v>0.0</v>
      </c>
      <c r="H1266" s="1107"/>
    </row>
    <row r="1267" ht="18.75" customHeight="1">
      <c r="A1267" s="1107"/>
      <c r="B1267" s="1108" t="s">
        <v>3724</v>
      </c>
      <c r="C1267" s="1108" t="s">
        <v>3725</v>
      </c>
      <c r="D1267" s="1108" t="s">
        <v>437</v>
      </c>
      <c r="E1267" s="1108" t="s">
        <v>3727</v>
      </c>
      <c r="F1267" s="1109">
        <v>0.1</v>
      </c>
      <c r="G1267" s="1109">
        <v>0.0</v>
      </c>
      <c r="H1267" s="1107"/>
    </row>
    <row r="1268" ht="18.75" customHeight="1">
      <c r="A1268" s="1107"/>
      <c r="B1268" s="1108" t="s">
        <v>3724</v>
      </c>
      <c r="C1268" s="1108" t="s">
        <v>3728</v>
      </c>
      <c r="D1268" s="1108" t="s">
        <v>439</v>
      </c>
      <c r="E1268" s="1108" t="s">
        <v>3729</v>
      </c>
      <c r="F1268" s="1109">
        <v>0.1</v>
      </c>
      <c r="G1268" s="1109">
        <v>0.0</v>
      </c>
      <c r="H1268" s="1107"/>
    </row>
    <row r="1269" ht="18.75" customHeight="1">
      <c r="A1269" s="1107"/>
      <c r="B1269" s="1108" t="s">
        <v>3724</v>
      </c>
      <c r="C1269" s="1108" t="s">
        <v>3725</v>
      </c>
      <c r="D1269" s="1108" t="s">
        <v>442</v>
      </c>
      <c r="E1269" s="1108" t="s">
        <v>3730</v>
      </c>
      <c r="F1269" s="1109">
        <v>0.1</v>
      </c>
      <c r="G1269" s="1109">
        <v>0.0</v>
      </c>
      <c r="H1269" s="1107"/>
    </row>
    <row r="1270" ht="18.75" customHeight="1">
      <c r="A1270" s="1107"/>
      <c r="B1270" s="1108" t="s">
        <v>3724</v>
      </c>
      <c r="C1270" s="1108" t="s">
        <v>3725</v>
      </c>
      <c r="D1270" s="1108" t="s">
        <v>444</v>
      </c>
      <c r="E1270" s="1108" t="s">
        <v>3731</v>
      </c>
      <c r="F1270" s="1109">
        <v>0.1</v>
      </c>
      <c r="G1270" s="1109">
        <v>0.0</v>
      </c>
      <c r="H1270" s="1107"/>
    </row>
    <row r="1271" ht="18.75" customHeight="1">
      <c r="A1271" s="1107"/>
      <c r="B1271" s="1108" t="s">
        <v>3724</v>
      </c>
      <c r="C1271" s="1108" t="s">
        <v>3728</v>
      </c>
      <c r="D1271" s="1108" t="s">
        <v>446</v>
      </c>
      <c r="E1271" s="1108" t="s">
        <v>3732</v>
      </c>
      <c r="F1271" s="1109">
        <v>0.1</v>
      </c>
      <c r="G1271" s="1109">
        <v>0.0</v>
      </c>
      <c r="H1271" s="1107"/>
    </row>
    <row r="1272" ht="18.75" customHeight="1">
      <c r="A1272" s="1107"/>
      <c r="B1272" s="1108" t="s">
        <v>3724</v>
      </c>
      <c r="C1272" s="1108" t="s">
        <v>3725</v>
      </c>
      <c r="D1272" s="1108" t="s">
        <v>448</v>
      </c>
      <c r="E1272" s="1108" t="s">
        <v>3733</v>
      </c>
      <c r="F1272" s="1109">
        <v>0.1</v>
      </c>
      <c r="G1272" s="1109">
        <v>0.0</v>
      </c>
      <c r="H1272" s="1107"/>
    </row>
    <row r="1273" ht="18.75" customHeight="1">
      <c r="A1273" s="1107"/>
      <c r="B1273" s="1108" t="s">
        <v>3724</v>
      </c>
      <c r="C1273" s="1108" t="s">
        <v>3725</v>
      </c>
      <c r="D1273" s="1108" t="s">
        <v>450</v>
      </c>
      <c r="E1273" s="1108" t="s">
        <v>3734</v>
      </c>
      <c r="F1273" s="1109">
        <v>0.1</v>
      </c>
      <c r="G1273" s="1109">
        <v>0.0</v>
      </c>
      <c r="H1273" s="1107"/>
    </row>
    <row r="1274" ht="18.75" customHeight="1">
      <c r="A1274" s="1107"/>
      <c r="B1274" s="1108" t="s">
        <v>3724</v>
      </c>
      <c r="C1274" s="1108" t="s">
        <v>3728</v>
      </c>
      <c r="D1274" s="1108" t="s">
        <v>452</v>
      </c>
      <c r="E1274" s="1108" t="s">
        <v>3735</v>
      </c>
      <c r="F1274" s="1109">
        <v>0.1</v>
      </c>
      <c r="G1274" s="1109">
        <v>0.0</v>
      </c>
      <c r="H1274" s="1107"/>
    </row>
    <row r="1275" ht="18.75" customHeight="1">
      <c r="A1275" s="1107"/>
      <c r="B1275" s="1108" t="s">
        <v>3724</v>
      </c>
      <c r="C1275" s="1108" t="s">
        <v>3725</v>
      </c>
      <c r="D1275" s="1108" t="s">
        <v>454</v>
      </c>
      <c r="E1275" s="1108" t="s">
        <v>3736</v>
      </c>
      <c r="F1275" s="1109">
        <v>0.1</v>
      </c>
      <c r="G1275" s="1109">
        <v>0.0</v>
      </c>
      <c r="H1275" s="1107"/>
    </row>
    <row r="1276" ht="18.75" customHeight="1">
      <c r="A1276" s="1107"/>
      <c r="B1276" s="1108" t="s">
        <v>3724</v>
      </c>
      <c r="C1276" s="1108" t="s">
        <v>3728</v>
      </c>
      <c r="D1276" s="1108" t="s">
        <v>456</v>
      </c>
      <c r="E1276" s="1108" t="s">
        <v>3737</v>
      </c>
      <c r="F1276" s="1109">
        <v>0.1</v>
      </c>
      <c r="G1276" s="1109">
        <v>0.0</v>
      </c>
      <c r="H1276" s="1107"/>
    </row>
    <row r="1277" ht="18.75" customHeight="1">
      <c r="A1277" s="1107"/>
      <c r="B1277" s="1108" t="s">
        <v>3724</v>
      </c>
      <c r="C1277" s="1108" t="s">
        <v>3728</v>
      </c>
      <c r="D1277" s="1108" t="s">
        <v>458</v>
      </c>
      <c r="E1277" s="1108" t="s">
        <v>3738</v>
      </c>
      <c r="F1277" s="1109">
        <v>0.1</v>
      </c>
      <c r="G1277" s="1109">
        <v>0.0</v>
      </c>
      <c r="H1277" s="1107"/>
    </row>
    <row r="1278" ht="18.75" customHeight="1">
      <c r="A1278" s="1107"/>
      <c r="B1278" s="1108" t="s">
        <v>3724</v>
      </c>
      <c r="C1278" s="1108" t="s">
        <v>3725</v>
      </c>
      <c r="D1278" s="1108" t="s">
        <v>460</v>
      </c>
      <c r="E1278" s="1108" t="s">
        <v>3739</v>
      </c>
      <c r="F1278" s="1109">
        <v>0.1</v>
      </c>
      <c r="G1278" s="1109">
        <v>0.0</v>
      </c>
      <c r="H1278" s="1107"/>
    </row>
    <row r="1279" ht="18.75" customHeight="1">
      <c r="A1279" s="1107"/>
      <c r="B1279" s="1108" t="s">
        <v>3724</v>
      </c>
      <c r="C1279" s="1108" t="s">
        <v>3728</v>
      </c>
      <c r="D1279" s="1108" t="s">
        <v>462</v>
      </c>
      <c r="E1279" s="1108" t="s">
        <v>3740</v>
      </c>
      <c r="F1279" s="1109">
        <v>0.1</v>
      </c>
      <c r="G1279" s="1109">
        <v>0.0</v>
      </c>
      <c r="H1279" s="1107"/>
    </row>
    <row r="1280" ht="18.75" customHeight="1">
      <c r="A1280" s="1107"/>
      <c r="B1280" s="1108" t="s">
        <v>3724</v>
      </c>
      <c r="C1280" s="1108" t="s">
        <v>3728</v>
      </c>
      <c r="D1280" s="1108" t="s">
        <v>464</v>
      </c>
      <c r="E1280" s="1108" t="s">
        <v>3741</v>
      </c>
      <c r="F1280" s="1109">
        <v>0.1</v>
      </c>
      <c r="G1280" s="1109">
        <v>0.0</v>
      </c>
      <c r="H1280" s="1107"/>
    </row>
    <row r="1281" ht="18.75" customHeight="1">
      <c r="A1281" s="1107"/>
      <c r="B1281" s="1108" t="s">
        <v>3742</v>
      </c>
      <c r="C1281" s="1108" t="s">
        <v>3743</v>
      </c>
      <c r="D1281" s="1108" t="s">
        <v>3744</v>
      </c>
      <c r="E1281" s="1108" t="s">
        <v>3745</v>
      </c>
      <c r="F1281" s="1109">
        <v>0.1</v>
      </c>
      <c r="G1281" s="1109">
        <v>0.0</v>
      </c>
      <c r="H1281" s="1107"/>
    </row>
    <row r="1282" ht="18.75" customHeight="1">
      <c r="A1282" s="1107"/>
      <c r="B1282" s="1108" t="s">
        <v>3742</v>
      </c>
      <c r="C1282" s="1108" t="s">
        <v>3743</v>
      </c>
      <c r="D1282" s="1108" t="s">
        <v>3746</v>
      </c>
      <c r="E1282" s="1108" t="s">
        <v>3747</v>
      </c>
      <c r="F1282" s="1109">
        <v>0.1</v>
      </c>
      <c r="G1282" s="1109">
        <v>0.0</v>
      </c>
      <c r="H1282" s="1107"/>
    </row>
    <row r="1283" ht="18.75" customHeight="1">
      <c r="A1283" s="1107"/>
      <c r="B1283" s="1108" t="s">
        <v>3742</v>
      </c>
      <c r="C1283" s="1108" t="s">
        <v>3743</v>
      </c>
      <c r="D1283" s="1108" t="s">
        <v>3748</v>
      </c>
      <c r="E1283" s="1108" t="s">
        <v>3749</v>
      </c>
      <c r="F1283" s="1109">
        <v>0.1</v>
      </c>
      <c r="G1283" s="1109">
        <v>0.0</v>
      </c>
      <c r="H1283" s="1107"/>
    </row>
    <row r="1284" ht="18.75" customHeight="1">
      <c r="A1284" s="1107"/>
      <c r="B1284" s="1108" t="s">
        <v>3742</v>
      </c>
      <c r="C1284" s="1108" t="s">
        <v>3743</v>
      </c>
      <c r="D1284" s="1108" t="s">
        <v>3750</v>
      </c>
      <c r="E1284" s="1108" t="s">
        <v>3751</v>
      </c>
      <c r="F1284" s="1109">
        <v>0.1</v>
      </c>
      <c r="G1284" s="1109">
        <v>0.0</v>
      </c>
      <c r="H1284" s="1107"/>
    </row>
    <row r="1285" ht="18.75" customHeight="1">
      <c r="A1285" s="1107"/>
      <c r="B1285" s="1108" t="s">
        <v>3742</v>
      </c>
      <c r="C1285" s="1108" t="s">
        <v>3743</v>
      </c>
      <c r="D1285" s="1108" t="s">
        <v>3752</v>
      </c>
      <c r="E1285" s="1108" t="s">
        <v>3753</v>
      </c>
      <c r="F1285" s="1109">
        <v>0.1</v>
      </c>
      <c r="G1285" s="1109">
        <v>0.0</v>
      </c>
      <c r="H1285" s="1107"/>
    </row>
    <row r="1286" ht="18.75" customHeight="1">
      <c r="A1286" s="1107"/>
      <c r="B1286" s="1108" t="s">
        <v>3742</v>
      </c>
      <c r="C1286" s="1108" t="s">
        <v>3743</v>
      </c>
      <c r="D1286" s="1108" t="s">
        <v>3754</v>
      </c>
      <c r="E1286" s="1108" t="s">
        <v>3755</v>
      </c>
      <c r="F1286" s="1109">
        <v>0.1</v>
      </c>
      <c r="G1286" s="1109">
        <v>0.0</v>
      </c>
      <c r="H1286" s="1107"/>
    </row>
    <row r="1287" ht="18.75" customHeight="1">
      <c r="A1287" s="1107"/>
      <c r="B1287" s="1108" t="s">
        <v>3742</v>
      </c>
      <c r="C1287" s="1108" t="s">
        <v>3743</v>
      </c>
      <c r="D1287" s="1108" t="s">
        <v>3756</v>
      </c>
      <c r="E1287" s="1108" t="s">
        <v>3757</v>
      </c>
      <c r="F1287" s="1109">
        <v>0.1</v>
      </c>
      <c r="G1287" s="1109">
        <v>0.0</v>
      </c>
      <c r="H1287" s="1107"/>
    </row>
    <row r="1288" ht="18.75" customHeight="1">
      <c r="A1288" s="1107"/>
      <c r="B1288" s="1108" t="s">
        <v>3742</v>
      </c>
      <c r="C1288" s="1108" t="s">
        <v>3743</v>
      </c>
      <c r="D1288" s="1108" t="s">
        <v>3758</v>
      </c>
      <c r="E1288" s="1108" t="s">
        <v>3759</v>
      </c>
      <c r="F1288" s="1109">
        <v>0.1</v>
      </c>
      <c r="G1288" s="1109">
        <v>0.0</v>
      </c>
      <c r="H1288" s="1107"/>
    </row>
    <row r="1289" ht="18.75" customHeight="1">
      <c r="A1289" s="1107"/>
      <c r="B1289" s="1108" t="s">
        <v>3742</v>
      </c>
      <c r="C1289" s="1108" t="s">
        <v>3743</v>
      </c>
      <c r="D1289" s="1108" t="s">
        <v>3760</v>
      </c>
      <c r="E1289" s="1108" t="s">
        <v>3761</v>
      </c>
      <c r="F1289" s="1109">
        <v>0.1</v>
      </c>
      <c r="G1289" s="1109">
        <v>0.0</v>
      </c>
      <c r="H1289" s="1107"/>
    </row>
    <row r="1290" ht="18.75" customHeight="1">
      <c r="A1290" s="1107"/>
      <c r="B1290" s="1108" t="s">
        <v>3742</v>
      </c>
      <c r="C1290" s="1108" t="s">
        <v>3743</v>
      </c>
      <c r="D1290" s="1108" t="s">
        <v>3762</v>
      </c>
      <c r="E1290" s="1108" t="s">
        <v>3763</v>
      </c>
      <c r="F1290" s="1109">
        <v>0.1</v>
      </c>
      <c r="G1290" s="1109">
        <v>0.0</v>
      </c>
      <c r="H1290" s="1107"/>
    </row>
    <row r="1291" ht="18.75" customHeight="1">
      <c r="A1291" s="1107"/>
      <c r="B1291" s="1108" t="s">
        <v>3742</v>
      </c>
      <c r="C1291" s="1108" t="s">
        <v>3743</v>
      </c>
      <c r="D1291" s="1108" t="s">
        <v>3764</v>
      </c>
      <c r="E1291" s="1108" t="s">
        <v>3765</v>
      </c>
      <c r="F1291" s="1109">
        <v>0.1</v>
      </c>
      <c r="G1291" s="1109">
        <v>0.0</v>
      </c>
      <c r="H1291" s="1107"/>
    </row>
    <row r="1292" ht="18.75" customHeight="1">
      <c r="A1292" s="1107"/>
      <c r="B1292" s="1108" t="s">
        <v>3742</v>
      </c>
      <c r="C1292" s="1108" t="s">
        <v>3743</v>
      </c>
      <c r="D1292" s="1108" t="s">
        <v>3766</v>
      </c>
      <c r="E1292" s="1108" t="s">
        <v>3767</v>
      </c>
      <c r="F1292" s="1109">
        <v>0.1</v>
      </c>
      <c r="G1292" s="1109">
        <v>0.0</v>
      </c>
      <c r="H1292" s="1107"/>
    </row>
    <row r="1293" ht="18.75" customHeight="1">
      <c r="A1293" s="1107"/>
      <c r="B1293" s="1108" t="s">
        <v>3742</v>
      </c>
      <c r="C1293" s="1108" t="s">
        <v>3743</v>
      </c>
      <c r="D1293" s="1108" t="s">
        <v>3768</v>
      </c>
      <c r="E1293" s="1108" t="s">
        <v>3769</v>
      </c>
      <c r="F1293" s="1109">
        <v>0.1</v>
      </c>
      <c r="G1293" s="1109">
        <v>0.0</v>
      </c>
      <c r="H1293" s="1107"/>
    </row>
    <row r="1294" ht="18.75" customHeight="1">
      <c r="A1294" s="1107"/>
      <c r="B1294" s="1108" t="s">
        <v>3742</v>
      </c>
      <c r="C1294" s="1108" t="s">
        <v>3743</v>
      </c>
      <c r="D1294" s="1108" t="s">
        <v>3770</v>
      </c>
      <c r="E1294" s="1108" t="s">
        <v>3771</v>
      </c>
      <c r="F1294" s="1109">
        <v>0.1</v>
      </c>
      <c r="G1294" s="1109">
        <v>0.0</v>
      </c>
      <c r="H1294" s="1107"/>
    </row>
    <row r="1295" ht="18.75" customHeight="1">
      <c r="A1295" s="1107"/>
      <c r="B1295" s="1108" t="s">
        <v>3742</v>
      </c>
      <c r="C1295" s="1108" t="s">
        <v>3743</v>
      </c>
      <c r="D1295" s="1108" t="s">
        <v>3772</v>
      </c>
      <c r="E1295" s="1108" t="s">
        <v>3773</v>
      </c>
      <c r="F1295" s="1109">
        <v>0.1</v>
      </c>
      <c r="G1295" s="1109">
        <v>0.0</v>
      </c>
      <c r="H1295" s="1107"/>
    </row>
    <row r="1296" ht="18.75" customHeight="1">
      <c r="A1296" s="1107"/>
      <c r="B1296" s="1108" t="s">
        <v>3742</v>
      </c>
      <c r="C1296" s="1108" t="s">
        <v>3743</v>
      </c>
      <c r="D1296" s="1108" t="s">
        <v>3774</v>
      </c>
      <c r="E1296" s="1108" t="s">
        <v>3775</v>
      </c>
      <c r="F1296" s="1109">
        <v>0.1</v>
      </c>
      <c r="G1296" s="1109">
        <v>0.0</v>
      </c>
      <c r="H1296" s="1107"/>
    </row>
    <row r="1297" ht="18.75" customHeight="1">
      <c r="A1297" s="1107"/>
      <c r="B1297" s="1108" t="s">
        <v>3742</v>
      </c>
      <c r="C1297" s="1108" t="s">
        <v>3743</v>
      </c>
      <c r="D1297" s="1108" t="s">
        <v>3776</v>
      </c>
      <c r="E1297" s="1108" t="s">
        <v>3777</v>
      </c>
      <c r="F1297" s="1109">
        <v>0.1</v>
      </c>
      <c r="G1297" s="1109">
        <v>0.0</v>
      </c>
      <c r="H1297" s="1107"/>
    </row>
    <row r="1298" ht="18.75" customHeight="1">
      <c r="A1298" s="1107"/>
      <c r="B1298" s="1108" t="s">
        <v>3742</v>
      </c>
      <c r="C1298" s="1108" t="s">
        <v>3743</v>
      </c>
      <c r="D1298" s="1108" t="s">
        <v>3778</v>
      </c>
      <c r="E1298" s="1108" t="s">
        <v>3779</v>
      </c>
      <c r="F1298" s="1109">
        <v>0.1</v>
      </c>
      <c r="G1298" s="1109">
        <v>0.0</v>
      </c>
      <c r="H1298" s="1107"/>
    </row>
    <row r="1299" ht="18.75" customHeight="1">
      <c r="A1299" s="1107"/>
      <c r="B1299" s="1108" t="s">
        <v>3742</v>
      </c>
      <c r="C1299" s="1108" t="s">
        <v>3743</v>
      </c>
      <c r="D1299" s="1108" t="s">
        <v>3780</v>
      </c>
      <c r="E1299" s="1108" t="s">
        <v>3781</v>
      </c>
      <c r="F1299" s="1109">
        <v>0.1</v>
      </c>
      <c r="G1299" s="1109">
        <v>0.0</v>
      </c>
      <c r="H1299" s="1107"/>
    </row>
    <row r="1300" ht="18.75" customHeight="1">
      <c r="A1300" s="1107"/>
      <c r="B1300" s="1108" t="s">
        <v>3742</v>
      </c>
      <c r="C1300" s="1108" t="s">
        <v>3743</v>
      </c>
      <c r="D1300" s="1108" t="s">
        <v>3782</v>
      </c>
      <c r="E1300" s="1108" t="s">
        <v>3783</v>
      </c>
      <c r="F1300" s="1109">
        <v>0.1</v>
      </c>
      <c r="G1300" s="1109">
        <v>0.0</v>
      </c>
      <c r="H1300" s="1107"/>
    </row>
    <row r="1301" ht="18.75" customHeight="1">
      <c r="A1301" s="1107"/>
      <c r="B1301" s="1108" t="s">
        <v>3742</v>
      </c>
      <c r="C1301" s="1108" t="s">
        <v>3743</v>
      </c>
      <c r="D1301" s="1108" t="s">
        <v>3784</v>
      </c>
      <c r="E1301" s="1108" t="s">
        <v>3785</v>
      </c>
      <c r="F1301" s="1109">
        <v>0.1</v>
      </c>
      <c r="G1301" s="1109">
        <v>0.0</v>
      </c>
      <c r="H1301" s="1107"/>
    </row>
    <row r="1302" ht="18.75" customHeight="1">
      <c r="A1302" s="1107"/>
      <c r="B1302" s="1108" t="s">
        <v>3742</v>
      </c>
      <c r="C1302" s="1108" t="s">
        <v>3743</v>
      </c>
      <c r="D1302" s="1108" t="s">
        <v>3786</v>
      </c>
      <c r="E1302" s="1108" t="s">
        <v>3787</v>
      </c>
      <c r="F1302" s="1109">
        <v>0.1</v>
      </c>
      <c r="G1302" s="1109">
        <v>0.0</v>
      </c>
      <c r="H1302" s="1107"/>
    </row>
    <row r="1303" ht="18.75" customHeight="1">
      <c r="A1303" s="1107"/>
      <c r="B1303" s="1108" t="s">
        <v>3742</v>
      </c>
      <c r="C1303" s="1108" t="s">
        <v>3743</v>
      </c>
      <c r="D1303" s="1108" t="s">
        <v>3788</v>
      </c>
      <c r="E1303" s="1108" t="s">
        <v>3789</v>
      </c>
      <c r="F1303" s="1109">
        <v>0.1</v>
      </c>
      <c r="G1303" s="1109">
        <v>0.0</v>
      </c>
      <c r="H1303" s="1107"/>
    </row>
    <row r="1304" ht="18.75" customHeight="1">
      <c r="A1304" s="1107"/>
      <c r="B1304" s="1108" t="s">
        <v>3742</v>
      </c>
      <c r="C1304" s="1108" t="s">
        <v>3790</v>
      </c>
      <c r="D1304" s="1108" t="s">
        <v>3791</v>
      </c>
      <c r="E1304" s="1108" t="s">
        <v>3792</v>
      </c>
      <c r="F1304" s="1109">
        <v>0.1</v>
      </c>
      <c r="G1304" s="1109">
        <v>0.0</v>
      </c>
      <c r="H1304" s="1107"/>
    </row>
    <row r="1305" ht="18.75" customHeight="1">
      <c r="A1305" s="1107"/>
      <c r="B1305" s="1108" t="s">
        <v>3742</v>
      </c>
      <c r="C1305" s="1108" t="s">
        <v>3790</v>
      </c>
      <c r="D1305" s="1108" t="s">
        <v>3793</v>
      </c>
      <c r="E1305" s="1108" t="s">
        <v>3794</v>
      </c>
      <c r="F1305" s="1109">
        <v>0.1</v>
      </c>
      <c r="G1305" s="1109">
        <v>0.0</v>
      </c>
      <c r="H1305" s="1107"/>
    </row>
    <row r="1306" ht="18.75" customHeight="1">
      <c r="A1306" s="1107"/>
      <c r="B1306" s="1108" t="s">
        <v>3742</v>
      </c>
      <c r="C1306" s="1108" t="s">
        <v>3795</v>
      </c>
      <c r="D1306" s="1108" t="s">
        <v>3796</v>
      </c>
      <c r="E1306" s="1108" t="s">
        <v>3797</v>
      </c>
      <c r="F1306" s="1109">
        <v>0.1</v>
      </c>
      <c r="G1306" s="1109">
        <v>0.0</v>
      </c>
      <c r="H1306" s="1107"/>
    </row>
    <row r="1307" ht="18.75" customHeight="1">
      <c r="A1307" s="1107"/>
      <c r="B1307" s="1108" t="s">
        <v>3742</v>
      </c>
      <c r="C1307" s="1108" t="s">
        <v>3790</v>
      </c>
      <c r="D1307" s="1108" t="s">
        <v>3798</v>
      </c>
      <c r="E1307" s="1108" t="s">
        <v>3799</v>
      </c>
      <c r="F1307" s="1109">
        <v>0.1</v>
      </c>
      <c r="G1307" s="1109">
        <v>0.0</v>
      </c>
      <c r="H1307" s="1107"/>
    </row>
    <row r="1308" ht="18.75" customHeight="1">
      <c r="A1308" s="1107"/>
      <c r="B1308" s="1108" t="s">
        <v>3742</v>
      </c>
      <c r="C1308" s="1108" t="s">
        <v>3790</v>
      </c>
      <c r="D1308" s="1108" t="s">
        <v>3800</v>
      </c>
      <c r="E1308" s="1108" t="s">
        <v>3801</v>
      </c>
      <c r="F1308" s="1109">
        <v>0.1</v>
      </c>
      <c r="G1308" s="1109">
        <v>0.0</v>
      </c>
      <c r="H1308" s="1107"/>
    </row>
    <row r="1309" ht="18.75" customHeight="1">
      <c r="A1309" s="1107"/>
      <c r="B1309" s="1108" t="s">
        <v>3742</v>
      </c>
      <c r="C1309" s="1108" t="s">
        <v>3790</v>
      </c>
      <c r="D1309" s="1108" t="s">
        <v>3802</v>
      </c>
      <c r="E1309" s="1108" t="s">
        <v>3803</v>
      </c>
      <c r="F1309" s="1109">
        <v>0.1</v>
      </c>
      <c r="G1309" s="1109">
        <v>0.0</v>
      </c>
      <c r="H1309" s="1107"/>
    </row>
    <row r="1310" ht="18.75" customHeight="1">
      <c r="A1310" s="1107"/>
      <c r="B1310" s="1108" t="s">
        <v>3742</v>
      </c>
      <c r="C1310" s="1108" t="s">
        <v>3804</v>
      </c>
      <c r="D1310" s="1108" t="s">
        <v>3805</v>
      </c>
      <c r="E1310" s="1108" t="s">
        <v>3806</v>
      </c>
      <c r="F1310" s="1109">
        <v>0.1</v>
      </c>
      <c r="G1310" s="1109">
        <v>0.0</v>
      </c>
      <c r="H1310" s="1107"/>
    </row>
    <row r="1311" ht="18.75" customHeight="1">
      <c r="A1311" s="1107"/>
      <c r="B1311" s="1108" t="s">
        <v>3742</v>
      </c>
      <c r="C1311" s="1108" t="s">
        <v>3804</v>
      </c>
      <c r="D1311" s="1108" t="s">
        <v>3807</v>
      </c>
      <c r="E1311" s="1108" t="s">
        <v>3808</v>
      </c>
      <c r="F1311" s="1109">
        <v>0.1</v>
      </c>
      <c r="G1311" s="1109">
        <v>0.0</v>
      </c>
      <c r="H1311" s="1107"/>
    </row>
    <row r="1312" ht="18.75" customHeight="1">
      <c r="A1312" s="1107"/>
      <c r="B1312" s="1108" t="s">
        <v>3742</v>
      </c>
      <c r="C1312" s="1108" t="s">
        <v>3804</v>
      </c>
      <c r="D1312" s="1108" t="s">
        <v>3809</v>
      </c>
      <c r="E1312" s="1108" t="s">
        <v>3810</v>
      </c>
      <c r="F1312" s="1109">
        <v>0.1</v>
      </c>
      <c r="G1312" s="1109">
        <v>0.0</v>
      </c>
      <c r="H1312" s="1107"/>
    </row>
    <row r="1313" ht="18.75" customHeight="1">
      <c r="A1313" s="1107"/>
      <c r="B1313" s="1108" t="s">
        <v>3742</v>
      </c>
      <c r="C1313" s="1108" t="s">
        <v>3804</v>
      </c>
      <c r="D1313" s="1108" t="s">
        <v>3811</v>
      </c>
      <c r="E1313" s="1108" t="s">
        <v>3812</v>
      </c>
      <c r="F1313" s="1109">
        <v>0.1</v>
      </c>
      <c r="G1313" s="1109">
        <v>0.0</v>
      </c>
      <c r="H1313" s="1107"/>
    </row>
    <row r="1314" ht="18.75" customHeight="1">
      <c r="A1314" s="1107"/>
      <c r="B1314" s="1108" t="s">
        <v>3742</v>
      </c>
      <c r="C1314" s="1108" t="s">
        <v>3804</v>
      </c>
      <c r="D1314" s="1108" t="s">
        <v>3813</v>
      </c>
      <c r="E1314" s="1108" t="s">
        <v>3814</v>
      </c>
      <c r="F1314" s="1109">
        <v>0.1</v>
      </c>
      <c r="G1314" s="1109">
        <v>0.0</v>
      </c>
      <c r="H1314" s="1107"/>
    </row>
    <row r="1315" ht="18.75" customHeight="1">
      <c r="A1315" s="1107"/>
      <c r="B1315" s="1108" t="s">
        <v>3742</v>
      </c>
      <c r="C1315" s="1108" t="s">
        <v>3790</v>
      </c>
      <c r="D1315" s="1108" t="s">
        <v>3815</v>
      </c>
      <c r="E1315" s="1108" t="s">
        <v>3816</v>
      </c>
      <c r="F1315" s="1109">
        <v>0.1</v>
      </c>
      <c r="G1315" s="1109">
        <v>0.0</v>
      </c>
      <c r="H1315" s="1107"/>
    </row>
    <row r="1316" ht="18.75" customHeight="1">
      <c r="A1316" s="1107"/>
      <c r="B1316" s="1108" t="s">
        <v>3742</v>
      </c>
      <c r="C1316" s="1108" t="s">
        <v>3804</v>
      </c>
      <c r="D1316" s="1108" t="s">
        <v>3817</v>
      </c>
      <c r="E1316" s="1108" t="s">
        <v>3818</v>
      </c>
      <c r="F1316" s="1109">
        <v>0.1</v>
      </c>
      <c r="G1316" s="1109">
        <v>0.0</v>
      </c>
      <c r="H1316" s="1107"/>
    </row>
    <row r="1317" ht="18.75" customHeight="1">
      <c r="A1317" s="1107"/>
      <c r="B1317" s="1108" t="s">
        <v>3742</v>
      </c>
      <c r="C1317" s="1108" t="s">
        <v>3804</v>
      </c>
      <c r="D1317" s="1108" t="s">
        <v>3819</v>
      </c>
      <c r="E1317" s="1108" t="s">
        <v>3820</v>
      </c>
      <c r="F1317" s="1109">
        <v>0.1</v>
      </c>
      <c r="G1317" s="1109">
        <v>0.0</v>
      </c>
      <c r="H1317" s="1107"/>
    </row>
    <row r="1318" ht="18.75" customHeight="1">
      <c r="A1318" s="1107"/>
      <c r="B1318" s="1108" t="s">
        <v>3742</v>
      </c>
      <c r="C1318" s="1108" t="s">
        <v>3804</v>
      </c>
      <c r="D1318" s="1108" t="s">
        <v>3821</v>
      </c>
      <c r="E1318" s="1108" t="s">
        <v>3822</v>
      </c>
      <c r="F1318" s="1109">
        <v>0.1</v>
      </c>
      <c r="G1318" s="1109">
        <v>0.0</v>
      </c>
      <c r="H1318" s="1107"/>
    </row>
    <row r="1319" ht="18.75" customHeight="1">
      <c r="A1319" s="1107"/>
      <c r="B1319" s="1108" t="s">
        <v>3742</v>
      </c>
      <c r="C1319" s="1108" t="s">
        <v>3804</v>
      </c>
      <c r="D1319" s="1108" t="s">
        <v>3823</v>
      </c>
      <c r="E1319" s="1108" t="s">
        <v>3824</v>
      </c>
      <c r="F1319" s="1109">
        <v>0.1</v>
      </c>
      <c r="G1319" s="1109">
        <v>0.0</v>
      </c>
      <c r="H1319" s="1107"/>
    </row>
    <row r="1320" ht="18.75" customHeight="1">
      <c r="A1320" s="1107"/>
      <c r="B1320" s="1108" t="s">
        <v>3742</v>
      </c>
      <c r="C1320" s="1108" t="s">
        <v>3804</v>
      </c>
      <c r="D1320" s="1108" t="s">
        <v>3825</v>
      </c>
      <c r="E1320" s="1108" t="s">
        <v>3826</v>
      </c>
      <c r="F1320" s="1109">
        <v>0.1</v>
      </c>
      <c r="G1320" s="1109">
        <v>0.0</v>
      </c>
      <c r="H1320" s="1107"/>
    </row>
    <row r="1321" ht="18.75" customHeight="1">
      <c r="A1321" s="1107"/>
      <c r="B1321" s="1108" t="s">
        <v>3742</v>
      </c>
      <c r="C1321" s="1108" t="s">
        <v>3804</v>
      </c>
      <c r="D1321" s="1108" t="s">
        <v>3827</v>
      </c>
      <c r="E1321" s="1108" t="s">
        <v>3828</v>
      </c>
      <c r="F1321" s="1109">
        <v>0.1</v>
      </c>
      <c r="G1321" s="1109">
        <v>0.0</v>
      </c>
      <c r="H1321" s="1107"/>
    </row>
    <row r="1322" ht="18.75" customHeight="1">
      <c r="A1322" s="1107"/>
      <c r="B1322" s="1108" t="s">
        <v>3742</v>
      </c>
      <c r="C1322" s="1108" t="s">
        <v>3804</v>
      </c>
      <c r="D1322" s="1108" t="s">
        <v>3829</v>
      </c>
      <c r="E1322" s="1108" t="s">
        <v>3830</v>
      </c>
      <c r="F1322" s="1109">
        <v>0.1</v>
      </c>
      <c r="G1322" s="1109">
        <v>0.0</v>
      </c>
      <c r="H1322" s="1107"/>
    </row>
    <row r="1323" ht="18.75" customHeight="1">
      <c r="A1323" s="1107"/>
      <c r="B1323" s="1108" t="s">
        <v>3742</v>
      </c>
      <c r="C1323" s="1108" t="s">
        <v>3804</v>
      </c>
      <c r="D1323" s="1108" t="s">
        <v>3831</v>
      </c>
      <c r="E1323" s="1108" t="s">
        <v>3832</v>
      </c>
      <c r="F1323" s="1109">
        <v>0.1</v>
      </c>
      <c r="G1323" s="1109">
        <v>0.0</v>
      </c>
      <c r="H1323" s="1107"/>
    </row>
    <row r="1324" ht="18.75" customHeight="1">
      <c r="A1324" s="1107"/>
      <c r="B1324" s="1108" t="s">
        <v>3742</v>
      </c>
      <c r="C1324" s="1108" t="s">
        <v>3804</v>
      </c>
      <c r="D1324" s="1108" t="s">
        <v>3833</v>
      </c>
      <c r="E1324" s="1108" t="s">
        <v>3834</v>
      </c>
      <c r="F1324" s="1109">
        <v>0.1</v>
      </c>
      <c r="G1324" s="1109">
        <v>0.0</v>
      </c>
      <c r="H1324" s="1107"/>
    </row>
    <row r="1325" ht="18.75" customHeight="1">
      <c r="A1325" s="1107"/>
      <c r="B1325" s="1108" t="s">
        <v>3742</v>
      </c>
      <c r="C1325" s="1108" t="s">
        <v>3804</v>
      </c>
      <c r="D1325" s="1108" t="s">
        <v>3835</v>
      </c>
      <c r="E1325" s="1108" t="s">
        <v>3836</v>
      </c>
      <c r="F1325" s="1109">
        <v>0.1</v>
      </c>
      <c r="G1325" s="1109">
        <v>0.0</v>
      </c>
      <c r="H1325" s="1107"/>
    </row>
    <row r="1326" ht="18.75" customHeight="1">
      <c r="A1326" s="1107"/>
      <c r="B1326" s="1108" t="s">
        <v>3742</v>
      </c>
      <c r="C1326" s="1108" t="s">
        <v>3804</v>
      </c>
      <c r="D1326" s="1108" t="s">
        <v>3837</v>
      </c>
      <c r="E1326" s="1108" t="s">
        <v>3838</v>
      </c>
      <c r="F1326" s="1109">
        <v>0.1</v>
      </c>
      <c r="G1326" s="1109">
        <v>0.0</v>
      </c>
      <c r="H1326" s="1107"/>
    </row>
    <row r="1327" ht="18.75" customHeight="1">
      <c r="A1327" s="1107"/>
      <c r="B1327" s="1108" t="s">
        <v>3742</v>
      </c>
      <c r="C1327" s="1108" t="s">
        <v>3804</v>
      </c>
      <c r="D1327" s="1108" t="s">
        <v>3839</v>
      </c>
      <c r="E1327" s="1108" t="s">
        <v>3840</v>
      </c>
      <c r="F1327" s="1109">
        <v>0.1</v>
      </c>
      <c r="G1327" s="1109">
        <v>0.0</v>
      </c>
      <c r="H1327" s="1107"/>
    </row>
    <row r="1328" ht="18.75" customHeight="1">
      <c r="A1328" s="1107"/>
      <c r="B1328" s="1108" t="s">
        <v>3742</v>
      </c>
      <c r="C1328" s="1108" t="s">
        <v>3804</v>
      </c>
      <c r="D1328" s="1108" t="s">
        <v>3841</v>
      </c>
      <c r="E1328" s="1108" t="s">
        <v>3842</v>
      </c>
      <c r="F1328" s="1109">
        <v>0.1</v>
      </c>
      <c r="G1328" s="1109">
        <v>0.0</v>
      </c>
      <c r="H1328" s="1107"/>
    </row>
    <row r="1329" ht="18.75" customHeight="1">
      <c r="A1329" s="1107"/>
      <c r="B1329" s="1108" t="s">
        <v>3742</v>
      </c>
      <c r="C1329" s="1108" t="s">
        <v>3804</v>
      </c>
      <c r="D1329" s="1108" t="s">
        <v>3843</v>
      </c>
      <c r="E1329" s="1108" t="s">
        <v>3844</v>
      </c>
      <c r="F1329" s="1109">
        <v>0.1</v>
      </c>
      <c r="G1329" s="1109">
        <v>0.0</v>
      </c>
      <c r="H1329" s="1107"/>
    </row>
    <row r="1330" ht="18.75" customHeight="1">
      <c r="A1330" s="1107"/>
      <c r="B1330" s="1108" t="s">
        <v>3742</v>
      </c>
      <c r="C1330" s="1108" t="s">
        <v>3804</v>
      </c>
      <c r="D1330" s="1108" t="s">
        <v>3845</v>
      </c>
      <c r="E1330" s="1108" t="s">
        <v>3846</v>
      </c>
      <c r="F1330" s="1109">
        <v>0.1</v>
      </c>
      <c r="G1330" s="1109">
        <v>0.0</v>
      </c>
      <c r="H1330" s="1107"/>
    </row>
    <row r="1331" ht="18.75" customHeight="1">
      <c r="A1331" s="1107"/>
      <c r="B1331" s="1108" t="s">
        <v>3742</v>
      </c>
      <c r="C1331" s="1108" t="s">
        <v>3804</v>
      </c>
      <c r="D1331" s="1108" t="s">
        <v>3847</v>
      </c>
      <c r="E1331" s="1108" t="s">
        <v>3848</v>
      </c>
      <c r="F1331" s="1109">
        <v>0.1</v>
      </c>
      <c r="G1331" s="1109">
        <v>0.0</v>
      </c>
      <c r="H1331" s="1107"/>
    </row>
    <row r="1332" ht="18.75" customHeight="1">
      <c r="A1332" s="1107"/>
      <c r="B1332" s="1108" t="s">
        <v>3742</v>
      </c>
      <c r="C1332" s="1108" t="s">
        <v>3804</v>
      </c>
      <c r="D1332" s="1108" t="s">
        <v>3849</v>
      </c>
      <c r="E1332" s="1108" t="s">
        <v>3850</v>
      </c>
      <c r="F1332" s="1109">
        <v>0.1</v>
      </c>
      <c r="G1332" s="1109">
        <v>0.0</v>
      </c>
      <c r="H1332" s="1107"/>
    </row>
    <row r="1333" ht="18.75" customHeight="1">
      <c r="A1333" s="1107"/>
      <c r="B1333" s="1108" t="s">
        <v>3742</v>
      </c>
      <c r="C1333" s="1108" t="s">
        <v>3804</v>
      </c>
      <c r="D1333" s="1108" t="s">
        <v>3851</v>
      </c>
      <c r="E1333" s="1108" t="s">
        <v>3852</v>
      </c>
      <c r="F1333" s="1109">
        <v>0.1</v>
      </c>
      <c r="G1333" s="1109">
        <v>0.0</v>
      </c>
      <c r="H1333" s="1107"/>
    </row>
    <row r="1334" ht="18.75" customHeight="1">
      <c r="A1334" s="1107"/>
      <c r="B1334" s="1108" t="s">
        <v>3742</v>
      </c>
      <c r="C1334" s="1108" t="s">
        <v>3804</v>
      </c>
      <c r="D1334" s="1108" t="s">
        <v>3853</v>
      </c>
      <c r="E1334" s="1108" t="s">
        <v>3854</v>
      </c>
      <c r="F1334" s="1109">
        <v>0.1</v>
      </c>
      <c r="G1334" s="1109">
        <v>0.0</v>
      </c>
      <c r="H1334" s="1107"/>
    </row>
    <row r="1335" ht="18.75" customHeight="1">
      <c r="A1335" s="1107"/>
      <c r="B1335" s="1108" t="s">
        <v>3742</v>
      </c>
      <c r="C1335" s="1108" t="s">
        <v>3804</v>
      </c>
      <c r="D1335" s="1108" t="s">
        <v>3855</v>
      </c>
      <c r="E1335" s="1108" t="s">
        <v>3856</v>
      </c>
      <c r="F1335" s="1109">
        <v>0.1</v>
      </c>
      <c r="G1335" s="1109">
        <v>0.0</v>
      </c>
      <c r="H1335" s="1107"/>
    </row>
    <row r="1336" ht="18.75" customHeight="1">
      <c r="A1336" s="1107"/>
      <c r="B1336" s="1108" t="s">
        <v>3742</v>
      </c>
      <c r="C1336" s="1108" t="s">
        <v>3804</v>
      </c>
      <c r="D1336" s="1108" t="s">
        <v>3857</v>
      </c>
      <c r="E1336" s="1108" t="s">
        <v>3858</v>
      </c>
      <c r="F1336" s="1109">
        <v>0.1</v>
      </c>
      <c r="G1336" s="1109">
        <v>0.0</v>
      </c>
      <c r="H1336" s="1107"/>
    </row>
    <row r="1337" ht="18.75" customHeight="1">
      <c r="A1337" s="1107"/>
      <c r="B1337" s="1108" t="s">
        <v>3742</v>
      </c>
      <c r="C1337" s="1108" t="s">
        <v>3804</v>
      </c>
      <c r="D1337" s="1108" t="s">
        <v>3859</v>
      </c>
      <c r="E1337" s="1108" t="s">
        <v>3860</v>
      </c>
      <c r="F1337" s="1109">
        <v>0.1</v>
      </c>
      <c r="G1337" s="1109">
        <v>0.0</v>
      </c>
      <c r="H1337" s="1107"/>
    </row>
    <row r="1338" ht="18.75" customHeight="1">
      <c r="A1338" s="1107"/>
      <c r="B1338" s="1108" t="s">
        <v>3742</v>
      </c>
      <c r="C1338" s="1108" t="s">
        <v>3804</v>
      </c>
      <c r="D1338" s="1108" t="s">
        <v>3861</v>
      </c>
      <c r="E1338" s="1108" t="s">
        <v>3862</v>
      </c>
      <c r="F1338" s="1109">
        <v>0.1</v>
      </c>
      <c r="G1338" s="1109">
        <v>0.0</v>
      </c>
      <c r="H1338" s="1107"/>
    </row>
    <row r="1339" ht="18.75" customHeight="1">
      <c r="A1339" s="1107"/>
      <c r="B1339" s="1108" t="s">
        <v>3742</v>
      </c>
      <c r="C1339" s="1108" t="s">
        <v>3804</v>
      </c>
      <c r="D1339" s="1108" t="s">
        <v>3863</v>
      </c>
      <c r="E1339" s="1108" t="s">
        <v>3864</v>
      </c>
      <c r="F1339" s="1109">
        <v>0.1</v>
      </c>
      <c r="G1339" s="1109">
        <v>0.0</v>
      </c>
      <c r="H1339" s="1107"/>
    </row>
    <row r="1340" ht="18.75" customHeight="1">
      <c r="A1340" s="1107"/>
      <c r="B1340" s="1108" t="s">
        <v>3742</v>
      </c>
      <c r="C1340" s="1108" t="s">
        <v>3804</v>
      </c>
      <c r="D1340" s="1108" t="s">
        <v>3865</v>
      </c>
      <c r="E1340" s="1108" t="s">
        <v>3866</v>
      </c>
      <c r="F1340" s="1109">
        <v>0.1</v>
      </c>
      <c r="G1340" s="1109">
        <v>0.0</v>
      </c>
      <c r="H1340" s="1107"/>
    </row>
    <row r="1341" ht="18.75" customHeight="1">
      <c r="A1341" s="1107"/>
      <c r="B1341" s="1108" t="s">
        <v>3742</v>
      </c>
      <c r="C1341" s="1108" t="s">
        <v>3804</v>
      </c>
      <c r="D1341" s="1108" t="s">
        <v>3867</v>
      </c>
      <c r="E1341" s="1108" t="s">
        <v>3868</v>
      </c>
      <c r="F1341" s="1109">
        <v>0.1</v>
      </c>
      <c r="G1341" s="1109">
        <v>0.0</v>
      </c>
      <c r="H1341" s="1107"/>
    </row>
    <row r="1342" ht="18.75" customHeight="1">
      <c r="A1342" s="1107"/>
      <c r="B1342" s="1108" t="s">
        <v>3742</v>
      </c>
      <c r="C1342" s="1108" t="s">
        <v>3804</v>
      </c>
      <c r="D1342" s="1108" t="s">
        <v>3869</v>
      </c>
      <c r="E1342" s="1108" t="s">
        <v>3870</v>
      </c>
      <c r="F1342" s="1109">
        <v>0.1</v>
      </c>
      <c r="G1342" s="1109">
        <v>0.0</v>
      </c>
      <c r="H1342" s="1107"/>
    </row>
    <row r="1343" ht="18.75" customHeight="1">
      <c r="A1343" s="1107"/>
      <c r="B1343" s="1108" t="s">
        <v>3742</v>
      </c>
      <c r="C1343" s="1108" t="s">
        <v>3804</v>
      </c>
      <c r="D1343" s="1108" t="s">
        <v>3871</v>
      </c>
      <c r="E1343" s="1108" t="s">
        <v>3872</v>
      </c>
      <c r="F1343" s="1109">
        <v>0.1</v>
      </c>
      <c r="G1343" s="1109">
        <v>0.0</v>
      </c>
      <c r="H1343" s="1107"/>
    </row>
    <row r="1344" ht="18.75" customHeight="1">
      <c r="A1344" s="1107"/>
      <c r="B1344" s="1108" t="s">
        <v>3742</v>
      </c>
      <c r="C1344" s="1108" t="s">
        <v>3804</v>
      </c>
      <c r="D1344" s="1108" t="s">
        <v>3873</v>
      </c>
      <c r="E1344" s="1108" t="s">
        <v>3874</v>
      </c>
      <c r="F1344" s="1109">
        <v>0.1</v>
      </c>
      <c r="G1344" s="1109">
        <v>0.0</v>
      </c>
      <c r="H1344" s="1107"/>
    </row>
    <row r="1345" ht="18.75" customHeight="1">
      <c r="A1345" s="1107"/>
      <c r="B1345" s="1108" t="s">
        <v>3742</v>
      </c>
      <c r="C1345" s="1108" t="s">
        <v>3804</v>
      </c>
      <c r="D1345" s="1108" t="s">
        <v>3875</v>
      </c>
      <c r="E1345" s="1108" t="s">
        <v>3876</v>
      </c>
      <c r="F1345" s="1109">
        <v>0.1</v>
      </c>
      <c r="G1345" s="1109">
        <v>0.0</v>
      </c>
      <c r="H1345" s="1107"/>
    </row>
    <row r="1346" ht="18.75" customHeight="1">
      <c r="A1346" s="1107"/>
      <c r="B1346" s="1108" t="s">
        <v>3742</v>
      </c>
      <c r="C1346" s="1108" t="s">
        <v>3804</v>
      </c>
      <c r="D1346" s="1108" t="s">
        <v>3877</v>
      </c>
      <c r="E1346" s="1108" t="s">
        <v>3878</v>
      </c>
      <c r="F1346" s="1109">
        <v>0.1</v>
      </c>
      <c r="G1346" s="1109">
        <v>0.0</v>
      </c>
      <c r="H1346" s="1107"/>
    </row>
    <row r="1347" ht="18.75" customHeight="1">
      <c r="A1347" s="1107"/>
      <c r="B1347" s="1108" t="s">
        <v>3742</v>
      </c>
      <c r="C1347" s="1108" t="s">
        <v>3804</v>
      </c>
      <c r="D1347" s="1108" t="s">
        <v>3879</v>
      </c>
      <c r="E1347" s="1108" t="s">
        <v>3880</v>
      </c>
      <c r="F1347" s="1109">
        <v>0.1</v>
      </c>
      <c r="G1347" s="1109">
        <v>0.0</v>
      </c>
      <c r="H1347" s="1107"/>
    </row>
    <row r="1348" ht="18.75" customHeight="1">
      <c r="A1348" s="1107"/>
      <c r="B1348" s="1108" t="s">
        <v>3742</v>
      </c>
      <c r="C1348" s="1108" t="s">
        <v>3804</v>
      </c>
      <c r="D1348" s="1108" t="s">
        <v>3881</v>
      </c>
      <c r="E1348" s="1108" t="s">
        <v>3882</v>
      </c>
      <c r="F1348" s="1109">
        <v>0.1</v>
      </c>
      <c r="G1348" s="1109">
        <v>0.0</v>
      </c>
      <c r="H1348" s="1107"/>
    </row>
    <row r="1349" ht="18.75" customHeight="1">
      <c r="A1349" s="1107"/>
      <c r="B1349" s="1108" t="s">
        <v>3742</v>
      </c>
      <c r="C1349" s="1108" t="s">
        <v>3804</v>
      </c>
      <c r="D1349" s="1108" t="s">
        <v>3883</v>
      </c>
      <c r="E1349" s="1108" t="s">
        <v>3884</v>
      </c>
      <c r="F1349" s="1109">
        <v>0.1</v>
      </c>
      <c r="G1349" s="1109">
        <v>0.0</v>
      </c>
      <c r="H1349" s="1107"/>
    </row>
    <row r="1350" ht="18.75" customHeight="1">
      <c r="A1350" s="1107"/>
      <c r="B1350" s="1108" t="s">
        <v>3742</v>
      </c>
      <c r="C1350" s="1108" t="s">
        <v>3804</v>
      </c>
      <c r="D1350" s="1108" t="s">
        <v>3885</v>
      </c>
      <c r="E1350" s="1108" t="s">
        <v>3886</v>
      </c>
      <c r="F1350" s="1109">
        <v>0.1</v>
      </c>
      <c r="G1350" s="1109">
        <v>0.0</v>
      </c>
      <c r="H1350" s="1107"/>
    </row>
    <row r="1351" ht="18.75" customHeight="1">
      <c r="A1351" s="1107"/>
      <c r="B1351" s="1108" t="s">
        <v>3742</v>
      </c>
      <c r="C1351" s="1108" t="s">
        <v>3804</v>
      </c>
      <c r="D1351" s="1108" t="s">
        <v>3887</v>
      </c>
      <c r="E1351" s="1108" t="s">
        <v>3888</v>
      </c>
      <c r="F1351" s="1109">
        <v>0.1</v>
      </c>
      <c r="G1351" s="1109">
        <v>0.0</v>
      </c>
      <c r="H1351" s="1107"/>
    </row>
    <row r="1352" ht="18.75" customHeight="1">
      <c r="A1352" s="1107"/>
      <c r="B1352" s="1108" t="s">
        <v>3742</v>
      </c>
      <c r="C1352" s="1108" t="s">
        <v>3804</v>
      </c>
      <c r="D1352" s="1108" t="s">
        <v>3889</v>
      </c>
      <c r="E1352" s="1108" t="s">
        <v>3890</v>
      </c>
      <c r="F1352" s="1109">
        <v>0.1</v>
      </c>
      <c r="G1352" s="1109">
        <v>0.0</v>
      </c>
      <c r="H1352" s="1107"/>
    </row>
    <row r="1353" ht="18.75" customHeight="1">
      <c r="A1353" s="1107"/>
      <c r="B1353" s="1108" t="s">
        <v>3742</v>
      </c>
      <c r="C1353" s="1108" t="s">
        <v>3804</v>
      </c>
      <c r="D1353" s="1108" t="s">
        <v>3891</v>
      </c>
      <c r="E1353" s="1108" t="s">
        <v>3892</v>
      </c>
      <c r="F1353" s="1109">
        <v>0.1</v>
      </c>
      <c r="G1353" s="1109">
        <v>0.0</v>
      </c>
      <c r="H1353" s="1107"/>
    </row>
    <row r="1354" ht="18.75" customHeight="1">
      <c r="A1354" s="1107"/>
      <c r="B1354" s="1108" t="s">
        <v>3742</v>
      </c>
      <c r="C1354" s="1108" t="s">
        <v>3804</v>
      </c>
      <c r="D1354" s="1108" t="s">
        <v>3893</v>
      </c>
      <c r="E1354" s="1108" t="s">
        <v>3894</v>
      </c>
      <c r="F1354" s="1109">
        <v>0.1</v>
      </c>
      <c r="G1354" s="1109">
        <v>0.0</v>
      </c>
      <c r="H1354" s="1107"/>
    </row>
    <row r="1355" ht="18.75" customHeight="1">
      <c r="A1355" s="1107"/>
      <c r="B1355" s="1108" t="s">
        <v>3742</v>
      </c>
      <c r="C1355" s="1108" t="s">
        <v>3804</v>
      </c>
      <c r="D1355" s="1108" t="s">
        <v>3895</v>
      </c>
      <c r="E1355" s="1108" t="s">
        <v>3896</v>
      </c>
      <c r="F1355" s="1109">
        <v>0.1</v>
      </c>
      <c r="G1355" s="1109">
        <v>0.0</v>
      </c>
      <c r="H1355" s="1107"/>
    </row>
    <row r="1356" ht="18.75" customHeight="1">
      <c r="A1356" s="1107"/>
      <c r="B1356" s="1108" t="s">
        <v>3742</v>
      </c>
      <c r="C1356" s="1108" t="s">
        <v>3804</v>
      </c>
      <c r="D1356" s="1108" t="s">
        <v>3897</v>
      </c>
      <c r="E1356" s="1108" t="s">
        <v>3898</v>
      </c>
      <c r="F1356" s="1109">
        <v>0.1</v>
      </c>
      <c r="G1356" s="1109">
        <v>0.0</v>
      </c>
      <c r="H1356" s="1107"/>
    </row>
    <row r="1357" ht="18.75" customHeight="1">
      <c r="A1357" s="1107"/>
      <c r="B1357" s="1108" t="s">
        <v>3742</v>
      </c>
      <c r="C1357" s="1108" t="s">
        <v>3804</v>
      </c>
      <c r="D1357" s="1108" t="s">
        <v>3899</v>
      </c>
      <c r="E1357" s="1108" t="s">
        <v>3900</v>
      </c>
      <c r="F1357" s="1109">
        <v>0.1</v>
      </c>
      <c r="G1357" s="1109">
        <v>0.0</v>
      </c>
      <c r="H1357" s="1107"/>
    </row>
    <row r="1358" ht="18.75" customHeight="1">
      <c r="A1358" s="1107"/>
      <c r="B1358" s="1108" t="s">
        <v>3742</v>
      </c>
      <c r="C1358" s="1108" t="s">
        <v>3804</v>
      </c>
      <c r="D1358" s="1108" t="s">
        <v>3901</v>
      </c>
      <c r="E1358" s="1108" t="s">
        <v>3902</v>
      </c>
      <c r="F1358" s="1109">
        <v>0.1</v>
      </c>
      <c r="G1358" s="1109">
        <v>0.0</v>
      </c>
      <c r="H1358" s="1107"/>
    </row>
    <row r="1359" ht="18.75" customHeight="1">
      <c r="A1359" s="1107"/>
      <c r="B1359" s="1108" t="s">
        <v>3742</v>
      </c>
      <c r="C1359" s="1108" t="s">
        <v>3804</v>
      </c>
      <c r="D1359" s="1108" t="s">
        <v>3903</v>
      </c>
      <c r="E1359" s="1108" t="s">
        <v>3904</v>
      </c>
      <c r="F1359" s="1109">
        <v>0.1</v>
      </c>
      <c r="G1359" s="1109">
        <v>0.0</v>
      </c>
      <c r="H1359" s="1107"/>
    </row>
    <row r="1360" ht="18.75" customHeight="1">
      <c r="A1360" s="1107"/>
      <c r="B1360" s="1108" t="s">
        <v>3742</v>
      </c>
      <c r="C1360" s="1108" t="s">
        <v>3804</v>
      </c>
      <c r="D1360" s="1108" t="s">
        <v>3905</v>
      </c>
      <c r="E1360" s="1108" t="s">
        <v>3906</v>
      </c>
      <c r="F1360" s="1109">
        <v>0.1</v>
      </c>
      <c r="G1360" s="1109">
        <v>0.0</v>
      </c>
      <c r="H1360" s="1107"/>
    </row>
    <row r="1361" ht="18.75" customHeight="1">
      <c r="A1361" s="1107"/>
      <c r="B1361" s="1108" t="s">
        <v>3742</v>
      </c>
      <c r="C1361" s="1108" t="s">
        <v>3804</v>
      </c>
      <c r="D1361" s="1108" t="s">
        <v>3907</v>
      </c>
      <c r="E1361" s="1108" t="s">
        <v>3908</v>
      </c>
      <c r="F1361" s="1109">
        <v>0.1</v>
      </c>
      <c r="G1361" s="1109">
        <v>0.0</v>
      </c>
      <c r="H1361" s="1107"/>
    </row>
    <row r="1362" ht="18.75" customHeight="1">
      <c r="A1362" s="1107"/>
      <c r="B1362" s="1108" t="s">
        <v>3742</v>
      </c>
      <c r="C1362" s="1108" t="s">
        <v>3804</v>
      </c>
      <c r="D1362" s="1108" t="s">
        <v>3909</v>
      </c>
      <c r="E1362" s="1108" t="s">
        <v>3910</v>
      </c>
      <c r="F1362" s="1109">
        <v>0.1</v>
      </c>
      <c r="G1362" s="1109">
        <v>0.0</v>
      </c>
      <c r="H1362" s="1107"/>
    </row>
    <row r="1363" ht="18.75" customHeight="1">
      <c r="A1363" s="1107"/>
      <c r="B1363" s="1108" t="s">
        <v>3742</v>
      </c>
      <c r="C1363" s="1108" t="s">
        <v>3804</v>
      </c>
      <c r="D1363" s="1108" t="s">
        <v>3911</v>
      </c>
      <c r="E1363" s="1108" t="s">
        <v>3912</v>
      </c>
      <c r="F1363" s="1109">
        <v>0.1</v>
      </c>
      <c r="G1363" s="1109">
        <v>0.0</v>
      </c>
      <c r="H1363" s="1107"/>
    </row>
    <row r="1364" ht="18.75" customHeight="1">
      <c r="A1364" s="1107"/>
      <c r="B1364" s="1108" t="s">
        <v>3742</v>
      </c>
      <c r="C1364" s="1108" t="s">
        <v>3804</v>
      </c>
      <c r="D1364" s="1108" t="s">
        <v>3913</v>
      </c>
      <c r="E1364" s="1108" t="s">
        <v>3914</v>
      </c>
      <c r="F1364" s="1109">
        <v>0.1</v>
      </c>
      <c r="G1364" s="1109">
        <v>0.0</v>
      </c>
      <c r="H1364" s="1107"/>
    </row>
    <row r="1365" ht="18.75" customHeight="1">
      <c r="A1365" s="1107"/>
      <c r="B1365" s="1108" t="s">
        <v>3742</v>
      </c>
      <c r="C1365" s="1108" t="s">
        <v>3804</v>
      </c>
      <c r="D1365" s="1108" t="s">
        <v>3915</v>
      </c>
      <c r="E1365" s="1108" t="s">
        <v>3916</v>
      </c>
      <c r="F1365" s="1109">
        <v>0.1</v>
      </c>
      <c r="G1365" s="1109">
        <v>0.0</v>
      </c>
      <c r="H1365" s="1107"/>
    </row>
    <row r="1366" ht="18.75" customHeight="1">
      <c r="A1366" s="1107"/>
      <c r="B1366" s="1108" t="s">
        <v>3742</v>
      </c>
      <c r="C1366" s="1108" t="s">
        <v>3804</v>
      </c>
      <c r="D1366" s="1108" t="s">
        <v>3917</v>
      </c>
      <c r="E1366" s="1108" t="s">
        <v>3918</v>
      </c>
      <c r="F1366" s="1109">
        <v>0.1</v>
      </c>
      <c r="G1366" s="1109">
        <v>0.0</v>
      </c>
      <c r="H1366" s="1107"/>
    </row>
    <row r="1367" ht="18.75" customHeight="1">
      <c r="A1367" s="1107"/>
      <c r="B1367" s="1108" t="s">
        <v>3742</v>
      </c>
      <c r="C1367" s="1108" t="s">
        <v>3804</v>
      </c>
      <c r="D1367" s="1108" t="s">
        <v>3919</v>
      </c>
      <c r="E1367" s="1108" t="s">
        <v>3920</v>
      </c>
      <c r="F1367" s="1109">
        <v>0.1</v>
      </c>
      <c r="G1367" s="1109">
        <v>0.0</v>
      </c>
      <c r="H1367" s="1107"/>
    </row>
    <row r="1368" ht="18.75" customHeight="1">
      <c r="A1368" s="1107"/>
      <c r="B1368" s="1108" t="s">
        <v>3742</v>
      </c>
      <c r="C1368" s="1108" t="s">
        <v>3804</v>
      </c>
      <c r="D1368" s="1108" t="s">
        <v>3921</v>
      </c>
      <c r="E1368" s="1108" t="s">
        <v>3922</v>
      </c>
      <c r="F1368" s="1109">
        <v>0.1</v>
      </c>
      <c r="G1368" s="1109">
        <v>0.0</v>
      </c>
      <c r="H1368" s="1107"/>
    </row>
    <row r="1369" ht="18.75" customHeight="1">
      <c r="A1369" s="1107"/>
      <c r="B1369" s="1108" t="s">
        <v>3742</v>
      </c>
      <c r="C1369" s="1108" t="s">
        <v>3804</v>
      </c>
      <c r="D1369" s="1108" t="s">
        <v>3923</v>
      </c>
      <c r="E1369" s="1108" t="s">
        <v>3924</v>
      </c>
      <c r="F1369" s="1109">
        <v>0.1</v>
      </c>
      <c r="G1369" s="1109">
        <v>0.0</v>
      </c>
      <c r="H1369" s="1107"/>
    </row>
    <row r="1370" ht="18.75" customHeight="1">
      <c r="A1370" s="1107"/>
      <c r="B1370" s="1108" t="s">
        <v>3742</v>
      </c>
      <c r="C1370" s="1108" t="s">
        <v>3804</v>
      </c>
      <c r="D1370" s="1108" t="s">
        <v>3925</v>
      </c>
      <c r="E1370" s="1108" t="s">
        <v>3926</v>
      </c>
      <c r="F1370" s="1109">
        <v>0.1</v>
      </c>
      <c r="G1370" s="1109">
        <v>0.0</v>
      </c>
      <c r="H1370" s="1107"/>
    </row>
    <row r="1371" ht="18.75" customHeight="1">
      <c r="A1371" s="1107"/>
      <c r="B1371" s="1108" t="s">
        <v>3742</v>
      </c>
      <c r="C1371" s="1108" t="s">
        <v>3804</v>
      </c>
      <c r="D1371" s="1108" t="s">
        <v>3927</v>
      </c>
      <c r="E1371" s="1108" t="s">
        <v>3928</v>
      </c>
      <c r="F1371" s="1109">
        <v>0.1</v>
      </c>
      <c r="G1371" s="1109">
        <v>0.0</v>
      </c>
      <c r="H1371" s="1107"/>
    </row>
    <row r="1372" ht="18.75" customHeight="1">
      <c r="A1372" s="1107"/>
      <c r="B1372" s="1108" t="s">
        <v>3742</v>
      </c>
      <c r="C1372" s="1108" t="s">
        <v>3804</v>
      </c>
      <c r="D1372" s="1108" t="s">
        <v>3929</v>
      </c>
      <c r="E1372" s="1108" t="s">
        <v>3930</v>
      </c>
      <c r="F1372" s="1109">
        <v>0.1</v>
      </c>
      <c r="G1372" s="1109">
        <v>0.0</v>
      </c>
      <c r="H1372" s="1107"/>
    </row>
    <row r="1373" ht="18.75" customHeight="1">
      <c r="A1373" s="1107"/>
      <c r="B1373" s="1108" t="s">
        <v>3742</v>
      </c>
      <c r="C1373" s="1108" t="s">
        <v>3804</v>
      </c>
      <c r="D1373" s="1108" t="s">
        <v>3931</v>
      </c>
      <c r="E1373" s="1108" t="s">
        <v>3932</v>
      </c>
      <c r="F1373" s="1109">
        <v>0.1</v>
      </c>
      <c r="G1373" s="1109">
        <v>0.0</v>
      </c>
      <c r="H1373" s="1107"/>
    </row>
    <row r="1374" ht="18.75" customHeight="1">
      <c r="A1374" s="1107"/>
      <c r="B1374" s="1108" t="s">
        <v>3742</v>
      </c>
      <c r="C1374" s="1108" t="s">
        <v>3804</v>
      </c>
      <c r="D1374" s="1108" t="s">
        <v>3933</v>
      </c>
      <c r="E1374" s="1108" t="s">
        <v>3934</v>
      </c>
      <c r="F1374" s="1109">
        <v>0.1</v>
      </c>
      <c r="G1374" s="1109">
        <v>0.0</v>
      </c>
      <c r="H1374" s="1107"/>
    </row>
    <row r="1375" ht="18.75" customHeight="1">
      <c r="A1375" s="1107"/>
      <c r="B1375" s="1108" t="s">
        <v>3742</v>
      </c>
      <c r="C1375" s="1108" t="s">
        <v>3804</v>
      </c>
      <c r="D1375" s="1108" t="s">
        <v>3935</v>
      </c>
      <c r="E1375" s="1108" t="s">
        <v>3936</v>
      </c>
      <c r="F1375" s="1109">
        <v>0.1</v>
      </c>
      <c r="G1375" s="1109">
        <v>0.0</v>
      </c>
      <c r="H1375" s="1107"/>
    </row>
    <row r="1376" ht="18.75" customHeight="1">
      <c r="A1376" s="1107"/>
      <c r="B1376" s="1108" t="s">
        <v>3742</v>
      </c>
      <c r="C1376" s="1108" t="s">
        <v>3804</v>
      </c>
      <c r="D1376" s="1108" t="s">
        <v>3937</v>
      </c>
      <c r="E1376" s="1108" t="s">
        <v>3938</v>
      </c>
      <c r="F1376" s="1109">
        <v>0.1</v>
      </c>
      <c r="G1376" s="1109">
        <v>0.0</v>
      </c>
      <c r="H1376" s="1107"/>
    </row>
    <row r="1377" ht="18.75" customHeight="1">
      <c r="A1377" s="1107"/>
      <c r="B1377" s="1108" t="s">
        <v>3742</v>
      </c>
      <c r="C1377" s="1108" t="s">
        <v>3804</v>
      </c>
      <c r="D1377" s="1108" t="s">
        <v>3939</v>
      </c>
      <c r="E1377" s="1108" t="s">
        <v>3940</v>
      </c>
      <c r="F1377" s="1109">
        <v>0.1</v>
      </c>
      <c r="G1377" s="1109">
        <v>0.0</v>
      </c>
      <c r="H1377" s="1107"/>
    </row>
    <row r="1378" ht="18.75" customHeight="1">
      <c r="A1378" s="1107"/>
      <c r="B1378" s="1108" t="s">
        <v>3742</v>
      </c>
      <c r="C1378" s="1108" t="s">
        <v>3804</v>
      </c>
      <c r="D1378" s="1108" t="s">
        <v>3941</v>
      </c>
      <c r="E1378" s="1108" t="s">
        <v>3942</v>
      </c>
      <c r="F1378" s="1109">
        <v>0.1</v>
      </c>
      <c r="G1378" s="1109">
        <v>0.0</v>
      </c>
      <c r="H1378" s="1107"/>
    </row>
    <row r="1379" ht="18.75" customHeight="1">
      <c r="A1379" s="1107"/>
      <c r="B1379" s="1108" t="s">
        <v>3742</v>
      </c>
      <c r="C1379" s="1108" t="s">
        <v>3804</v>
      </c>
      <c r="D1379" s="1108" t="s">
        <v>3943</v>
      </c>
      <c r="E1379" s="1108" t="s">
        <v>3944</v>
      </c>
      <c r="F1379" s="1109">
        <v>0.1</v>
      </c>
      <c r="G1379" s="1109">
        <v>0.0</v>
      </c>
      <c r="H1379" s="1107"/>
    </row>
    <row r="1380" ht="18.75" customHeight="1">
      <c r="A1380" s="1107"/>
      <c r="B1380" s="1108" t="s">
        <v>3742</v>
      </c>
      <c r="C1380" s="1108" t="s">
        <v>3804</v>
      </c>
      <c r="D1380" s="1108" t="s">
        <v>3945</v>
      </c>
      <c r="E1380" s="1108" t="s">
        <v>3946</v>
      </c>
      <c r="F1380" s="1109">
        <v>0.1</v>
      </c>
      <c r="G1380" s="1109">
        <v>0.0</v>
      </c>
      <c r="H1380" s="1107"/>
    </row>
    <row r="1381" ht="18.75" customHeight="1">
      <c r="A1381" s="1107"/>
      <c r="B1381" s="1108" t="s">
        <v>3742</v>
      </c>
      <c r="C1381" s="1108" t="s">
        <v>3804</v>
      </c>
      <c r="D1381" s="1108" t="s">
        <v>3947</v>
      </c>
      <c r="E1381" s="1108" t="s">
        <v>3948</v>
      </c>
      <c r="F1381" s="1109">
        <v>0.1</v>
      </c>
      <c r="G1381" s="1109">
        <v>0.0</v>
      </c>
      <c r="H1381" s="1107"/>
    </row>
    <row r="1382" ht="18.75" customHeight="1">
      <c r="A1382" s="1107"/>
      <c r="B1382" s="1108" t="s">
        <v>3742</v>
      </c>
      <c r="C1382" s="1108" t="s">
        <v>3804</v>
      </c>
      <c r="D1382" s="1108" t="s">
        <v>3949</v>
      </c>
      <c r="E1382" s="1108" t="s">
        <v>3950</v>
      </c>
      <c r="F1382" s="1109">
        <v>0.1</v>
      </c>
      <c r="G1382" s="1109">
        <v>0.0</v>
      </c>
      <c r="H1382" s="1107"/>
    </row>
    <row r="1383" ht="18.75" customHeight="1">
      <c r="A1383" s="1107"/>
      <c r="B1383" s="1108" t="s">
        <v>3742</v>
      </c>
      <c r="C1383" s="1108" t="s">
        <v>3804</v>
      </c>
      <c r="D1383" s="1108" t="s">
        <v>3951</v>
      </c>
      <c r="E1383" s="1108" t="s">
        <v>3952</v>
      </c>
      <c r="F1383" s="1109">
        <v>0.1</v>
      </c>
      <c r="G1383" s="1109">
        <v>0.0</v>
      </c>
      <c r="H1383" s="1107"/>
    </row>
    <row r="1384" ht="18.75" customHeight="1">
      <c r="A1384" s="1107"/>
      <c r="B1384" s="1108" t="s">
        <v>3742</v>
      </c>
      <c r="C1384" s="1108" t="s">
        <v>3804</v>
      </c>
      <c r="D1384" s="1108" t="s">
        <v>3953</v>
      </c>
      <c r="E1384" s="1108" t="s">
        <v>3954</v>
      </c>
      <c r="F1384" s="1109">
        <v>0.1</v>
      </c>
      <c r="G1384" s="1109">
        <v>0.0</v>
      </c>
      <c r="H1384" s="1107"/>
    </row>
    <row r="1385" ht="18.75" customHeight="1">
      <c r="A1385" s="1107"/>
      <c r="B1385" s="1108" t="s">
        <v>3742</v>
      </c>
      <c r="C1385" s="1108" t="s">
        <v>3804</v>
      </c>
      <c r="D1385" s="1108" t="s">
        <v>3955</v>
      </c>
      <c r="E1385" s="1108" t="s">
        <v>3956</v>
      </c>
      <c r="F1385" s="1109">
        <v>0.1</v>
      </c>
      <c r="G1385" s="1109">
        <v>0.0</v>
      </c>
      <c r="H1385" s="1107"/>
    </row>
    <row r="1386" ht="18.75" customHeight="1">
      <c r="A1386" s="1107"/>
      <c r="B1386" s="1108" t="s">
        <v>3742</v>
      </c>
      <c r="C1386" s="1108" t="s">
        <v>3804</v>
      </c>
      <c r="D1386" s="1108" t="s">
        <v>3957</v>
      </c>
      <c r="E1386" s="1108" t="s">
        <v>3958</v>
      </c>
      <c r="F1386" s="1109">
        <v>0.1</v>
      </c>
      <c r="G1386" s="1109">
        <v>0.0</v>
      </c>
      <c r="H1386" s="1107"/>
    </row>
    <row r="1387" ht="18.75" customHeight="1">
      <c r="A1387" s="1107"/>
      <c r="B1387" s="1108" t="s">
        <v>3742</v>
      </c>
      <c r="C1387" s="1108" t="s">
        <v>3804</v>
      </c>
      <c r="D1387" s="1108" t="s">
        <v>3959</v>
      </c>
      <c r="E1387" s="1108" t="s">
        <v>3960</v>
      </c>
      <c r="F1387" s="1109">
        <v>0.1</v>
      </c>
      <c r="G1387" s="1109">
        <v>0.0</v>
      </c>
      <c r="H1387" s="1107"/>
    </row>
    <row r="1388" ht="18.75" customHeight="1">
      <c r="A1388" s="1107"/>
      <c r="B1388" s="1108" t="s">
        <v>3742</v>
      </c>
      <c r="C1388" s="1108" t="s">
        <v>3804</v>
      </c>
      <c r="D1388" s="1108" t="s">
        <v>3961</v>
      </c>
      <c r="E1388" s="1108" t="s">
        <v>3962</v>
      </c>
      <c r="F1388" s="1109">
        <v>0.1</v>
      </c>
      <c r="G1388" s="1109">
        <v>0.0</v>
      </c>
      <c r="H1388" s="1107"/>
    </row>
    <row r="1389" ht="18.75" customHeight="1">
      <c r="A1389" s="1107"/>
      <c r="B1389" s="1108" t="s">
        <v>3742</v>
      </c>
      <c r="C1389" s="1108" t="s">
        <v>3804</v>
      </c>
      <c r="D1389" s="1108" t="s">
        <v>3963</v>
      </c>
      <c r="E1389" s="1108" t="s">
        <v>3964</v>
      </c>
      <c r="F1389" s="1109">
        <v>0.1</v>
      </c>
      <c r="G1389" s="1109">
        <v>0.0</v>
      </c>
      <c r="H1389" s="1107"/>
    </row>
    <row r="1390" ht="18.75" customHeight="1">
      <c r="A1390" s="1107"/>
      <c r="B1390" s="1108" t="s">
        <v>3742</v>
      </c>
      <c r="C1390" s="1108" t="s">
        <v>3804</v>
      </c>
      <c r="D1390" s="1108" t="s">
        <v>3965</v>
      </c>
      <c r="E1390" s="1108" t="s">
        <v>3966</v>
      </c>
      <c r="F1390" s="1109">
        <v>0.1</v>
      </c>
      <c r="G1390" s="1109">
        <v>0.0</v>
      </c>
      <c r="H1390" s="1107"/>
    </row>
    <row r="1391" ht="18.75" customHeight="1">
      <c r="A1391" s="1107"/>
      <c r="B1391" s="1108" t="s">
        <v>3742</v>
      </c>
      <c r="C1391" s="1108" t="s">
        <v>3804</v>
      </c>
      <c r="D1391" s="1108" t="s">
        <v>3967</v>
      </c>
      <c r="E1391" s="1108" t="s">
        <v>3968</v>
      </c>
      <c r="F1391" s="1109">
        <v>0.1</v>
      </c>
      <c r="G1391" s="1109">
        <v>0.0</v>
      </c>
      <c r="H1391" s="1107"/>
    </row>
    <row r="1392" ht="18.75" customHeight="1">
      <c r="A1392" s="1107"/>
      <c r="B1392" s="1108" t="s">
        <v>3742</v>
      </c>
      <c r="C1392" s="1108" t="s">
        <v>3804</v>
      </c>
      <c r="D1392" s="1108" t="s">
        <v>3969</v>
      </c>
      <c r="E1392" s="1108" t="s">
        <v>3970</v>
      </c>
      <c r="F1392" s="1109">
        <v>0.1</v>
      </c>
      <c r="G1392" s="1109">
        <v>0.0</v>
      </c>
      <c r="H1392" s="1107"/>
    </row>
    <row r="1393" ht="18.75" customHeight="1">
      <c r="A1393" s="1107"/>
      <c r="B1393" s="1108" t="s">
        <v>3742</v>
      </c>
      <c r="C1393" s="1108" t="s">
        <v>3804</v>
      </c>
      <c r="D1393" s="1108" t="s">
        <v>3971</v>
      </c>
      <c r="E1393" s="1108" t="s">
        <v>3972</v>
      </c>
      <c r="F1393" s="1109">
        <v>0.1</v>
      </c>
      <c r="G1393" s="1109">
        <v>0.0</v>
      </c>
      <c r="H1393" s="1107"/>
    </row>
    <row r="1394" ht="18.75" customHeight="1">
      <c r="A1394" s="1107"/>
      <c r="B1394" s="1108" t="s">
        <v>3742</v>
      </c>
      <c r="C1394" s="1108" t="s">
        <v>3804</v>
      </c>
      <c r="D1394" s="1108" t="s">
        <v>3973</v>
      </c>
      <c r="E1394" s="1108" t="s">
        <v>3974</v>
      </c>
      <c r="F1394" s="1109">
        <v>0.1</v>
      </c>
      <c r="G1394" s="1109">
        <v>0.0</v>
      </c>
      <c r="H1394" s="1107"/>
    </row>
    <row r="1395" ht="18.75" customHeight="1">
      <c r="A1395" s="1107"/>
      <c r="B1395" s="1108" t="s">
        <v>3742</v>
      </c>
      <c r="C1395" s="1108" t="s">
        <v>3804</v>
      </c>
      <c r="D1395" s="1108" t="s">
        <v>3975</v>
      </c>
      <c r="E1395" s="1108" t="s">
        <v>3976</v>
      </c>
      <c r="F1395" s="1109">
        <v>0.1</v>
      </c>
      <c r="G1395" s="1109">
        <v>0.0</v>
      </c>
      <c r="H1395" s="1107"/>
    </row>
    <row r="1396" ht="18.75" customHeight="1">
      <c r="A1396" s="1107"/>
      <c r="B1396" s="1108" t="s">
        <v>3742</v>
      </c>
      <c r="C1396" s="1108" t="s">
        <v>3804</v>
      </c>
      <c r="D1396" s="1108" t="s">
        <v>3977</v>
      </c>
      <c r="E1396" s="1108" t="s">
        <v>3978</v>
      </c>
      <c r="F1396" s="1109">
        <v>0.1</v>
      </c>
      <c r="G1396" s="1109">
        <v>0.0</v>
      </c>
      <c r="H1396" s="1107"/>
    </row>
    <row r="1397" ht="18.75" customHeight="1">
      <c r="A1397" s="1107"/>
      <c r="B1397" s="1108" t="s">
        <v>3742</v>
      </c>
      <c r="C1397" s="1108" t="s">
        <v>3804</v>
      </c>
      <c r="D1397" s="1108" t="s">
        <v>3979</v>
      </c>
      <c r="E1397" s="1108" t="s">
        <v>3822</v>
      </c>
      <c r="F1397" s="1109">
        <v>0.1</v>
      </c>
      <c r="G1397" s="1109">
        <v>0.0</v>
      </c>
      <c r="H1397" s="1107"/>
    </row>
    <row r="1398" ht="18.75" customHeight="1">
      <c r="A1398" s="1107"/>
      <c r="B1398" s="1108" t="s">
        <v>3742</v>
      </c>
      <c r="C1398" s="1108" t="s">
        <v>3804</v>
      </c>
      <c r="D1398" s="1108" t="s">
        <v>3980</v>
      </c>
      <c r="E1398" s="1108" t="s">
        <v>3981</v>
      </c>
      <c r="F1398" s="1109">
        <v>0.1</v>
      </c>
      <c r="G1398" s="1109">
        <v>0.0</v>
      </c>
      <c r="H1398" s="1107"/>
    </row>
    <row r="1399" ht="18.75" customHeight="1">
      <c r="A1399" s="1107"/>
      <c r="B1399" s="1108" t="s">
        <v>3742</v>
      </c>
      <c r="C1399" s="1108" t="s">
        <v>3804</v>
      </c>
      <c r="D1399" s="1108" t="s">
        <v>3982</v>
      </c>
      <c r="E1399" s="1108" t="s">
        <v>3983</v>
      </c>
      <c r="F1399" s="1109">
        <v>0.1</v>
      </c>
      <c r="G1399" s="1109">
        <v>0.0</v>
      </c>
      <c r="H1399" s="1107"/>
    </row>
    <row r="1400" ht="18.75" customHeight="1">
      <c r="A1400" s="1107"/>
      <c r="B1400" s="1108" t="s">
        <v>3742</v>
      </c>
      <c r="C1400" s="1108" t="s">
        <v>3804</v>
      </c>
      <c r="D1400" s="1108" t="s">
        <v>3984</v>
      </c>
      <c r="E1400" s="1108" t="s">
        <v>3985</v>
      </c>
      <c r="F1400" s="1109">
        <v>0.1</v>
      </c>
      <c r="G1400" s="1109">
        <v>0.0</v>
      </c>
      <c r="H1400" s="1107"/>
    </row>
    <row r="1401" ht="18.75" customHeight="1">
      <c r="A1401" s="1107"/>
      <c r="B1401" s="1108" t="s">
        <v>3742</v>
      </c>
      <c r="C1401" s="1108" t="s">
        <v>3804</v>
      </c>
      <c r="D1401" s="1108" t="s">
        <v>3986</v>
      </c>
      <c r="E1401" s="1108" t="s">
        <v>3987</v>
      </c>
      <c r="F1401" s="1109">
        <v>0.1</v>
      </c>
      <c r="G1401" s="1109">
        <v>0.0</v>
      </c>
      <c r="H1401" s="1107"/>
    </row>
    <row r="1402" ht="18.75" customHeight="1">
      <c r="A1402" s="1107"/>
      <c r="B1402" s="1108" t="s">
        <v>3742</v>
      </c>
      <c r="C1402" s="1108" t="s">
        <v>3804</v>
      </c>
      <c r="D1402" s="1108" t="s">
        <v>3988</v>
      </c>
      <c r="E1402" s="1108" t="s">
        <v>3989</v>
      </c>
      <c r="F1402" s="1109">
        <v>0.1</v>
      </c>
      <c r="G1402" s="1109">
        <v>0.0</v>
      </c>
      <c r="H1402" s="1107"/>
    </row>
    <row r="1403" ht="18.75" customHeight="1">
      <c r="A1403" s="1107"/>
      <c r="B1403" s="1108" t="s">
        <v>3742</v>
      </c>
      <c r="C1403" s="1108" t="s">
        <v>3804</v>
      </c>
      <c r="D1403" s="1108" t="s">
        <v>3990</v>
      </c>
      <c r="E1403" s="1108" t="s">
        <v>3991</v>
      </c>
      <c r="F1403" s="1109">
        <v>0.1</v>
      </c>
      <c r="G1403" s="1109">
        <v>0.0</v>
      </c>
      <c r="H1403" s="1107"/>
    </row>
    <row r="1404" ht="18.75" customHeight="1">
      <c r="A1404" s="1107"/>
      <c r="B1404" s="1108" t="s">
        <v>3742</v>
      </c>
      <c r="C1404" s="1108" t="s">
        <v>3804</v>
      </c>
      <c r="D1404" s="1108" t="s">
        <v>3992</v>
      </c>
      <c r="E1404" s="1108" t="s">
        <v>3993</v>
      </c>
      <c r="F1404" s="1109">
        <v>0.1</v>
      </c>
      <c r="G1404" s="1109">
        <v>0.0</v>
      </c>
      <c r="H1404" s="1107"/>
    </row>
    <row r="1405" ht="18.75" customHeight="1">
      <c r="A1405" s="1107"/>
      <c r="B1405" s="1108" t="s">
        <v>3742</v>
      </c>
      <c r="C1405" s="1108" t="s">
        <v>3804</v>
      </c>
      <c r="D1405" s="1108" t="s">
        <v>3994</v>
      </c>
      <c r="E1405" s="1108" t="s">
        <v>3995</v>
      </c>
      <c r="F1405" s="1109">
        <v>0.1</v>
      </c>
      <c r="G1405" s="1109">
        <v>0.0</v>
      </c>
      <c r="H1405" s="1107"/>
    </row>
    <row r="1406" ht="18.75" customHeight="1">
      <c r="A1406" s="1107"/>
      <c r="B1406" s="1108" t="s">
        <v>3742</v>
      </c>
      <c r="C1406" s="1108" t="s">
        <v>3804</v>
      </c>
      <c r="D1406" s="1108" t="s">
        <v>3996</v>
      </c>
      <c r="E1406" s="1108" t="s">
        <v>3997</v>
      </c>
      <c r="F1406" s="1109">
        <v>0.1</v>
      </c>
      <c r="G1406" s="1109">
        <v>0.0</v>
      </c>
      <c r="H1406" s="1107"/>
    </row>
    <row r="1407" ht="18.75" customHeight="1">
      <c r="A1407" s="1107"/>
      <c r="B1407" s="1108" t="s">
        <v>3742</v>
      </c>
      <c r="C1407" s="1108" t="s">
        <v>3998</v>
      </c>
      <c r="D1407" s="1108" t="s">
        <v>3999</v>
      </c>
      <c r="E1407" s="1108" t="s">
        <v>4000</v>
      </c>
      <c r="F1407" s="1109">
        <v>0.1</v>
      </c>
      <c r="G1407" s="1109">
        <v>0.0</v>
      </c>
      <c r="H1407" s="1107"/>
    </row>
    <row r="1408" ht="18.75" customHeight="1">
      <c r="A1408" s="1107"/>
      <c r="B1408" s="1108" t="s">
        <v>3742</v>
      </c>
      <c r="C1408" s="1108" t="s">
        <v>3998</v>
      </c>
      <c r="D1408" s="1108" t="s">
        <v>4001</v>
      </c>
      <c r="E1408" s="1108" t="s">
        <v>4002</v>
      </c>
      <c r="F1408" s="1109">
        <v>0.1</v>
      </c>
      <c r="G1408" s="1109">
        <v>0.0</v>
      </c>
      <c r="H1408" s="1107"/>
    </row>
    <row r="1409" ht="18.75" customHeight="1">
      <c r="A1409" s="1107"/>
      <c r="B1409" s="1108" t="s">
        <v>3742</v>
      </c>
      <c r="C1409" s="1108" t="s">
        <v>3998</v>
      </c>
      <c r="D1409" s="1108" t="s">
        <v>4003</v>
      </c>
      <c r="E1409" s="1108" t="s">
        <v>4004</v>
      </c>
      <c r="F1409" s="1109">
        <v>0.1</v>
      </c>
      <c r="G1409" s="1109">
        <v>0.0</v>
      </c>
      <c r="H1409" s="1107"/>
    </row>
    <row r="1410" ht="18.75" customHeight="1">
      <c r="A1410" s="1107"/>
      <c r="B1410" s="1108" t="s">
        <v>3742</v>
      </c>
      <c r="C1410" s="1108" t="s">
        <v>3998</v>
      </c>
      <c r="D1410" s="1108" t="s">
        <v>4005</v>
      </c>
      <c r="E1410" s="1108" t="s">
        <v>4006</v>
      </c>
      <c r="F1410" s="1109">
        <v>0.1</v>
      </c>
      <c r="G1410" s="1109">
        <v>0.0</v>
      </c>
      <c r="H1410" s="1107"/>
    </row>
    <row r="1411" ht="18.75" customHeight="1">
      <c r="A1411" s="1107"/>
      <c r="B1411" s="1108" t="s">
        <v>3742</v>
      </c>
      <c r="C1411" s="1108" t="s">
        <v>3998</v>
      </c>
      <c r="D1411" s="1108" t="s">
        <v>4007</v>
      </c>
      <c r="E1411" s="1108" t="s">
        <v>4008</v>
      </c>
      <c r="F1411" s="1109">
        <v>0.1</v>
      </c>
      <c r="G1411" s="1109">
        <v>0.0</v>
      </c>
      <c r="H1411" s="1107"/>
    </row>
    <row r="1412" ht="18.75" customHeight="1">
      <c r="A1412" s="1107"/>
      <c r="B1412" s="1108" t="s">
        <v>3742</v>
      </c>
      <c r="C1412" s="1108" t="s">
        <v>3998</v>
      </c>
      <c r="D1412" s="1108" t="s">
        <v>4009</v>
      </c>
      <c r="E1412" s="1108" t="s">
        <v>4010</v>
      </c>
      <c r="F1412" s="1109">
        <v>0.1</v>
      </c>
      <c r="G1412" s="1109">
        <v>0.0</v>
      </c>
      <c r="H1412" s="1107"/>
    </row>
    <row r="1413" ht="18.75" customHeight="1">
      <c r="A1413" s="1107"/>
      <c r="B1413" s="1108" t="s">
        <v>3742</v>
      </c>
      <c r="C1413" s="1108" t="s">
        <v>3998</v>
      </c>
      <c r="D1413" s="1108" t="s">
        <v>4011</v>
      </c>
      <c r="E1413" s="1108" t="s">
        <v>4012</v>
      </c>
      <c r="F1413" s="1109">
        <v>0.1</v>
      </c>
      <c r="G1413" s="1109">
        <v>0.0</v>
      </c>
      <c r="H1413" s="1107"/>
    </row>
    <row r="1414" ht="18.75" customHeight="1">
      <c r="A1414" s="1107"/>
      <c r="B1414" s="1108" t="s">
        <v>3742</v>
      </c>
      <c r="C1414" s="1108" t="s">
        <v>3998</v>
      </c>
      <c r="D1414" s="1108" t="s">
        <v>4013</v>
      </c>
      <c r="E1414" s="1108" t="s">
        <v>4014</v>
      </c>
      <c r="F1414" s="1109">
        <v>0.1</v>
      </c>
      <c r="G1414" s="1109">
        <v>0.0</v>
      </c>
      <c r="H1414" s="1107"/>
    </row>
    <row r="1415" ht="18.75" customHeight="1">
      <c r="A1415" s="1107"/>
      <c r="B1415" s="1108" t="s">
        <v>3742</v>
      </c>
      <c r="C1415" s="1108" t="s">
        <v>3998</v>
      </c>
      <c r="D1415" s="1108" t="s">
        <v>4015</v>
      </c>
      <c r="E1415" s="1108" t="s">
        <v>4016</v>
      </c>
      <c r="F1415" s="1109">
        <v>0.1</v>
      </c>
      <c r="G1415" s="1109">
        <v>0.0</v>
      </c>
      <c r="H1415" s="1107"/>
    </row>
    <row r="1416" ht="18.75" customHeight="1">
      <c r="A1416" s="1107"/>
      <c r="B1416" s="1108" t="s">
        <v>3742</v>
      </c>
      <c r="C1416" s="1108" t="s">
        <v>3998</v>
      </c>
      <c r="D1416" s="1108" t="s">
        <v>4017</v>
      </c>
      <c r="E1416" s="1108" t="s">
        <v>4018</v>
      </c>
      <c r="F1416" s="1109">
        <v>0.1</v>
      </c>
      <c r="G1416" s="1109">
        <v>0.0</v>
      </c>
      <c r="H1416" s="1107"/>
    </row>
    <row r="1417" ht="18.75" customHeight="1">
      <c r="A1417" s="1107"/>
      <c r="B1417" s="1108" t="s">
        <v>3742</v>
      </c>
      <c r="C1417" s="1108" t="s">
        <v>3998</v>
      </c>
      <c r="D1417" s="1108" t="s">
        <v>4019</v>
      </c>
      <c r="E1417" s="1108" t="s">
        <v>4020</v>
      </c>
      <c r="F1417" s="1109">
        <v>0.1</v>
      </c>
      <c r="G1417" s="1109">
        <v>0.0</v>
      </c>
      <c r="H1417" s="1107"/>
    </row>
    <row r="1418" ht="18.75" customHeight="1">
      <c r="A1418" s="1107"/>
      <c r="B1418" s="1108" t="s">
        <v>3742</v>
      </c>
      <c r="C1418" s="1108" t="s">
        <v>3998</v>
      </c>
      <c r="D1418" s="1108" t="s">
        <v>4021</v>
      </c>
      <c r="E1418" s="1108" t="s">
        <v>4022</v>
      </c>
      <c r="F1418" s="1109">
        <v>0.1</v>
      </c>
      <c r="G1418" s="1109">
        <v>0.0</v>
      </c>
      <c r="H1418" s="1107"/>
    </row>
    <row r="1419" ht="18.75" customHeight="1">
      <c r="A1419" s="1107"/>
      <c r="B1419" s="1108" t="s">
        <v>3742</v>
      </c>
      <c r="C1419" s="1108" t="s">
        <v>3998</v>
      </c>
      <c r="D1419" s="1108" t="s">
        <v>4023</v>
      </c>
      <c r="E1419" s="1108" t="s">
        <v>4024</v>
      </c>
      <c r="F1419" s="1109">
        <v>0.1</v>
      </c>
      <c r="G1419" s="1109">
        <v>0.0</v>
      </c>
      <c r="H1419" s="1107"/>
    </row>
    <row r="1420" ht="18.75" customHeight="1">
      <c r="A1420" s="1107"/>
      <c r="B1420" s="1108" t="s">
        <v>3742</v>
      </c>
      <c r="C1420" s="1108" t="s">
        <v>3998</v>
      </c>
      <c r="D1420" s="1108" t="s">
        <v>4025</v>
      </c>
      <c r="E1420" s="1108" t="s">
        <v>4026</v>
      </c>
      <c r="F1420" s="1109">
        <v>0.1</v>
      </c>
      <c r="G1420" s="1109">
        <v>0.0</v>
      </c>
      <c r="H1420" s="1107"/>
    </row>
    <row r="1421" ht="18.75" customHeight="1">
      <c r="A1421" s="1107"/>
      <c r="B1421" s="1108" t="s">
        <v>3742</v>
      </c>
      <c r="C1421" s="1108" t="s">
        <v>3998</v>
      </c>
      <c r="D1421" s="1108" t="s">
        <v>4027</v>
      </c>
      <c r="E1421" s="1108" t="s">
        <v>4028</v>
      </c>
      <c r="F1421" s="1109">
        <v>0.1</v>
      </c>
      <c r="G1421" s="1109">
        <v>0.0</v>
      </c>
      <c r="H1421" s="1107"/>
    </row>
    <row r="1422" ht="18.75" customHeight="1">
      <c r="A1422" s="1107"/>
      <c r="B1422" s="1108" t="s">
        <v>3742</v>
      </c>
      <c r="C1422" s="1108" t="s">
        <v>3998</v>
      </c>
      <c r="D1422" s="1108" t="s">
        <v>4029</v>
      </c>
      <c r="E1422" s="1108" t="s">
        <v>4030</v>
      </c>
      <c r="F1422" s="1109">
        <v>0.1</v>
      </c>
      <c r="G1422" s="1109">
        <v>0.0</v>
      </c>
      <c r="H1422" s="1107"/>
    </row>
    <row r="1423" ht="18.75" customHeight="1">
      <c r="A1423" s="1107"/>
      <c r="B1423" s="1108" t="s">
        <v>3742</v>
      </c>
      <c r="C1423" s="1108" t="s">
        <v>3998</v>
      </c>
      <c r="D1423" s="1108" t="s">
        <v>4031</v>
      </c>
      <c r="E1423" s="1108" t="s">
        <v>4032</v>
      </c>
      <c r="F1423" s="1109">
        <v>0.1</v>
      </c>
      <c r="G1423" s="1109">
        <v>0.0</v>
      </c>
      <c r="H1423" s="1107"/>
    </row>
    <row r="1424" ht="18.75" customHeight="1">
      <c r="A1424" s="1107"/>
      <c r="B1424" s="1108" t="s">
        <v>3742</v>
      </c>
      <c r="C1424" s="1108" t="s">
        <v>3998</v>
      </c>
      <c r="D1424" s="1108" t="s">
        <v>4033</v>
      </c>
      <c r="E1424" s="1108" t="s">
        <v>4034</v>
      </c>
      <c r="F1424" s="1109">
        <v>0.1</v>
      </c>
      <c r="G1424" s="1109">
        <v>0.0</v>
      </c>
      <c r="H1424" s="1107"/>
    </row>
    <row r="1425" ht="18.75" customHeight="1">
      <c r="A1425" s="1107"/>
      <c r="B1425" s="1108" t="s">
        <v>3742</v>
      </c>
      <c r="C1425" s="1108" t="s">
        <v>3998</v>
      </c>
      <c r="D1425" s="1108" t="s">
        <v>4035</v>
      </c>
      <c r="E1425" s="1108" t="s">
        <v>4036</v>
      </c>
      <c r="F1425" s="1109">
        <v>0.1</v>
      </c>
      <c r="G1425" s="1109">
        <v>0.0</v>
      </c>
      <c r="H1425" s="1107"/>
    </row>
    <row r="1426" ht="18.75" customHeight="1">
      <c r="A1426" s="1107"/>
      <c r="B1426" s="1108" t="s">
        <v>3742</v>
      </c>
      <c r="C1426" s="1108" t="s">
        <v>3998</v>
      </c>
      <c r="D1426" s="1108" t="s">
        <v>4037</v>
      </c>
      <c r="E1426" s="1108" t="s">
        <v>4038</v>
      </c>
      <c r="F1426" s="1109">
        <v>0.1</v>
      </c>
      <c r="G1426" s="1109">
        <v>0.0</v>
      </c>
      <c r="H1426" s="1107"/>
    </row>
    <row r="1427" ht="18.75" customHeight="1">
      <c r="A1427" s="1107"/>
      <c r="B1427" s="1108" t="s">
        <v>3742</v>
      </c>
      <c r="C1427" s="1108" t="s">
        <v>3998</v>
      </c>
      <c r="D1427" s="1108" t="s">
        <v>4039</v>
      </c>
      <c r="E1427" s="1108" t="s">
        <v>4040</v>
      </c>
      <c r="F1427" s="1109">
        <v>0.1</v>
      </c>
      <c r="G1427" s="1109">
        <v>0.0</v>
      </c>
      <c r="H1427" s="1107"/>
    </row>
    <row r="1428" ht="18.75" customHeight="1">
      <c r="A1428" s="1107"/>
      <c r="B1428" s="1108" t="s">
        <v>3742</v>
      </c>
      <c r="C1428" s="1108" t="s">
        <v>3998</v>
      </c>
      <c r="D1428" s="1108" t="s">
        <v>4041</v>
      </c>
      <c r="E1428" s="1108" t="s">
        <v>4042</v>
      </c>
      <c r="F1428" s="1109">
        <v>0.1</v>
      </c>
      <c r="G1428" s="1109">
        <v>0.0</v>
      </c>
      <c r="H1428" s="1107"/>
    </row>
    <row r="1429" ht="18.75" customHeight="1">
      <c r="A1429" s="1107"/>
      <c r="B1429" s="1108" t="s">
        <v>3742</v>
      </c>
      <c r="C1429" s="1108" t="s">
        <v>3998</v>
      </c>
      <c r="D1429" s="1108" t="s">
        <v>4043</v>
      </c>
      <c r="E1429" s="1108" t="s">
        <v>4044</v>
      </c>
      <c r="F1429" s="1109">
        <v>0.1</v>
      </c>
      <c r="G1429" s="1109">
        <v>0.0</v>
      </c>
      <c r="H1429" s="1107"/>
    </row>
    <row r="1430" ht="18.75" customHeight="1">
      <c r="A1430" s="1107"/>
      <c r="B1430" s="1108" t="s">
        <v>3742</v>
      </c>
      <c r="C1430" s="1108" t="s">
        <v>3998</v>
      </c>
      <c r="D1430" s="1108" t="s">
        <v>4045</v>
      </c>
      <c r="E1430" s="1108" t="s">
        <v>4046</v>
      </c>
      <c r="F1430" s="1109">
        <v>0.1</v>
      </c>
      <c r="G1430" s="1109">
        <v>0.0</v>
      </c>
      <c r="H1430" s="1107"/>
    </row>
    <row r="1431" ht="18.75" customHeight="1">
      <c r="A1431" s="1107"/>
      <c r="B1431" s="1108" t="s">
        <v>3742</v>
      </c>
      <c r="C1431" s="1108" t="s">
        <v>3998</v>
      </c>
      <c r="D1431" s="1108" t="s">
        <v>4047</v>
      </c>
      <c r="E1431" s="1108" t="s">
        <v>4048</v>
      </c>
      <c r="F1431" s="1109">
        <v>0.1</v>
      </c>
      <c r="G1431" s="1109">
        <v>0.0</v>
      </c>
      <c r="H1431" s="1107"/>
    </row>
    <row r="1432" ht="18.75" customHeight="1">
      <c r="A1432" s="1107"/>
      <c r="B1432" s="1108" t="s">
        <v>3742</v>
      </c>
      <c r="C1432" s="1108" t="s">
        <v>3998</v>
      </c>
      <c r="D1432" s="1108" t="s">
        <v>4049</v>
      </c>
      <c r="E1432" s="1108" t="s">
        <v>4050</v>
      </c>
      <c r="F1432" s="1109">
        <v>0.1</v>
      </c>
      <c r="G1432" s="1109">
        <v>0.0</v>
      </c>
      <c r="H1432" s="1107"/>
    </row>
    <row r="1433" ht="18.75" customHeight="1">
      <c r="A1433" s="1107"/>
      <c r="B1433" s="1108" t="s">
        <v>3742</v>
      </c>
      <c r="C1433" s="1108" t="s">
        <v>3998</v>
      </c>
      <c r="D1433" s="1108" t="s">
        <v>4051</v>
      </c>
      <c r="E1433" s="1108" t="s">
        <v>4052</v>
      </c>
      <c r="F1433" s="1109">
        <v>0.1</v>
      </c>
      <c r="G1433" s="1109">
        <v>0.0</v>
      </c>
      <c r="H1433" s="1107"/>
    </row>
    <row r="1434" ht="18.75" customHeight="1">
      <c r="A1434" s="1107"/>
      <c r="B1434" s="1108" t="s">
        <v>3742</v>
      </c>
      <c r="C1434" s="1108" t="s">
        <v>3998</v>
      </c>
      <c r="D1434" s="1108" t="s">
        <v>4053</v>
      </c>
      <c r="E1434" s="1108" t="s">
        <v>4054</v>
      </c>
      <c r="F1434" s="1109">
        <v>0.1</v>
      </c>
      <c r="G1434" s="1109">
        <v>0.0</v>
      </c>
      <c r="H1434" s="1107"/>
    </row>
    <row r="1435" ht="18.75" customHeight="1">
      <c r="A1435" s="1107"/>
      <c r="B1435" s="1108" t="s">
        <v>3742</v>
      </c>
      <c r="C1435" s="1108" t="s">
        <v>3998</v>
      </c>
      <c r="D1435" s="1108" t="s">
        <v>4055</v>
      </c>
      <c r="E1435" s="1108" t="s">
        <v>4056</v>
      </c>
      <c r="F1435" s="1109">
        <v>0.1</v>
      </c>
      <c r="G1435" s="1109">
        <v>0.0</v>
      </c>
      <c r="H1435" s="1107"/>
    </row>
    <row r="1436" ht="18.75" customHeight="1">
      <c r="A1436" s="1107"/>
      <c r="B1436" s="1108" t="s">
        <v>3742</v>
      </c>
      <c r="C1436" s="1108" t="s">
        <v>3998</v>
      </c>
      <c r="D1436" s="1108" t="s">
        <v>4057</v>
      </c>
      <c r="E1436" s="1108" t="s">
        <v>4058</v>
      </c>
      <c r="F1436" s="1109">
        <v>0.1</v>
      </c>
      <c r="G1436" s="1109">
        <v>0.0</v>
      </c>
      <c r="H1436" s="1107"/>
    </row>
    <row r="1437" ht="18.75" customHeight="1">
      <c r="A1437" s="1107"/>
      <c r="B1437" s="1108" t="s">
        <v>3742</v>
      </c>
      <c r="C1437" s="1108" t="s">
        <v>3998</v>
      </c>
      <c r="D1437" s="1108" t="s">
        <v>4059</v>
      </c>
      <c r="E1437" s="1108" t="s">
        <v>4060</v>
      </c>
      <c r="F1437" s="1109">
        <v>0.1</v>
      </c>
      <c r="G1437" s="1109">
        <v>0.0</v>
      </c>
      <c r="H1437" s="1107"/>
    </row>
    <row r="1438" ht="18.75" customHeight="1">
      <c r="A1438" s="1107"/>
      <c r="B1438" s="1108" t="s">
        <v>3742</v>
      </c>
      <c r="C1438" s="1108" t="s">
        <v>3998</v>
      </c>
      <c r="D1438" s="1108" t="s">
        <v>4061</v>
      </c>
      <c r="E1438" s="1108" t="s">
        <v>4062</v>
      </c>
      <c r="F1438" s="1109">
        <v>0.1</v>
      </c>
      <c r="G1438" s="1109">
        <v>0.0</v>
      </c>
      <c r="H1438" s="1107"/>
    </row>
    <row r="1439" ht="18.75" customHeight="1">
      <c r="A1439" s="1107"/>
      <c r="B1439" s="1108" t="s">
        <v>3742</v>
      </c>
      <c r="C1439" s="1108" t="s">
        <v>3998</v>
      </c>
      <c r="D1439" s="1108" t="s">
        <v>4063</v>
      </c>
      <c r="E1439" s="1108" t="s">
        <v>4064</v>
      </c>
      <c r="F1439" s="1109">
        <v>0.1</v>
      </c>
      <c r="G1439" s="1109">
        <v>0.0</v>
      </c>
      <c r="H1439" s="1107"/>
    </row>
    <row r="1440" ht="18.75" customHeight="1">
      <c r="A1440" s="1107"/>
      <c r="B1440" s="1108" t="s">
        <v>3742</v>
      </c>
      <c r="C1440" s="1108" t="s">
        <v>3998</v>
      </c>
      <c r="D1440" s="1108" t="s">
        <v>4065</v>
      </c>
      <c r="E1440" s="1108" t="s">
        <v>4066</v>
      </c>
      <c r="F1440" s="1109">
        <v>0.1</v>
      </c>
      <c r="G1440" s="1109">
        <v>0.0</v>
      </c>
      <c r="H1440" s="1107"/>
    </row>
    <row r="1441" ht="18.75" customHeight="1">
      <c r="A1441" s="1107"/>
      <c r="B1441" s="1108" t="s">
        <v>3742</v>
      </c>
      <c r="C1441" s="1108" t="s">
        <v>3998</v>
      </c>
      <c r="D1441" s="1108" t="s">
        <v>4067</v>
      </c>
      <c r="E1441" s="1108" t="s">
        <v>4068</v>
      </c>
      <c r="F1441" s="1109">
        <v>0.1</v>
      </c>
      <c r="G1441" s="1109">
        <v>0.0</v>
      </c>
      <c r="H1441" s="1107"/>
    </row>
    <row r="1442" ht="18.75" customHeight="1">
      <c r="A1442" s="1107"/>
      <c r="B1442" s="1108" t="s">
        <v>3742</v>
      </c>
      <c r="C1442" s="1108" t="s">
        <v>3998</v>
      </c>
      <c r="D1442" s="1108" t="s">
        <v>4069</v>
      </c>
      <c r="E1442" s="1108" t="s">
        <v>4070</v>
      </c>
      <c r="F1442" s="1109">
        <v>0.1</v>
      </c>
      <c r="G1442" s="1109">
        <v>0.0</v>
      </c>
      <c r="H1442" s="1107"/>
    </row>
    <row r="1443" ht="18.75" customHeight="1">
      <c r="A1443" s="1107"/>
      <c r="B1443" s="1108" t="s">
        <v>4071</v>
      </c>
      <c r="C1443" s="1108" t="s">
        <v>4072</v>
      </c>
      <c r="D1443" s="1108" t="s">
        <v>4073</v>
      </c>
      <c r="E1443" s="1108" t="s">
        <v>4074</v>
      </c>
      <c r="F1443" s="1109">
        <v>0.1</v>
      </c>
      <c r="G1443" s="1109">
        <v>0.0</v>
      </c>
      <c r="H1443" s="1107"/>
    </row>
    <row r="1444" ht="18.75" customHeight="1">
      <c r="A1444" s="1107"/>
      <c r="B1444" s="1108" t="s">
        <v>4071</v>
      </c>
      <c r="C1444" s="1108" t="s">
        <v>4072</v>
      </c>
      <c r="D1444" s="1108" t="s">
        <v>4075</v>
      </c>
      <c r="E1444" s="1108" t="s">
        <v>4076</v>
      </c>
      <c r="F1444" s="1109">
        <v>0.1</v>
      </c>
      <c r="G1444" s="1109">
        <v>0.0</v>
      </c>
      <c r="H1444" s="1107"/>
    </row>
    <row r="1445" ht="18.75" customHeight="1">
      <c r="A1445" s="1107"/>
      <c r="B1445" s="1108" t="s">
        <v>4071</v>
      </c>
      <c r="C1445" s="1108" t="s">
        <v>4072</v>
      </c>
      <c r="D1445" s="1108" t="s">
        <v>4077</v>
      </c>
      <c r="E1445" s="1108" t="s">
        <v>4078</v>
      </c>
      <c r="F1445" s="1109">
        <v>0.1</v>
      </c>
      <c r="G1445" s="1109">
        <v>0.0</v>
      </c>
      <c r="H1445" s="1107"/>
    </row>
    <row r="1446" ht="18.75" customHeight="1">
      <c r="A1446" s="1107"/>
      <c r="B1446" s="1108" t="s">
        <v>4071</v>
      </c>
      <c r="C1446" s="1108" t="s">
        <v>4072</v>
      </c>
      <c r="D1446" s="1108" t="s">
        <v>4079</v>
      </c>
      <c r="E1446" s="1108" t="s">
        <v>4080</v>
      </c>
      <c r="F1446" s="1109">
        <v>0.1</v>
      </c>
      <c r="G1446" s="1109">
        <v>0.0</v>
      </c>
      <c r="H1446" s="1107"/>
    </row>
    <row r="1447" ht="18.75" customHeight="1">
      <c r="A1447" s="1107"/>
      <c r="B1447" s="1108" t="s">
        <v>4071</v>
      </c>
      <c r="C1447" s="1108" t="s">
        <v>4072</v>
      </c>
      <c r="D1447" s="1108" t="s">
        <v>4081</v>
      </c>
      <c r="E1447" s="1108" t="s">
        <v>4082</v>
      </c>
      <c r="F1447" s="1109">
        <v>0.1</v>
      </c>
      <c r="G1447" s="1109">
        <v>0.0</v>
      </c>
      <c r="H1447" s="1107"/>
    </row>
    <row r="1448" ht="18.75" customHeight="1">
      <c r="A1448" s="1107"/>
      <c r="B1448" s="1108" t="s">
        <v>4071</v>
      </c>
      <c r="C1448" s="1108" t="s">
        <v>4072</v>
      </c>
      <c r="D1448" s="1108" t="s">
        <v>4083</v>
      </c>
      <c r="E1448" s="1108" t="s">
        <v>4084</v>
      </c>
      <c r="F1448" s="1109">
        <v>0.1</v>
      </c>
      <c r="G1448" s="1109">
        <v>0.0</v>
      </c>
      <c r="H1448" s="1107"/>
    </row>
    <row r="1449" ht="18.75" customHeight="1">
      <c r="A1449" s="1107"/>
      <c r="B1449" s="1108" t="s">
        <v>4071</v>
      </c>
      <c r="C1449" s="1108" t="s">
        <v>4072</v>
      </c>
      <c r="D1449" s="1108" t="s">
        <v>4085</v>
      </c>
      <c r="E1449" s="1108" t="s">
        <v>4086</v>
      </c>
      <c r="F1449" s="1109">
        <v>0.1</v>
      </c>
      <c r="G1449" s="1109">
        <v>0.0</v>
      </c>
      <c r="H1449" s="1107"/>
    </row>
    <row r="1450" ht="18.75" customHeight="1">
      <c r="A1450" s="1107"/>
      <c r="B1450" s="1108" t="s">
        <v>4071</v>
      </c>
      <c r="C1450" s="1108" t="s">
        <v>4072</v>
      </c>
      <c r="D1450" s="1108" t="s">
        <v>4087</v>
      </c>
      <c r="E1450" s="1108" t="s">
        <v>4088</v>
      </c>
      <c r="F1450" s="1109">
        <v>0.1</v>
      </c>
      <c r="G1450" s="1109">
        <v>0.0</v>
      </c>
      <c r="H1450" s="1107"/>
    </row>
    <row r="1451" ht="18.75" customHeight="1">
      <c r="A1451" s="1107"/>
      <c r="B1451" s="1108" t="s">
        <v>4071</v>
      </c>
      <c r="C1451" s="1108" t="s">
        <v>4072</v>
      </c>
      <c r="D1451" s="1108" t="s">
        <v>4089</v>
      </c>
      <c r="E1451" s="1108" t="s">
        <v>4090</v>
      </c>
      <c r="F1451" s="1109">
        <v>0.1</v>
      </c>
      <c r="G1451" s="1109">
        <v>0.0</v>
      </c>
      <c r="H1451" s="1107"/>
    </row>
    <row r="1452" ht="18.75" customHeight="1">
      <c r="A1452" s="1107"/>
      <c r="B1452" s="1108" t="s">
        <v>4071</v>
      </c>
      <c r="C1452" s="1108" t="s">
        <v>4072</v>
      </c>
      <c r="D1452" s="1108" t="s">
        <v>4091</v>
      </c>
      <c r="E1452" s="1108" t="s">
        <v>4092</v>
      </c>
      <c r="F1452" s="1109">
        <v>0.1</v>
      </c>
      <c r="G1452" s="1109">
        <v>0.0</v>
      </c>
      <c r="H1452" s="1107"/>
    </row>
    <row r="1453" ht="18.75" customHeight="1">
      <c r="A1453" s="1107"/>
      <c r="B1453" s="1108" t="s">
        <v>4071</v>
      </c>
      <c r="C1453" s="1108" t="s">
        <v>4072</v>
      </c>
      <c r="D1453" s="1108" t="s">
        <v>4093</v>
      </c>
      <c r="E1453" s="1108" t="s">
        <v>4094</v>
      </c>
      <c r="F1453" s="1109">
        <v>0.1</v>
      </c>
      <c r="G1453" s="1109">
        <v>0.0</v>
      </c>
      <c r="H1453" s="1107"/>
    </row>
    <row r="1454" ht="18.75" customHeight="1">
      <c r="A1454" s="1107"/>
      <c r="B1454" s="1108" t="s">
        <v>4071</v>
      </c>
      <c r="C1454" s="1108" t="s">
        <v>4072</v>
      </c>
      <c r="D1454" s="1108" t="s">
        <v>4095</v>
      </c>
      <c r="E1454" s="1108" t="s">
        <v>4096</v>
      </c>
      <c r="F1454" s="1109">
        <v>0.1</v>
      </c>
      <c r="G1454" s="1109">
        <v>0.0</v>
      </c>
      <c r="H1454" s="1107"/>
    </row>
    <row r="1455" ht="18.75" customHeight="1">
      <c r="A1455" s="1107"/>
      <c r="B1455" s="1108" t="s">
        <v>4071</v>
      </c>
      <c r="C1455" s="1108" t="s">
        <v>4072</v>
      </c>
      <c r="D1455" s="1108" t="s">
        <v>4097</v>
      </c>
      <c r="E1455" s="1108" t="s">
        <v>4098</v>
      </c>
      <c r="F1455" s="1109">
        <v>0.1</v>
      </c>
      <c r="G1455" s="1109">
        <v>0.0</v>
      </c>
      <c r="H1455" s="1107"/>
    </row>
    <row r="1456" ht="18.75" customHeight="1">
      <c r="A1456" s="1107"/>
      <c r="B1456" s="1108" t="s">
        <v>4071</v>
      </c>
      <c r="C1456" s="1108" t="s">
        <v>4072</v>
      </c>
      <c r="D1456" s="1108" t="s">
        <v>4099</v>
      </c>
      <c r="E1456" s="1108" t="s">
        <v>4100</v>
      </c>
      <c r="F1456" s="1109">
        <v>0.1</v>
      </c>
      <c r="G1456" s="1109">
        <v>0.0</v>
      </c>
      <c r="H1456" s="1107"/>
    </row>
    <row r="1457" ht="18.75" customHeight="1">
      <c r="A1457" s="1107"/>
      <c r="B1457" s="1108" t="s">
        <v>4071</v>
      </c>
      <c r="C1457" s="1108" t="s">
        <v>4072</v>
      </c>
      <c r="D1457" s="1108" t="s">
        <v>4101</v>
      </c>
      <c r="E1457" s="1108" t="s">
        <v>4102</v>
      </c>
      <c r="F1457" s="1109">
        <v>0.1</v>
      </c>
      <c r="G1457" s="1109">
        <v>0.0</v>
      </c>
      <c r="H1457" s="1107"/>
    </row>
    <row r="1458" ht="18.75" customHeight="1">
      <c r="A1458" s="1107"/>
      <c r="B1458" s="1108" t="s">
        <v>4071</v>
      </c>
      <c r="C1458" s="1108" t="s">
        <v>4072</v>
      </c>
      <c r="D1458" s="1108" t="s">
        <v>4103</v>
      </c>
      <c r="E1458" s="1108" t="s">
        <v>4104</v>
      </c>
      <c r="F1458" s="1109">
        <v>0.1</v>
      </c>
      <c r="G1458" s="1109">
        <v>0.0</v>
      </c>
      <c r="H1458" s="1107"/>
    </row>
    <row r="1459" ht="18.75" customHeight="1">
      <c r="A1459" s="1107"/>
      <c r="B1459" s="1108" t="s">
        <v>4071</v>
      </c>
      <c r="C1459" s="1108" t="s">
        <v>4072</v>
      </c>
      <c r="D1459" s="1108" t="s">
        <v>4105</v>
      </c>
      <c r="E1459" s="1108" t="s">
        <v>4106</v>
      </c>
      <c r="F1459" s="1109">
        <v>0.1</v>
      </c>
      <c r="G1459" s="1109">
        <v>0.0</v>
      </c>
      <c r="H1459" s="1107"/>
    </row>
    <row r="1460" ht="18.75" customHeight="1">
      <c r="A1460" s="1107"/>
      <c r="B1460" s="1108" t="s">
        <v>4071</v>
      </c>
      <c r="C1460" s="1108" t="s">
        <v>4072</v>
      </c>
      <c r="D1460" s="1108" t="s">
        <v>4107</v>
      </c>
      <c r="E1460" s="1108" t="s">
        <v>4108</v>
      </c>
      <c r="F1460" s="1109">
        <v>0.1</v>
      </c>
      <c r="G1460" s="1109">
        <v>0.0</v>
      </c>
      <c r="H1460" s="1107"/>
    </row>
    <row r="1461" ht="18.75" customHeight="1">
      <c r="A1461" s="1107"/>
      <c r="B1461" s="1108" t="s">
        <v>4071</v>
      </c>
      <c r="C1461" s="1108" t="s">
        <v>4072</v>
      </c>
      <c r="D1461" s="1108" t="s">
        <v>4109</v>
      </c>
      <c r="E1461" s="1108" t="s">
        <v>4110</v>
      </c>
      <c r="F1461" s="1109">
        <v>0.1</v>
      </c>
      <c r="G1461" s="1109">
        <v>0.0</v>
      </c>
      <c r="H1461" s="1107"/>
    </row>
    <row r="1462" ht="18.75" customHeight="1">
      <c r="A1462" s="1107"/>
      <c r="B1462" s="1108" t="s">
        <v>4071</v>
      </c>
      <c r="C1462" s="1108" t="s">
        <v>4072</v>
      </c>
      <c r="D1462" s="1108" t="s">
        <v>4111</v>
      </c>
      <c r="E1462" s="1108" t="s">
        <v>4112</v>
      </c>
      <c r="F1462" s="1109">
        <v>0.1</v>
      </c>
      <c r="G1462" s="1109">
        <v>0.0</v>
      </c>
      <c r="H1462" s="1107"/>
    </row>
    <row r="1463" ht="18.75" customHeight="1">
      <c r="A1463" s="1107"/>
      <c r="B1463" s="1108" t="s">
        <v>4071</v>
      </c>
      <c r="C1463" s="1108" t="s">
        <v>4072</v>
      </c>
      <c r="D1463" s="1108" t="s">
        <v>4113</v>
      </c>
      <c r="E1463" s="1108" t="s">
        <v>4114</v>
      </c>
      <c r="F1463" s="1109">
        <v>0.1</v>
      </c>
      <c r="G1463" s="1109">
        <v>0.0</v>
      </c>
      <c r="H1463" s="1107"/>
    </row>
    <row r="1464" ht="18.75" customHeight="1">
      <c r="A1464" s="1107"/>
      <c r="B1464" s="1108" t="s">
        <v>4071</v>
      </c>
      <c r="C1464" s="1108" t="s">
        <v>4072</v>
      </c>
      <c r="D1464" s="1108" t="s">
        <v>680</v>
      </c>
      <c r="E1464" s="1108" t="s">
        <v>4115</v>
      </c>
      <c r="F1464" s="1109">
        <v>0.1</v>
      </c>
      <c r="G1464" s="1109">
        <v>0.0</v>
      </c>
      <c r="H1464" s="1107"/>
    </row>
    <row r="1465" ht="18.75" customHeight="1">
      <c r="A1465" s="1107"/>
      <c r="B1465" s="1108" t="s">
        <v>4071</v>
      </c>
      <c r="C1465" s="1108" t="s">
        <v>4072</v>
      </c>
      <c r="D1465" s="1108" t="s">
        <v>4116</v>
      </c>
      <c r="E1465" s="1108" t="s">
        <v>4117</v>
      </c>
      <c r="F1465" s="1109">
        <v>0.1</v>
      </c>
      <c r="G1465" s="1109">
        <v>0.0</v>
      </c>
      <c r="H1465" s="1107"/>
    </row>
    <row r="1466" ht="18.75" customHeight="1">
      <c r="A1466" s="1107"/>
      <c r="B1466" s="1108" t="s">
        <v>4071</v>
      </c>
      <c r="C1466" s="1108" t="s">
        <v>4072</v>
      </c>
      <c r="D1466" s="1108" t="s">
        <v>4118</v>
      </c>
      <c r="E1466" s="1108" t="s">
        <v>4119</v>
      </c>
      <c r="F1466" s="1109">
        <v>0.1</v>
      </c>
      <c r="G1466" s="1109">
        <v>0.0</v>
      </c>
      <c r="H1466" s="1107"/>
    </row>
    <row r="1467" ht="18.75" customHeight="1">
      <c r="A1467" s="1107"/>
      <c r="B1467" s="1108" t="s">
        <v>4071</v>
      </c>
      <c r="C1467" s="1108" t="s">
        <v>4072</v>
      </c>
      <c r="D1467" s="1108" t="s">
        <v>4120</v>
      </c>
      <c r="E1467" s="1108" t="s">
        <v>4121</v>
      </c>
      <c r="F1467" s="1109">
        <v>0.1</v>
      </c>
      <c r="G1467" s="1109">
        <v>0.0</v>
      </c>
      <c r="H1467" s="1107"/>
    </row>
    <row r="1468" ht="18.75" customHeight="1">
      <c r="A1468" s="1107"/>
      <c r="B1468" s="1108" t="s">
        <v>4071</v>
      </c>
      <c r="C1468" s="1108" t="s">
        <v>4072</v>
      </c>
      <c r="D1468" s="1108" t="s">
        <v>4122</v>
      </c>
      <c r="E1468" s="1108" t="s">
        <v>4123</v>
      </c>
      <c r="F1468" s="1109">
        <v>0.1</v>
      </c>
      <c r="G1468" s="1109">
        <v>0.0</v>
      </c>
      <c r="H1468" s="1107"/>
    </row>
    <row r="1469" ht="18.75" customHeight="1">
      <c r="A1469" s="1107"/>
      <c r="B1469" s="1108" t="s">
        <v>4071</v>
      </c>
      <c r="C1469" s="1108" t="s">
        <v>4072</v>
      </c>
      <c r="D1469" s="1108" t="s">
        <v>684</v>
      </c>
      <c r="E1469" s="1108" t="s">
        <v>4124</v>
      </c>
      <c r="F1469" s="1109">
        <v>0.1</v>
      </c>
      <c r="G1469" s="1109">
        <v>0.0</v>
      </c>
      <c r="H1469" s="1107"/>
    </row>
    <row r="1470" ht="18.75" customHeight="1">
      <c r="A1470" s="1107"/>
      <c r="B1470" s="1108" t="s">
        <v>4071</v>
      </c>
      <c r="C1470" s="1108" t="s">
        <v>4072</v>
      </c>
      <c r="D1470" s="1108" t="s">
        <v>4125</v>
      </c>
      <c r="E1470" s="1108" t="s">
        <v>4126</v>
      </c>
      <c r="F1470" s="1109">
        <v>0.1</v>
      </c>
      <c r="G1470" s="1109">
        <v>0.0</v>
      </c>
      <c r="H1470" s="1107"/>
    </row>
    <row r="1471" ht="18.75" customHeight="1">
      <c r="A1471" s="1107"/>
      <c r="B1471" s="1108" t="s">
        <v>4071</v>
      </c>
      <c r="C1471" s="1108" t="s">
        <v>4072</v>
      </c>
      <c r="D1471" s="1108" t="s">
        <v>4127</v>
      </c>
      <c r="E1471" s="1108" t="s">
        <v>4128</v>
      </c>
      <c r="F1471" s="1109">
        <v>0.1</v>
      </c>
      <c r="G1471" s="1109">
        <v>0.0</v>
      </c>
      <c r="H1471" s="1107"/>
    </row>
    <row r="1472" ht="18.75" customHeight="1">
      <c r="A1472" s="1107"/>
      <c r="B1472" s="1108" t="s">
        <v>4071</v>
      </c>
      <c r="C1472" s="1108" t="s">
        <v>4072</v>
      </c>
      <c r="D1472" s="1108" t="s">
        <v>4129</v>
      </c>
      <c r="E1472" s="1108" t="s">
        <v>4130</v>
      </c>
      <c r="F1472" s="1109">
        <v>0.1</v>
      </c>
      <c r="G1472" s="1109">
        <v>0.0</v>
      </c>
      <c r="H1472" s="1107"/>
    </row>
    <row r="1473" ht="18.75" customHeight="1">
      <c r="A1473" s="1107"/>
      <c r="B1473" s="1108" t="s">
        <v>4071</v>
      </c>
      <c r="C1473" s="1108" t="s">
        <v>4131</v>
      </c>
      <c r="D1473" s="1108" t="s">
        <v>4132</v>
      </c>
      <c r="E1473" s="1108" t="s">
        <v>4133</v>
      </c>
      <c r="F1473" s="1109">
        <v>0.1</v>
      </c>
      <c r="G1473" s="1109">
        <v>0.0</v>
      </c>
      <c r="H1473" s="1107"/>
    </row>
    <row r="1474" ht="18.75" customHeight="1">
      <c r="A1474" s="1107"/>
      <c r="B1474" s="1108" t="s">
        <v>4071</v>
      </c>
      <c r="C1474" s="1108" t="s">
        <v>4131</v>
      </c>
      <c r="D1474" s="1108" t="s">
        <v>4134</v>
      </c>
      <c r="E1474" s="1108" t="s">
        <v>4135</v>
      </c>
      <c r="F1474" s="1109">
        <v>0.1</v>
      </c>
      <c r="G1474" s="1109">
        <v>0.0</v>
      </c>
      <c r="H1474" s="1107"/>
    </row>
    <row r="1475" ht="18.75" customHeight="1">
      <c r="A1475" s="1107"/>
      <c r="B1475" s="1108" t="s">
        <v>4071</v>
      </c>
      <c r="C1475" s="1108" t="s">
        <v>4131</v>
      </c>
      <c r="D1475" s="1108" t="s">
        <v>4136</v>
      </c>
      <c r="E1475" s="1108" t="s">
        <v>4137</v>
      </c>
      <c r="F1475" s="1109">
        <v>0.1</v>
      </c>
      <c r="G1475" s="1109">
        <v>0.0</v>
      </c>
      <c r="H1475" s="1107"/>
    </row>
    <row r="1476" ht="18.75" customHeight="1">
      <c r="A1476" s="1107"/>
      <c r="B1476" s="1108" t="s">
        <v>4071</v>
      </c>
      <c r="C1476" s="1108" t="s">
        <v>4131</v>
      </c>
      <c r="D1476" s="1108" t="s">
        <v>4138</v>
      </c>
      <c r="E1476" s="1108" t="s">
        <v>4139</v>
      </c>
      <c r="F1476" s="1109">
        <v>0.1</v>
      </c>
      <c r="G1476" s="1109">
        <v>0.0</v>
      </c>
      <c r="H1476" s="1107"/>
    </row>
    <row r="1477" ht="18.75" customHeight="1">
      <c r="A1477" s="1107"/>
      <c r="B1477" s="1108" t="s">
        <v>4071</v>
      </c>
      <c r="C1477" s="1108" t="s">
        <v>4131</v>
      </c>
      <c r="D1477" s="1108" t="s">
        <v>4140</v>
      </c>
      <c r="E1477" s="1108" t="s">
        <v>4141</v>
      </c>
      <c r="F1477" s="1109">
        <v>0.1</v>
      </c>
      <c r="G1477" s="1109">
        <v>0.0</v>
      </c>
      <c r="H1477" s="1107"/>
    </row>
    <row r="1478" ht="18.75" customHeight="1">
      <c r="A1478" s="1107"/>
      <c r="B1478" s="1108" t="s">
        <v>4071</v>
      </c>
      <c r="C1478" s="1108" t="s">
        <v>4131</v>
      </c>
      <c r="D1478" s="1108" t="s">
        <v>4142</v>
      </c>
      <c r="E1478" s="1108" t="s">
        <v>4143</v>
      </c>
      <c r="F1478" s="1109">
        <v>0.1</v>
      </c>
      <c r="G1478" s="1109">
        <v>0.0</v>
      </c>
      <c r="H1478" s="1107"/>
    </row>
    <row r="1479" ht="18.75" customHeight="1">
      <c r="A1479" s="1107"/>
      <c r="B1479" s="1108" t="s">
        <v>4071</v>
      </c>
      <c r="C1479" s="1108" t="s">
        <v>4131</v>
      </c>
      <c r="D1479" s="1108" t="s">
        <v>4144</v>
      </c>
      <c r="E1479" s="1108" t="s">
        <v>4145</v>
      </c>
      <c r="F1479" s="1109">
        <v>0.1</v>
      </c>
      <c r="G1479" s="1109">
        <v>0.0</v>
      </c>
      <c r="H1479" s="1107"/>
    </row>
    <row r="1480" ht="18.75" customHeight="1">
      <c r="A1480" s="1107"/>
      <c r="B1480" s="1108" t="s">
        <v>4071</v>
      </c>
      <c r="C1480" s="1108" t="s">
        <v>4131</v>
      </c>
      <c r="D1480" s="1108" t="s">
        <v>4146</v>
      </c>
      <c r="E1480" s="1108" t="s">
        <v>4147</v>
      </c>
      <c r="F1480" s="1109">
        <v>0.1</v>
      </c>
      <c r="G1480" s="1109">
        <v>0.0</v>
      </c>
      <c r="H1480" s="1107"/>
    </row>
    <row r="1481" ht="18.75" customHeight="1">
      <c r="A1481" s="1107"/>
      <c r="B1481" s="1108" t="s">
        <v>4071</v>
      </c>
      <c r="C1481" s="1108" t="s">
        <v>4131</v>
      </c>
      <c r="D1481" s="1108" t="s">
        <v>4148</v>
      </c>
      <c r="E1481" s="1108" t="s">
        <v>4149</v>
      </c>
      <c r="F1481" s="1109">
        <v>0.1</v>
      </c>
      <c r="G1481" s="1109">
        <v>0.0</v>
      </c>
      <c r="H1481" s="1107"/>
    </row>
    <row r="1482" ht="18.75" customHeight="1">
      <c r="A1482" s="1107"/>
      <c r="B1482" s="1108" t="s">
        <v>4071</v>
      </c>
      <c r="C1482" s="1108" t="s">
        <v>4131</v>
      </c>
      <c r="D1482" s="1108" t="s">
        <v>4150</v>
      </c>
      <c r="E1482" s="1108" t="s">
        <v>4151</v>
      </c>
      <c r="F1482" s="1109">
        <v>0.1</v>
      </c>
      <c r="G1482" s="1109">
        <v>0.0</v>
      </c>
      <c r="H1482" s="1107"/>
    </row>
    <row r="1483" ht="18.75" customHeight="1">
      <c r="A1483" s="1107"/>
      <c r="B1483" s="1108" t="s">
        <v>4071</v>
      </c>
      <c r="C1483" s="1108" t="s">
        <v>4131</v>
      </c>
      <c r="D1483" s="1108" t="s">
        <v>4152</v>
      </c>
      <c r="E1483" s="1108" t="s">
        <v>4153</v>
      </c>
      <c r="F1483" s="1109">
        <v>0.1</v>
      </c>
      <c r="G1483" s="1109">
        <v>0.0</v>
      </c>
      <c r="H1483" s="1107"/>
    </row>
    <row r="1484" ht="18.75" customHeight="1">
      <c r="A1484" s="1107"/>
      <c r="B1484" s="1108" t="s">
        <v>4071</v>
      </c>
      <c r="C1484" s="1108" t="s">
        <v>4131</v>
      </c>
      <c r="D1484" s="1108" t="s">
        <v>4154</v>
      </c>
      <c r="E1484" s="1108" t="s">
        <v>4155</v>
      </c>
      <c r="F1484" s="1109">
        <v>0.1</v>
      </c>
      <c r="G1484" s="1109">
        <v>0.0</v>
      </c>
      <c r="H1484" s="1107"/>
    </row>
    <row r="1485" ht="18.75" customHeight="1">
      <c r="A1485" s="1107"/>
      <c r="B1485" s="1108" t="s">
        <v>4071</v>
      </c>
      <c r="C1485" s="1108" t="s">
        <v>4131</v>
      </c>
      <c r="D1485" s="1108" t="s">
        <v>4156</v>
      </c>
      <c r="E1485" s="1108" t="s">
        <v>4157</v>
      </c>
      <c r="F1485" s="1109">
        <v>0.1</v>
      </c>
      <c r="G1485" s="1109">
        <v>0.0</v>
      </c>
      <c r="H1485" s="1107"/>
    </row>
    <row r="1486" ht="18.75" customHeight="1">
      <c r="A1486" s="1107"/>
      <c r="B1486" s="1108" t="s">
        <v>4071</v>
      </c>
      <c r="C1486" s="1108" t="s">
        <v>4131</v>
      </c>
      <c r="D1486" s="1108" t="s">
        <v>4158</v>
      </c>
      <c r="E1486" s="1108" t="s">
        <v>4159</v>
      </c>
      <c r="F1486" s="1109">
        <v>0.1</v>
      </c>
      <c r="G1486" s="1109">
        <v>0.0</v>
      </c>
      <c r="H1486" s="1107"/>
    </row>
    <row r="1487" ht="18.75" customHeight="1">
      <c r="A1487" s="1107"/>
      <c r="B1487" s="1108" t="s">
        <v>4071</v>
      </c>
      <c r="C1487" s="1108" t="s">
        <v>4131</v>
      </c>
      <c r="D1487" s="1108" t="s">
        <v>4160</v>
      </c>
      <c r="E1487" s="1108" t="s">
        <v>4161</v>
      </c>
      <c r="F1487" s="1109">
        <v>0.1</v>
      </c>
      <c r="G1487" s="1109">
        <v>0.0</v>
      </c>
      <c r="H1487" s="1107"/>
    </row>
    <row r="1488" ht="18.75" customHeight="1">
      <c r="A1488" s="1107"/>
      <c r="B1488" s="1108" t="s">
        <v>4071</v>
      </c>
      <c r="C1488" s="1108" t="s">
        <v>4131</v>
      </c>
      <c r="D1488" s="1108" t="s">
        <v>4162</v>
      </c>
      <c r="E1488" s="1108" t="s">
        <v>4163</v>
      </c>
      <c r="F1488" s="1109">
        <v>0.1</v>
      </c>
      <c r="G1488" s="1109">
        <v>0.0</v>
      </c>
      <c r="H1488" s="1107"/>
    </row>
    <row r="1489" ht="18.75" customHeight="1">
      <c r="A1489" s="1107"/>
      <c r="B1489" s="1108" t="s">
        <v>4071</v>
      </c>
      <c r="C1489" s="1108" t="s">
        <v>4131</v>
      </c>
      <c r="D1489" s="1108" t="s">
        <v>4164</v>
      </c>
      <c r="E1489" s="1108" t="s">
        <v>4165</v>
      </c>
      <c r="F1489" s="1109">
        <v>0.1</v>
      </c>
      <c r="G1489" s="1109">
        <v>0.0</v>
      </c>
      <c r="H1489" s="1107"/>
    </row>
    <row r="1490" ht="18.75" customHeight="1">
      <c r="A1490" s="1107"/>
      <c r="B1490" s="1108" t="s">
        <v>4071</v>
      </c>
      <c r="C1490" s="1108" t="s">
        <v>4131</v>
      </c>
      <c r="D1490" s="1108" t="s">
        <v>4166</v>
      </c>
      <c r="E1490" s="1108" t="s">
        <v>4167</v>
      </c>
      <c r="F1490" s="1109">
        <v>0.1</v>
      </c>
      <c r="G1490" s="1109">
        <v>0.0</v>
      </c>
      <c r="H1490" s="1107"/>
    </row>
    <row r="1491" ht="18.75" customHeight="1">
      <c r="A1491" s="1107"/>
      <c r="B1491" s="1108" t="s">
        <v>4071</v>
      </c>
      <c r="C1491" s="1108" t="s">
        <v>4131</v>
      </c>
      <c r="D1491" s="1108" t="s">
        <v>4168</v>
      </c>
      <c r="E1491" s="1108" t="s">
        <v>4169</v>
      </c>
      <c r="F1491" s="1109">
        <v>0.1</v>
      </c>
      <c r="G1491" s="1109">
        <v>0.0</v>
      </c>
      <c r="H1491" s="1107"/>
    </row>
    <row r="1492" ht="18.75" customHeight="1">
      <c r="A1492" s="1107"/>
      <c r="B1492" s="1108" t="s">
        <v>4071</v>
      </c>
      <c r="C1492" s="1108" t="s">
        <v>4131</v>
      </c>
      <c r="D1492" s="1108" t="s">
        <v>4170</v>
      </c>
      <c r="E1492" s="1108" t="s">
        <v>4171</v>
      </c>
      <c r="F1492" s="1109">
        <v>0.1</v>
      </c>
      <c r="G1492" s="1109">
        <v>0.0</v>
      </c>
      <c r="H1492" s="1107"/>
    </row>
    <row r="1493" ht="18.75" customHeight="1">
      <c r="A1493" s="1107"/>
      <c r="B1493" s="1108" t="s">
        <v>4071</v>
      </c>
      <c r="C1493" s="1108" t="s">
        <v>4131</v>
      </c>
      <c r="D1493" s="1108" t="s">
        <v>4172</v>
      </c>
      <c r="E1493" s="1108" t="s">
        <v>4173</v>
      </c>
      <c r="F1493" s="1109">
        <v>0.1</v>
      </c>
      <c r="G1493" s="1109">
        <v>0.0</v>
      </c>
      <c r="H1493" s="1107"/>
    </row>
    <row r="1494" ht="18.75" customHeight="1">
      <c r="A1494" s="1107"/>
      <c r="B1494" s="1108" t="s">
        <v>4071</v>
      </c>
      <c r="C1494" s="1108" t="s">
        <v>4131</v>
      </c>
      <c r="D1494" s="1108" t="s">
        <v>4174</v>
      </c>
      <c r="E1494" s="1108" t="s">
        <v>4175</v>
      </c>
      <c r="F1494" s="1109">
        <v>0.1</v>
      </c>
      <c r="G1494" s="1109">
        <v>0.0</v>
      </c>
      <c r="H1494" s="1107"/>
    </row>
    <row r="1495" ht="18.75" customHeight="1">
      <c r="A1495" s="1107"/>
      <c r="B1495" s="1108" t="s">
        <v>4071</v>
      </c>
      <c r="C1495" s="1108" t="s">
        <v>4131</v>
      </c>
      <c r="D1495" s="1108" t="s">
        <v>4176</v>
      </c>
      <c r="E1495" s="1108" t="s">
        <v>4177</v>
      </c>
      <c r="F1495" s="1109">
        <v>0.1</v>
      </c>
      <c r="G1495" s="1109">
        <v>0.0</v>
      </c>
      <c r="H1495" s="1107"/>
    </row>
    <row r="1496" ht="18.75" customHeight="1">
      <c r="A1496" s="1107"/>
      <c r="B1496" s="1108" t="s">
        <v>4071</v>
      </c>
      <c r="C1496" s="1108" t="s">
        <v>4131</v>
      </c>
      <c r="D1496" s="1108" t="s">
        <v>4178</v>
      </c>
      <c r="E1496" s="1108" t="s">
        <v>4179</v>
      </c>
      <c r="F1496" s="1109">
        <v>0.1</v>
      </c>
      <c r="G1496" s="1109">
        <v>0.0</v>
      </c>
      <c r="H1496" s="1107"/>
    </row>
    <row r="1497" ht="18.75" customHeight="1">
      <c r="A1497" s="1107"/>
      <c r="B1497" s="1108" t="s">
        <v>4071</v>
      </c>
      <c r="C1497" s="1108" t="s">
        <v>4131</v>
      </c>
      <c r="D1497" s="1108" t="s">
        <v>4180</v>
      </c>
      <c r="E1497" s="1108" t="s">
        <v>4181</v>
      </c>
      <c r="F1497" s="1109">
        <v>0.1</v>
      </c>
      <c r="G1497" s="1109">
        <v>0.0</v>
      </c>
      <c r="H1497" s="1107"/>
    </row>
    <row r="1498" ht="18.75" customHeight="1">
      <c r="A1498" s="1107"/>
      <c r="B1498" s="1108" t="s">
        <v>4071</v>
      </c>
      <c r="C1498" s="1108" t="s">
        <v>4131</v>
      </c>
      <c r="D1498" s="1108" t="s">
        <v>4182</v>
      </c>
      <c r="E1498" s="1108" t="s">
        <v>4183</v>
      </c>
      <c r="F1498" s="1109">
        <v>0.1</v>
      </c>
      <c r="G1498" s="1109">
        <v>0.0</v>
      </c>
      <c r="H1498" s="1107"/>
    </row>
    <row r="1499" ht="18.75" customHeight="1">
      <c r="A1499" s="1107"/>
      <c r="B1499" s="1108" t="s">
        <v>4071</v>
      </c>
      <c r="C1499" s="1108" t="s">
        <v>4131</v>
      </c>
      <c r="D1499" s="1108" t="s">
        <v>4184</v>
      </c>
      <c r="E1499" s="1108" t="s">
        <v>4185</v>
      </c>
      <c r="F1499" s="1109">
        <v>0.1</v>
      </c>
      <c r="G1499" s="1109">
        <v>0.0</v>
      </c>
      <c r="H1499" s="1107"/>
    </row>
    <row r="1500" ht="18.75" customHeight="1">
      <c r="A1500" s="1107"/>
      <c r="B1500" s="1108" t="s">
        <v>4071</v>
      </c>
      <c r="C1500" s="1108" t="s">
        <v>4131</v>
      </c>
      <c r="D1500" s="1108" t="s">
        <v>4186</v>
      </c>
      <c r="E1500" s="1108" t="s">
        <v>4187</v>
      </c>
      <c r="F1500" s="1109">
        <v>0.1</v>
      </c>
      <c r="G1500" s="1109">
        <v>0.0</v>
      </c>
      <c r="H1500" s="1107"/>
    </row>
    <row r="1501" ht="18.75" customHeight="1">
      <c r="A1501" s="1107"/>
      <c r="B1501" s="1108" t="s">
        <v>4071</v>
      </c>
      <c r="C1501" s="1108" t="s">
        <v>4131</v>
      </c>
      <c r="D1501" s="1108" t="s">
        <v>4188</v>
      </c>
      <c r="E1501" s="1108" t="s">
        <v>4189</v>
      </c>
      <c r="F1501" s="1109">
        <v>0.1</v>
      </c>
      <c r="G1501" s="1109">
        <v>0.0</v>
      </c>
      <c r="H1501" s="1107"/>
    </row>
    <row r="1502" ht="18.75" customHeight="1">
      <c r="A1502" s="1107"/>
      <c r="B1502" s="1108" t="s">
        <v>4071</v>
      </c>
      <c r="C1502" s="1108" t="s">
        <v>4131</v>
      </c>
      <c r="D1502" s="1108" t="s">
        <v>4190</v>
      </c>
      <c r="E1502" s="1108" t="s">
        <v>4191</v>
      </c>
      <c r="F1502" s="1109">
        <v>0.1</v>
      </c>
      <c r="G1502" s="1109">
        <v>0.0</v>
      </c>
      <c r="H1502" s="1107"/>
    </row>
    <row r="1503" ht="18.75" customHeight="1">
      <c r="A1503" s="1107"/>
      <c r="B1503" s="1108" t="s">
        <v>4071</v>
      </c>
      <c r="C1503" s="1108" t="s">
        <v>4131</v>
      </c>
      <c r="D1503" s="1108" t="s">
        <v>4192</v>
      </c>
      <c r="E1503" s="1108" t="s">
        <v>4193</v>
      </c>
      <c r="F1503" s="1109">
        <v>0.1</v>
      </c>
      <c r="G1503" s="1109">
        <v>0.0</v>
      </c>
      <c r="H1503" s="1107"/>
    </row>
    <row r="1504" ht="18.75" customHeight="1">
      <c r="A1504" s="1107"/>
      <c r="B1504" s="1108" t="s">
        <v>4071</v>
      </c>
      <c r="C1504" s="1108" t="s">
        <v>4131</v>
      </c>
      <c r="D1504" s="1108" t="s">
        <v>4194</v>
      </c>
      <c r="E1504" s="1108" t="s">
        <v>4195</v>
      </c>
      <c r="F1504" s="1109">
        <v>0.1</v>
      </c>
      <c r="G1504" s="1109">
        <v>0.0</v>
      </c>
      <c r="H1504" s="1107"/>
    </row>
    <row r="1505" ht="18.75" customHeight="1">
      <c r="A1505" s="1107"/>
      <c r="B1505" s="1108" t="s">
        <v>4071</v>
      </c>
      <c r="C1505" s="1108" t="s">
        <v>4131</v>
      </c>
      <c r="D1505" s="1108" t="s">
        <v>4196</v>
      </c>
      <c r="E1505" s="1108" t="s">
        <v>4197</v>
      </c>
      <c r="F1505" s="1109">
        <v>0.1</v>
      </c>
      <c r="G1505" s="1109">
        <v>0.0</v>
      </c>
      <c r="H1505" s="1107"/>
    </row>
    <row r="1506" ht="18.75" customHeight="1">
      <c r="A1506" s="1107"/>
      <c r="B1506" s="1108" t="s">
        <v>4071</v>
      </c>
      <c r="C1506" s="1108" t="s">
        <v>4131</v>
      </c>
      <c r="D1506" s="1108" t="s">
        <v>4198</v>
      </c>
      <c r="E1506" s="1108" t="s">
        <v>4199</v>
      </c>
      <c r="F1506" s="1109">
        <v>0.1</v>
      </c>
      <c r="G1506" s="1109">
        <v>0.0</v>
      </c>
      <c r="H1506" s="1107"/>
    </row>
    <row r="1507" ht="18.75" customHeight="1">
      <c r="A1507" s="1107"/>
      <c r="B1507" s="1108" t="s">
        <v>4071</v>
      </c>
      <c r="C1507" s="1108" t="s">
        <v>4131</v>
      </c>
      <c r="D1507" s="1108" t="s">
        <v>4200</v>
      </c>
      <c r="E1507" s="1108" t="s">
        <v>4201</v>
      </c>
      <c r="F1507" s="1109">
        <v>0.1</v>
      </c>
      <c r="G1507" s="1109">
        <v>0.0</v>
      </c>
      <c r="H1507" s="1107"/>
    </row>
    <row r="1508" ht="18.75" customHeight="1">
      <c r="A1508" s="1107"/>
      <c r="B1508" s="1108" t="s">
        <v>4071</v>
      </c>
      <c r="C1508" s="1108" t="s">
        <v>4131</v>
      </c>
      <c r="D1508" s="1108" t="s">
        <v>4202</v>
      </c>
      <c r="E1508" s="1108" t="s">
        <v>4203</v>
      </c>
      <c r="F1508" s="1109">
        <v>0.1</v>
      </c>
      <c r="G1508" s="1109">
        <v>0.0</v>
      </c>
      <c r="H1508" s="1107"/>
    </row>
    <row r="1509" ht="18.75" customHeight="1">
      <c r="A1509" s="1107"/>
      <c r="B1509" s="1108" t="s">
        <v>4071</v>
      </c>
      <c r="C1509" s="1108" t="s">
        <v>4131</v>
      </c>
      <c r="D1509" s="1108" t="s">
        <v>4204</v>
      </c>
      <c r="E1509" s="1108" t="s">
        <v>4205</v>
      </c>
      <c r="F1509" s="1109">
        <v>0.1</v>
      </c>
      <c r="G1509" s="1109">
        <v>0.0</v>
      </c>
      <c r="H1509" s="1107"/>
    </row>
    <row r="1510" ht="18.75" customHeight="1">
      <c r="A1510" s="1107"/>
      <c r="B1510" s="1108" t="s">
        <v>4071</v>
      </c>
      <c r="C1510" s="1108" t="s">
        <v>4131</v>
      </c>
      <c r="D1510" s="1108" t="s">
        <v>4206</v>
      </c>
      <c r="E1510" s="1108" t="s">
        <v>4207</v>
      </c>
      <c r="F1510" s="1109">
        <v>0.1</v>
      </c>
      <c r="G1510" s="1109">
        <v>0.0</v>
      </c>
      <c r="H1510" s="1107"/>
    </row>
    <row r="1511" ht="18.75" customHeight="1">
      <c r="A1511" s="1107"/>
      <c r="B1511" s="1108" t="s">
        <v>4071</v>
      </c>
      <c r="C1511" s="1108" t="s">
        <v>4131</v>
      </c>
      <c r="D1511" s="1108" t="s">
        <v>4208</v>
      </c>
      <c r="E1511" s="1108" t="s">
        <v>4209</v>
      </c>
      <c r="F1511" s="1109">
        <v>0.1</v>
      </c>
      <c r="G1511" s="1109">
        <v>0.0</v>
      </c>
      <c r="H1511" s="1107"/>
    </row>
    <row r="1512" ht="18.75" customHeight="1">
      <c r="A1512" s="1107"/>
      <c r="B1512" s="1108" t="s">
        <v>4071</v>
      </c>
      <c r="C1512" s="1108" t="s">
        <v>4131</v>
      </c>
      <c r="D1512" s="1108" t="s">
        <v>4210</v>
      </c>
      <c r="E1512" s="1108" t="s">
        <v>4211</v>
      </c>
      <c r="F1512" s="1109">
        <v>0.1</v>
      </c>
      <c r="G1512" s="1109">
        <v>0.0</v>
      </c>
      <c r="H1512" s="1107"/>
    </row>
    <row r="1513" ht="18.75" customHeight="1">
      <c r="A1513" s="1107"/>
      <c r="B1513" s="1108" t="s">
        <v>4071</v>
      </c>
      <c r="C1513" s="1108" t="s">
        <v>4131</v>
      </c>
      <c r="D1513" s="1108" t="s">
        <v>4212</v>
      </c>
      <c r="E1513" s="1108" t="s">
        <v>4213</v>
      </c>
      <c r="F1513" s="1109">
        <v>0.1</v>
      </c>
      <c r="G1513" s="1109">
        <v>0.0</v>
      </c>
      <c r="H1513" s="1107"/>
    </row>
    <row r="1514" ht="18.75" customHeight="1">
      <c r="A1514" s="1107"/>
      <c r="B1514" s="1108" t="s">
        <v>4071</v>
      </c>
      <c r="C1514" s="1108" t="s">
        <v>4131</v>
      </c>
      <c r="D1514" s="1108" t="s">
        <v>4214</v>
      </c>
      <c r="E1514" s="1108" t="s">
        <v>4215</v>
      </c>
      <c r="F1514" s="1109">
        <v>0.1</v>
      </c>
      <c r="G1514" s="1109">
        <v>0.0</v>
      </c>
      <c r="H1514" s="1107"/>
    </row>
    <row r="1515" ht="18.75" customHeight="1">
      <c r="A1515" s="1107"/>
      <c r="B1515" s="1108" t="s">
        <v>4071</v>
      </c>
      <c r="C1515" s="1108" t="s">
        <v>4131</v>
      </c>
      <c r="D1515" s="1108" t="s">
        <v>4216</v>
      </c>
      <c r="E1515" s="1108" t="s">
        <v>4217</v>
      </c>
      <c r="F1515" s="1109">
        <v>0.1</v>
      </c>
      <c r="G1515" s="1109">
        <v>0.0</v>
      </c>
      <c r="H1515" s="1107"/>
    </row>
    <row r="1516" ht="18.75" customHeight="1">
      <c r="A1516" s="1107"/>
      <c r="B1516" s="1108" t="s">
        <v>4071</v>
      </c>
      <c r="C1516" s="1108" t="s">
        <v>4131</v>
      </c>
      <c r="D1516" s="1108" t="s">
        <v>4218</v>
      </c>
      <c r="E1516" s="1108" t="s">
        <v>4219</v>
      </c>
      <c r="F1516" s="1109">
        <v>0.1</v>
      </c>
      <c r="G1516" s="1109">
        <v>0.0</v>
      </c>
      <c r="H1516" s="1107"/>
    </row>
    <row r="1517" ht="18.75" customHeight="1">
      <c r="A1517" s="1107"/>
      <c r="B1517" s="1108" t="s">
        <v>4071</v>
      </c>
      <c r="C1517" s="1108" t="s">
        <v>4131</v>
      </c>
      <c r="D1517" s="1108" t="s">
        <v>4220</v>
      </c>
      <c r="E1517" s="1108" t="s">
        <v>4221</v>
      </c>
      <c r="F1517" s="1109">
        <v>0.1</v>
      </c>
      <c r="G1517" s="1109">
        <v>0.0</v>
      </c>
      <c r="H1517" s="1107"/>
    </row>
    <row r="1518" ht="18.75" customHeight="1">
      <c r="A1518" s="1107"/>
      <c r="B1518" s="1108" t="s">
        <v>4071</v>
      </c>
      <c r="C1518" s="1108" t="s">
        <v>4131</v>
      </c>
      <c r="D1518" s="1108" t="s">
        <v>4222</v>
      </c>
      <c r="E1518" s="1108" t="s">
        <v>4223</v>
      </c>
      <c r="F1518" s="1109">
        <v>0.1</v>
      </c>
      <c r="G1518" s="1109">
        <v>0.0</v>
      </c>
      <c r="H1518" s="1107"/>
    </row>
    <row r="1519" ht="18.75" customHeight="1">
      <c r="A1519" s="1107"/>
      <c r="B1519" s="1108" t="s">
        <v>4071</v>
      </c>
      <c r="C1519" s="1108" t="s">
        <v>4131</v>
      </c>
      <c r="D1519" s="1108" t="s">
        <v>4224</v>
      </c>
      <c r="E1519" s="1108" t="s">
        <v>4225</v>
      </c>
      <c r="F1519" s="1109">
        <v>0.1</v>
      </c>
      <c r="G1519" s="1109">
        <v>0.0</v>
      </c>
      <c r="H1519" s="1107"/>
    </row>
    <row r="1520" ht="18.75" customHeight="1">
      <c r="A1520" s="1107"/>
      <c r="B1520" s="1108" t="s">
        <v>4071</v>
      </c>
      <c r="C1520" s="1108" t="s">
        <v>4131</v>
      </c>
      <c r="D1520" s="1108" t="s">
        <v>4226</v>
      </c>
      <c r="E1520" s="1108" t="s">
        <v>4227</v>
      </c>
      <c r="F1520" s="1109">
        <v>0.1</v>
      </c>
      <c r="G1520" s="1109">
        <v>0.0</v>
      </c>
      <c r="H1520" s="1107"/>
    </row>
    <row r="1521" ht="18.75" customHeight="1">
      <c r="A1521" s="1107"/>
      <c r="B1521" s="1108" t="s">
        <v>4071</v>
      </c>
      <c r="C1521" s="1108" t="s">
        <v>4131</v>
      </c>
      <c r="D1521" s="1108" t="s">
        <v>4228</v>
      </c>
      <c r="E1521" s="1108" t="s">
        <v>4229</v>
      </c>
      <c r="F1521" s="1109">
        <v>0.1</v>
      </c>
      <c r="G1521" s="1109">
        <v>0.0</v>
      </c>
      <c r="H1521" s="1107"/>
    </row>
    <row r="1522" ht="18.75" customHeight="1">
      <c r="A1522" s="1107"/>
      <c r="B1522" s="1108" t="s">
        <v>4071</v>
      </c>
      <c r="C1522" s="1108" t="s">
        <v>4131</v>
      </c>
      <c r="D1522" s="1108" t="s">
        <v>4230</v>
      </c>
      <c r="E1522" s="1108" t="s">
        <v>4231</v>
      </c>
      <c r="F1522" s="1109">
        <v>0.1</v>
      </c>
      <c r="G1522" s="1109">
        <v>0.0</v>
      </c>
      <c r="H1522" s="1107"/>
    </row>
    <row r="1523" ht="18.75" customHeight="1">
      <c r="A1523" s="1107"/>
      <c r="B1523" s="1108" t="s">
        <v>4071</v>
      </c>
      <c r="C1523" s="1108" t="s">
        <v>4131</v>
      </c>
      <c r="D1523" s="1108" t="s">
        <v>4232</v>
      </c>
      <c r="E1523" s="1108" t="s">
        <v>4233</v>
      </c>
      <c r="F1523" s="1109">
        <v>0.1</v>
      </c>
      <c r="G1523" s="1109">
        <v>0.0</v>
      </c>
      <c r="H1523" s="1107"/>
    </row>
    <row r="1524" ht="18.75" customHeight="1">
      <c r="A1524" s="1107"/>
      <c r="B1524" s="1108" t="s">
        <v>4071</v>
      </c>
      <c r="C1524" s="1108" t="s">
        <v>4131</v>
      </c>
      <c r="D1524" s="1108" t="s">
        <v>4234</v>
      </c>
      <c r="E1524" s="1108" t="s">
        <v>4235</v>
      </c>
      <c r="F1524" s="1109">
        <v>0.1</v>
      </c>
      <c r="G1524" s="1109">
        <v>0.0</v>
      </c>
      <c r="H1524" s="1107"/>
    </row>
    <row r="1525" ht="18.75" customHeight="1">
      <c r="A1525" s="1107"/>
      <c r="B1525" s="1108" t="s">
        <v>4071</v>
      </c>
      <c r="C1525" s="1108" t="s">
        <v>4131</v>
      </c>
      <c r="D1525" s="1108" t="s">
        <v>4236</v>
      </c>
      <c r="E1525" s="1108" t="s">
        <v>4237</v>
      </c>
      <c r="F1525" s="1109">
        <v>0.1</v>
      </c>
      <c r="G1525" s="1109">
        <v>0.0</v>
      </c>
      <c r="H1525" s="1107"/>
    </row>
    <row r="1526" ht="18.75" customHeight="1">
      <c r="A1526" s="1107"/>
      <c r="B1526" s="1108" t="s">
        <v>4071</v>
      </c>
      <c r="C1526" s="1108" t="s">
        <v>4131</v>
      </c>
      <c r="D1526" s="1108" t="s">
        <v>4238</v>
      </c>
      <c r="E1526" s="1108" t="s">
        <v>4239</v>
      </c>
      <c r="F1526" s="1109">
        <v>0.1</v>
      </c>
      <c r="G1526" s="1109">
        <v>0.0</v>
      </c>
      <c r="H1526" s="1107"/>
    </row>
    <row r="1527" ht="18.75" customHeight="1">
      <c r="A1527" s="1107"/>
      <c r="B1527" s="1108" t="s">
        <v>4071</v>
      </c>
      <c r="C1527" s="1108" t="s">
        <v>4131</v>
      </c>
      <c r="D1527" s="1108" t="s">
        <v>4240</v>
      </c>
      <c r="E1527" s="1108" t="s">
        <v>4241</v>
      </c>
      <c r="F1527" s="1109">
        <v>0.1</v>
      </c>
      <c r="G1527" s="1109">
        <v>0.0</v>
      </c>
      <c r="H1527" s="1107"/>
    </row>
    <row r="1528" ht="18.75" customHeight="1">
      <c r="A1528" s="1107"/>
      <c r="B1528" s="1108" t="s">
        <v>4071</v>
      </c>
      <c r="C1528" s="1108" t="s">
        <v>4131</v>
      </c>
      <c r="D1528" s="1108" t="s">
        <v>4242</v>
      </c>
      <c r="E1528" s="1108" t="s">
        <v>4243</v>
      </c>
      <c r="F1528" s="1109">
        <v>0.1</v>
      </c>
      <c r="G1528" s="1109">
        <v>0.0</v>
      </c>
      <c r="H1528" s="1107"/>
    </row>
    <row r="1529" ht="18.75" customHeight="1">
      <c r="A1529" s="1107"/>
      <c r="B1529" s="1108" t="s">
        <v>4071</v>
      </c>
      <c r="C1529" s="1108" t="s">
        <v>4131</v>
      </c>
      <c r="D1529" s="1108" t="s">
        <v>4244</v>
      </c>
      <c r="E1529" s="1108" t="s">
        <v>4245</v>
      </c>
      <c r="F1529" s="1109">
        <v>0.1</v>
      </c>
      <c r="G1529" s="1109">
        <v>0.0</v>
      </c>
      <c r="H1529" s="1107"/>
    </row>
    <row r="1530" ht="18.75" customHeight="1">
      <c r="A1530" s="1107"/>
      <c r="B1530" s="1108" t="s">
        <v>4071</v>
      </c>
      <c r="C1530" s="1108" t="s">
        <v>4131</v>
      </c>
      <c r="D1530" s="1108" t="s">
        <v>4246</v>
      </c>
      <c r="E1530" s="1108" t="s">
        <v>4247</v>
      </c>
      <c r="F1530" s="1109">
        <v>0.1</v>
      </c>
      <c r="G1530" s="1109">
        <v>0.0</v>
      </c>
      <c r="H1530" s="1107"/>
    </row>
    <row r="1531" ht="18.75" customHeight="1">
      <c r="A1531" s="1107"/>
      <c r="B1531" s="1108" t="s">
        <v>4071</v>
      </c>
      <c r="C1531" s="1108" t="s">
        <v>4131</v>
      </c>
      <c r="D1531" s="1108" t="s">
        <v>4248</v>
      </c>
      <c r="E1531" s="1108" t="s">
        <v>4249</v>
      </c>
      <c r="F1531" s="1109">
        <v>0.1</v>
      </c>
      <c r="G1531" s="1109">
        <v>0.0</v>
      </c>
      <c r="H1531" s="1107"/>
    </row>
    <row r="1532" ht="18.75" customHeight="1">
      <c r="A1532" s="1107"/>
      <c r="B1532" s="1108" t="s">
        <v>4071</v>
      </c>
      <c r="C1532" s="1108" t="s">
        <v>4131</v>
      </c>
      <c r="D1532" s="1108" t="s">
        <v>4250</v>
      </c>
      <c r="E1532" s="1108" t="s">
        <v>4251</v>
      </c>
      <c r="F1532" s="1109">
        <v>0.1</v>
      </c>
      <c r="G1532" s="1109">
        <v>0.0</v>
      </c>
      <c r="H1532" s="1107"/>
    </row>
    <row r="1533" ht="18.75" customHeight="1">
      <c r="A1533" s="1107"/>
      <c r="B1533" s="1108" t="s">
        <v>4071</v>
      </c>
      <c r="C1533" s="1108" t="s">
        <v>4131</v>
      </c>
      <c r="D1533" s="1108" t="s">
        <v>4252</v>
      </c>
      <c r="E1533" s="1108" t="s">
        <v>4253</v>
      </c>
      <c r="F1533" s="1109">
        <v>0.1</v>
      </c>
      <c r="G1533" s="1109">
        <v>0.0</v>
      </c>
      <c r="H1533" s="1107"/>
    </row>
    <row r="1534" ht="18.75" customHeight="1">
      <c r="A1534" s="1107"/>
      <c r="B1534" s="1108" t="s">
        <v>4071</v>
      </c>
      <c r="C1534" s="1108" t="s">
        <v>4131</v>
      </c>
      <c r="D1534" s="1108" t="s">
        <v>4254</v>
      </c>
      <c r="E1534" s="1108" t="s">
        <v>4255</v>
      </c>
      <c r="F1534" s="1109">
        <v>0.1</v>
      </c>
      <c r="G1534" s="1109">
        <v>0.0</v>
      </c>
      <c r="H1534" s="1107"/>
    </row>
    <row r="1535" ht="18.75" customHeight="1">
      <c r="A1535" s="1107"/>
      <c r="B1535" s="1108" t="s">
        <v>4071</v>
      </c>
      <c r="C1535" s="1108" t="s">
        <v>4131</v>
      </c>
      <c r="D1535" s="1108" t="s">
        <v>4256</v>
      </c>
      <c r="E1535" s="1108" t="s">
        <v>4257</v>
      </c>
      <c r="F1535" s="1109">
        <v>0.1</v>
      </c>
      <c r="G1535" s="1109">
        <v>0.0</v>
      </c>
      <c r="H1535" s="1107"/>
    </row>
    <row r="1536" ht="18.75" customHeight="1">
      <c r="A1536" s="1107"/>
      <c r="B1536" s="1108" t="s">
        <v>4071</v>
      </c>
      <c r="C1536" s="1108" t="s">
        <v>4131</v>
      </c>
      <c r="D1536" s="1108" t="s">
        <v>4258</v>
      </c>
      <c r="E1536" s="1108" t="s">
        <v>4259</v>
      </c>
      <c r="F1536" s="1109">
        <v>0.1</v>
      </c>
      <c r="G1536" s="1109">
        <v>0.0</v>
      </c>
      <c r="H1536" s="1107"/>
    </row>
    <row r="1537" ht="18.75" customHeight="1">
      <c r="A1537" s="1107"/>
      <c r="B1537" s="1108" t="s">
        <v>4071</v>
      </c>
      <c r="C1537" s="1108" t="s">
        <v>4131</v>
      </c>
      <c r="D1537" s="1108" t="s">
        <v>4260</v>
      </c>
      <c r="E1537" s="1108" t="s">
        <v>4261</v>
      </c>
      <c r="F1537" s="1109">
        <v>0.1</v>
      </c>
      <c r="G1537" s="1109">
        <v>0.0</v>
      </c>
      <c r="H1537" s="1107"/>
    </row>
    <row r="1538" ht="18.75" customHeight="1">
      <c r="A1538" s="1107"/>
      <c r="B1538" s="1108" t="s">
        <v>4071</v>
      </c>
      <c r="C1538" s="1108" t="s">
        <v>4131</v>
      </c>
      <c r="D1538" s="1108" t="s">
        <v>4262</v>
      </c>
      <c r="E1538" s="1108" t="s">
        <v>4263</v>
      </c>
      <c r="F1538" s="1109">
        <v>0.1</v>
      </c>
      <c r="G1538" s="1109">
        <v>0.0</v>
      </c>
      <c r="H1538" s="1107"/>
    </row>
    <row r="1539" ht="18.75" customHeight="1">
      <c r="A1539" s="1107"/>
      <c r="B1539" s="1108" t="s">
        <v>4071</v>
      </c>
      <c r="C1539" s="1108" t="s">
        <v>4131</v>
      </c>
      <c r="D1539" s="1108" t="s">
        <v>4264</v>
      </c>
      <c r="E1539" s="1108" t="s">
        <v>4265</v>
      </c>
      <c r="F1539" s="1109">
        <v>0.1</v>
      </c>
      <c r="G1539" s="1109">
        <v>0.0</v>
      </c>
      <c r="H1539" s="1107"/>
    </row>
    <row r="1540" ht="18.75" customHeight="1">
      <c r="A1540" s="1107"/>
      <c r="B1540" s="1108" t="s">
        <v>4071</v>
      </c>
      <c r="C1540" s="1108" t="s">
        <v>4131</v>
      </c>
      <c r="D1540" s="1108" t="s">
        <v>4266</v>
      </c>
      <c r="E1540" s="1108" t="s">
        <v>4267</v>
      </c>
      <c r="F1540" s="1109">
        <v>0.1</v>
      </c>
      <c r="G1540" s="1109">
        <v>0.0</v>
      </c>
      <c r="H1540" s="1107"/>
    </row>
    <row r="1541" ht="18.75" customHeight="1">
      <c r="A1541" s="1107"/>
      <c r="B1541" s="1108" t="s">
        <v>4071</v>
      </c>
      <c r="C1541" s="1108" t="s">
        <v>4131</v>
      </c>
      <c r="D1541" s="1108" t="s">
        <v>4268</v>
      </c>
      <c r="E1541" s="1108" t="s">
        <v>4269</v>
      </c>
      <c r="F1541" s="1109">
        <v>0.1</v>
      </c>
      <c r="G1541" s="1109">
        <v>0.0</v>
      </c>
      <c r="H1541" s="1107"/>
    </row>
    <row r="1542" ht="18.75" customHeight="1">
      <c r="A1542" s="1107"/>
      <c r="B1542" s="1108" t="s">
        <v>4071</v>
      </c>
      <c r="C1542" s="1108" t="s">
        <v>4131</v>
      </c>
      <c r="D1542" s="1108" t="s">
        <v>4270</v>
      </c>
      <c r="E1542" s="1108" t="s">
        <v>4271</v>
      </c>
      <c r="F1542" s="1109">
        <v>0.1</v>
      </c>
      <c r="G1542" s="1109">
        <v>0.0</v>
      </c>
      <c r="H1542" s="1107"/>
    </row>
    <row r="1543" ht="18.75" customHeight="1">
      <c r="A1543" s="1107"/>
      <c r="B1543" s="1108" t="s">
        <v>4071</v>
      </c>
      <c r="C1543" s="1108" t="s">
        <v>4131</v>
      </c>
      <c r="D1543" s="1108" t="s">
        <v>4272</v>
      </c>
      <c r="E1543" s="1108" t="s">
        <v>4273</v>
      </c>
      <c r="F1543" s="1109">
        <v>0.1</v>
      </c>
      <c r="G1543" s="1109">
        <v>0.0</v>
      </c>
      <c r="H1543" s="1107"/>
    </row>
    <row r="1544" ht="18.75" customHeight="1">
      <c r="A1544" s="1107"/>
      <c r="B1544" s="1108" t="s">
        <v>4071</v>
      </c>
      <c r="C1544" s="1108" t="s">
        <v>4131</v>
      </c>
      <c r="D1544" s="1108" t="s">
        <v>4274</v>
      </c>
      <c r="E1544" s="1108" t="s">
        <v>4275</v>
      </c>
      <c r="F1544" s="1109">
        <v>0.1</v>
      </c>
      <c r="G1544" s="1109">
        <v>0.0</v>
      </c>
      <c r="H1544" s="1107"/>
    </row>
    <row r="1545" ht="18.75" customHeight="1">
      <c r="A1545" s="1107"/>
      <c r="B1545" s="1108" t="s">
        <v>4071</v>
      </c>
      <c r="C1545" s="1108" t="s">
        <v>4131</v>
      </c>
      <c r="D1545" s="1108" t="s">
        <v>4276</v>
      </c>
      <c r="E1545" s="1108" t="s">
        <v>4277</v>
      </c>
      <c r="F1545" s="1109">
        <v>0.1</v>
      </c>
      <c r="G1545" s="1109">
        <v>0.0</v>
      </c>
      <c r="H1545" s="1107"/>
    </row>
    <row r="1546" ht="18.75" customHeight="1">
      <c r="A1546" s="1107"/>
      <c r="B1546" s="1108" t="s">
        <v>4071</v>
      </c>
      <c r="C1546" s="1108" t="s">
        <v>4131</v>
      </c>
      <c r="D1546" s="1108" t="s">
        <v>4278</v>
      </c>
      <c r="E1546" s="1108" t="s">
        <v>4279</v>
      </c>
      <c r="F1546" s="1109">
        <v>0.1</v>
      </c>
      <c r="G1546" s="1109">
        <v>0.0</v>
      </c>
      <c r="H1546" s="1107"/>
    </row>
    <row r="1547" ht="18.75" customHeight="1">
      <c r="A1547" s="1107"/>
      <c r="B1547" s="1108" t="s">
        <v>4071</v>
      </c>
      <c r="C1547" s="1108" t="s">
        <v>4131</v>
      </c>
      <c r="D1547" s="1108" t="s">
        <v>4280</v>
      </c>
      <c r="E1547" s="1108" t="s">
        <v>4281</v>
      </c>
      <c r="F1547" s="1109">
        <v>0.1</v>
      </c>
      <c r="G1547" s="1109">
        <v>0.0</v>
      </c>
      <c r="H1547" s="1107"/>
    </row>
    <row r="1548" ht="18.75" customHeight="1">
      <c r="A1548" s="1107"/>
      <c r="B1548" s="1108" t="s">
        <v>4071</v>
      </c>
      <c r="C1548" s="1108" t="s">
        <v>4131</v>
      </c>
      <c r="D1548" s="1108" t="s">
        <v>4282</v>
      </c>
      <c r="E1548" s="1108" t="s">
        <v>4283</v>
      </c>
      <c r="F1548" s="1109">
        <v>0.1</v>
      </c>
      <c r="G1548" s="1109">
        <v>0.0</v>
      </c>
      <c r="H1548" s="1107"/>
    </row>
    <row r="1549" ht="18.75" customHeight="1">
      <c r="A1549" s="1107"/>
      <c r="B1549" s="1108" t="s">
        <v>4071</v>
      </c>
      <c r="C1549" s="1108" t="s">
        <v>4131</v>
      </c>
      <c r="D1549" s="1108" t="s">
        <v>4284</v>
      </c>
      <c r="E1549" s="1108" t="s">
        <v>4285</v>
      </c>
      <c r="F1549" s="1109">
        <v>0.1</v>
      </c>
      <c r="G1549" s="1109">
        <v>0.0</v>
      </c>
      <c r="H1549" s="1107"/>
    </row>
    <row r="1550" ht="18.75" customHeight="1">
      <c r="A1550" s="1107"/>
      <c r="B1550" s="1108" t="s">
        <v>4071</v>
      </c>
      <c r="C1550" s="1108" t="s">
        <v>4131</v>
      </c>
      <c r="D1550" s="1108" t="s">
        <v>4286</v>
      </c>
      <c r="E1550" s="1108" t="s">
        <v>4287</v>
      </c>
      <c r="F1550" s="1109">
        <v>0.1</v>
      </c>
      <c r="G1550" s="1109">
        <v>0.0</v>
      </c>
      <c r="H1550" s="1107"/>
    </row>
    <row r="1551" ht="18.75" customHeight="1">
      <c r="A1551" s="1107"/>
      <c r="B1551" s="1108" t="s">
        <v>4071</v>
      </c>
      <c r="C1551" s="1108" t="s">
        <v>4131</v>
      </c>
      <c r="D1551" s="1108" t="s">
        <v>4288</v>
      </c>
      <c r="E1551" s="1108" t="s">
        <v>4289</v>
      </c>
      <c r="F1551" s="1109">
        <v>0.1</v>
      </c>
      <c r="G1551" s="1109">
        <v>0.0</v>
      </c>
      <c r="H1551" s="1107"/>
    </row>
    <row r="1552" ht="18.75" customHeight="1">
      <c r="A1552" s="1107"/>
      <c r="B1552" s="1108" t="s">
        <v>4071</v>
      </c>
      <c r="C1552" s="1108" t="s">
        <v>4131</v>
      </c>
      <c r="D1552" s="1108" t="s">
        <v>4290</v>
      </c>
      <c r="E1552" s="1108" t="s">
        <v>4291</v>
      </c>
      <c r="F1552" s="1109">
        <v>0.1</v>
      </c>
      <c r="G1552" s="1109">
        <v>0.0</v>
      </c>
      <c r="H1552" s="1107"/>
    </row>
    <row r="1553" ht="18.75" customHeight="1">
      <c r="A1553" s="1107"/>
      <c r="B1553" s="1108" t="s">
        <v>4071</v>
      </c>
      <c r="C1553" s="1108" t="s">
        <v>4131</v>
      </c>
      <c r="D1553" s="1108" t="s">
        <v>4292</v>
      </c>
      <c r="E1553" s="1108" t="s">
        <v>4293</v>
      </c>
      <c r="F1553" s="1109">
        <v>0.1</v>
      </c>
      <c r="G1553" s="1109">
        <v>0.0</v>
      </c>
      <c r="H1553" s="1107"/>
    </row>
    <row r="1554" ht="18.75" customHeight="1">
      <c r="A1554" s="1107"/>
      <c r="B1554" s="1108" t="s">
        <v>4071</v>
      </c>
      <c r="C1554" s="1108" t="s">
        <v>4131</v>
      </c>
      <c r="D1554" s="1108" t="s">
        <v>4294</v>
      </c>
      <c r="E1554" s="1108" t="s">
        <v>4295</v>
      </c>
      <c r="F1554" s="1109">
        <v>0.1</v>
      </c>
      <c r="G1554" s="1109">
        <v>0.0</v>
      </c>
      <c r="H1554" s="1107"/>
    </row>
    <row r="1555" ht="18.75" customHeight="1">
      <c r="A1555" s="1107"/>
      <c r="B1555" s="1108" t="s">
        <v>4071</v>
      </c>
      <c r="C1555" s="1108" t="s">
        <v>4131</v>
      </c>
      <c r="D1555" s="1108" t="s">
        <v>4296</v>
      </c>
      <c r="E1555" s="1108" t="s">
        <v>4297</v>
      </c>
      <c r="F1555" s="1109">
        <v>0.1</v>
      </c>
      <c r="G1555" s="1109">
        <v>0.0</v>
      </c>
      <c r="H1555" s="1107"/>
    </row>
    <row r="1556" ht="18.75" customHeight="1">
      <c r="A1556" s="1107"/>
      <c r="B1556" s="1108" t="s">
        <v>4071</v>
      </c>
      <c r="C1556" s="1108" t="s">
        <v>4131</v>
      </c>
      <c r="D1556" s="1108" t="s">
        <v>4298</v>
      </c>
      <c r="E1556" s="1108" t="s">
        <v>4299</v>
      </c>
      <c r="F1556" s="1109">
        <v>0.1</v>
      </c>
      <c r="G1556" s="1109">
        <v>0.0</v>
      </c>
      <c r="H1556" s="1107"/>
    </row>
    <row r="1557" ht="18.75" customHeight="1">
      <c r="A1557" s="1107"/>
      <c r="B1557" s="1108" t="s">
        <v>4071</v>
      </c>
      <c r="C1557" s="1108" t="s">
        <v>4131</v>
      </c>
      <c r="D1557" s="1108" t="s">
        <v>4300</v>
      </c>
      <c r="E1557" s="1108" t="s">
        <v>4301</v>
      </c>
      <c r="F1557" s="1109">
        <v>0.1</v>
      </c>
      <c r="G1557" s="1109">
        <v>0.0</v>
      </c>
      <c r="H1557" s="1107"/>
    </row>
    <row r="1558" ht="18.75" customHeight="1">
      <c r="A1558" s="1107"/>
      <c r="B1558" s="1108" t="s">
        <v>4071</v>
      </c>
      <c r="C1558" s="1108" t="s">
        <v>4131</v>
      </c>
      <c r="D1558" s="1108" t="s">
        <v>4302</v>
      </c>
      <c r="E1558" s="1108" t="s">
        <v>4303</v>
      </c>
      <c r="F1558" s="1109">
        <v>0.1</v>
      </c>
      <c r="G1558" s="1109">
        <v>0.0</v>
      </c>
      <c r="H1558" s="1107"/>
    </row>
    <row r="1559" ht="18.75" customHeight="1">
      <c r="A1559" s="1107"/>
      <c r="B1559" s="1108" t="s">
        <v>4071</v>
      </c>
      <c r="C1559" s="1108" t="s">
        <v>4131</v>
      </c>
      <c r="D1559" s="1108" t="s">
        <v>4304</v>
      </c>
      <c r="E1559" s="1108" t="s">
        <v>4305</v>
      </c>
      <c r="F1559" s="1109">
        <v>0.1</v>
      </c>
      <c r="G1559" s="1109">
        <v>0.0</v>
      </c>
      <c r="H1559" s="1107"/>
    </row>
    <row r="1560" ht="18.75" customHeight="1">
      <c r="A1560" s="1107"/>
      <c r="B1560" s="1108" t="s">
        <v>4071</v>
      </c>
      <c r="C1560" s="1108" t="s">
        <v>4131</v>
      </c>
      <c r="D1560" s="1108" t="s">
        <v>4306</v>
      </c>
      <c r="E1560" s="1108" t="s">
        <v>4307</v>
      </c>
      <c r="F1560" s="1109">
        <v>0.1</v>
      </c>
      <c r="G1560" s="1109">
        <v>0.0</v>
      </c>
      <c r="H1560" s="1107"/>
    </row>
    <row r="1561" ht="18.75" customHeight="1">
      <c r="A1561" s="1107"/>
      <c r="B1561" s="1108" t="s">
        <v>4071</v>
      </c>
      <c r="C1561" s="1108" t="s">
        <v>4131</v>
      </c>
      <c r="D1561" s="1108" t="s">
        <v>4308</v>
      </c>
      <c r="E1561" s="1108" t="s">
        <v>4309</v>
      </c>
      <c r="F1561" s="1109">
        <v>0.1</v>
      </c>
      <c r="G1561" s="1109">
        <v>0.0</v>
      </c>
      <c r="H1561" s="1107"/>
    </row>
    <row r="1562" ht="18.75" customHeight="1">
      <c r="A1562" s="1107"/>
      <c r="B1562" s="1108" t="s">
        <v>4071</v>
      </c>
      <c r="C1562" s="1108" t="s">
        <v>4310</v>
      </c>
      <c r="D1562" s="1108" t="s">
        <v>4311</v>
      </c>
      <c r="E1562" s="1108" t="s">
        <v>4312</v>
      </c>
      <c r="F1562" s="1109">
        <v>0.1</v>
      </c>
      <c r="G1562" s="1109">
        <v>0.0</v>
      </c>
      <c r="H1562" s="1107"/>
    </row>
    <row r="1563" ht="18.75" customHeight="1">
      <c r="A1563" s="1107"/>
      <c r="B1563" s="1108" t="s">
        <v>4071</v>
      </c>
      <c r="C1563" s="1108" t="s">
        <v>4310</v>
      </c>
      <c r="D1563" s="1108" t="s">
        <v>4313</v>
      </c>
      <c r="E1563" s="1108" t="s">
        <v>4314</v>
      </c>
      <c r="F1563" s="1109">
        <v>0.1</v>
      </c>
      <c r="G1563" s="1109">
        <v>0.0</v>
      </c>
      <c r="H1563" s="1107"/>
    </row>
    <row r="1564" ht="18.75" customHeight="1">
      <c r="A1564" s="1107"/>
      <c r="B1564" s="1108" t="s">
        <v>4071</v>
      </c>
      <c r="C1564" s="1108" t="s">
        <v>4310</v>
      </c>
      <c r="D1564" s="1108" t="s">
        <v>4315</v>
      </c>
      <c r="E1564" s="1108" t="s">
        <v>4316</v>
      </c>
      <c r="F1564" s="1109">
        <v>0.1</v>
      </c>
      <c r="G1564" s="1109">
        <v>0.0</v>
      </c>
      <c r="H1564" s="1107"/>
    </row>
    <row r="1565" ht="18.75" customHeight="1">
      <c r="A1565" s="1107"/>
      <c r="B1565" s="1108" t="s">
        <v>4071</v>
      </c>
      <c r="C1565" s="1108" t="s">
        <v>4310</v>
      </c>
      <c r="D1565" s="1108" t="s">
        <v>4317</v>
      </c>
      <c r="E1565" s="1108" t="s">
        <v>4318</v>
      </c>
      <c r="F1565" s="1109">
        <v>0.1</v>
      </c>
      <c r="G1565" s="1109">
        <v>0.0</v>
      </c>
      <c r="H1565" s="1107"/>
    </row>
    <row r="1566" ht="18.75" customHeight="1">
      <c r="A1566" s="1107"/>
      <c r="B1566" s="1108" t="s">
        <v>4071</v>
      </c>
      <c r="C1566" s="1108" t="s">
        <v>4310</v>
      </c>
      <c r="D1566" s="1108" t="s">
        <v>4319</v>
      </c>
      <c r="E1566" s="1108" t="s">
        <v>4320</v>
      </c>
      <c r="F1566" s="1109">
        <v>0.1</v>
      </c>
      <c r="G1566" s="1109">
        <v>0.0</v>
      </c>
      <c r="H1566" s="1107"/>
    </row>
    <row r="1567" ht="18.75" customHeight="1">
      <c r="A1567" s="1107"/>
      <c r="B1567" s="1108" t="s">
        <v>4071</v>
      </c>
      <c r="C1567" s="1108" t="s">
        <v>4310</v>
      </c>
      <c r="D1567" s="1108" t="s">
        <v>4321</v>
      </c>
      <c r="E1567" s="1108" t="s">
        <v>4322</v>
      </c>
      <c r="F1567" s="1109">
        <v>0.1</v>
      </c>
      <c r="G1567" s="1109">
        <v>0.0</v>
      </c>
      <c r="H1567" s="1107"/>
    </row>
    <row r="1568" ht="18.75" customHeight="1">
      <c r="A1568" s="1107"/>
      <c r="B1568" s="1108" t="s">
        <v>4071</v>
      </c>
      <c r="C1568" s="1108" t="s">
        <v>4310</v>
      </c>
      <c r="D1568" s="1108" t="s">
        <v>4323</v>
      </c>
      <c r="E1568" s="1108" t="s">
        <v>4324</v>
      </c>
      <c r="F1568" s="1109">
        <v>0.1</v>
      </c>
      <c r="G1568" s="1109">
        <v>0.0</v>
      </c>
      <c r="H1568" s="1107"/>
    </row>
    <row r="1569" ht="18.75" customHeight="1">
      <c r="A1569" s="1107"/>
      <c r="B1569" s="1108" t="s">
        <v>4071</v>
      </c>
      <c r="C1569" s="1108" t="s">
        <v>4310</v>
      </c>
      <c r="D1569" s="1108" t="s">
        <v>4325</v>
      </c>
      <c r="E1569" s="1108" t="s">
        <v>4326</v>
      </c>
      <c r="F1569" s="1109">
        <v>0.1</v>
      </c>
      <c r="G1569" s="1109">
        <v>0.0</v>
      </c>
      <c r="H1569" s="1107"/>
    </row>
    <row r="1570" ht="18.75" customHeight="1">
      <c r="A1570" s="1107"/>
      <c r="B1570" s="1108" t="s">
        <v>4071</v>
      </c>
      <c r="C1570" s="1108" t="s">
        <v>4310</v>
      </c>
      <c r="D1570" s="1108" t="s">
        <v>4327</v>
      </c>
      <c r="E1570" s="1108" t="s">
        <v>4328</v>
      </c>
      <c r="F1570" s="1109">
        <v>0.1</v>
      </c>
      <c r="G1570" s="1109">
        <v>0.0</v>
      </c>
      <c r="H1570" s="1107"/>
    </row>
    <row r="1571" ht="18.75" customHeight="1">
      <c r="A1571" s="1107"/>
      <c r="B1571" s="1108" t="s">
        <v>4071</v>
      </c>
      <c r="C1571" s="1108" t="s">
        <v>4310</v>
      </c>
      <c r="D1571" s="1108" t="s">
        <v>4329</v>
      </c>
      <c r="E1571" s="1108" t="s">
        <v>4330</v>
      </c>
      <c r="F1571" s="1109">
        <v>0.1</v>
      </c>
      <c r="G1571" s="1109">
        <v>0.0</v>
      </c>
      <c r="H1571" s="1107"/>
    </row>
    <row r="1572" ht="18.75" customHeight="1">
      <c r="A1572" s="1107"/>
      <c r="B1572" s="1108" t="s">
        <v>4071</v>
      </c>
      <c r="C1572" s="1108" t="s">
        <v>4310</v>
      </c>
      <c r="D1572" s="1108" t="s">
        <v>4331</v>
      </c>
      <c r="E1572" s="1108" t="s">
        <v>4332</v>
      </c>
      <c r="F1572" s="1109">
        <v>0.1</v>
      </c>
      <c r="G1572" s="1109">
        <v>0.0</v>
      </c>
      <c r="H1572" s="1107"/>
    </row>
    <row r="1573" ht="18.75" customHeight="1">
      <c r="A1573" s="1107"/>
      <c r="B1573" s="1108" t="s">
        <v>4071</v>
      </c>
      <c r="C1573" s="1108" t="s">
        <v>4310</v>
      </c>
      <c r="D1573" s="1108" t="s">
        <v>4333</v>
      </c>
      <c r="E1573" s="1108" t="s">
        <v>4334</v>
      </c>
      <c r="F1573" s="1109">
        <v>0.1</v>
      </c>
      <c r="G1573" s="1109">
        <v>0.0</v>
      </c>
      <c r="H1573" s="1107"/>
    </row>
    <row r="1574" ht="18.75" customHeight="1">
      <c r="A1574" s="1107"/>
      <c r="B1574" s="1108" t="s">
        <v>4071</v>
      </c>
      <c r="C1574" s="1108" t="s">
        <v>4310</v>
      </c>
      <c r="D1574" s="1108" t="s">
        <v>4335</v>
      </c>
      <c r="E1574" s="1108" t="s">
        <v>4336</v>
      </c>
      <c r="F1574" s="1109">
        <v>0.1</v>
      </c>
      <c r="G1574" s="1109">
        <v>0.0</v>
      </c>
      <c r="H1574" s="1107"/>
    </row>
    <row r="1575" ht="18.75" customHeight="1">
      <c r="A1575" s="1107"/>
      <c r="B1575" s="1108" t="s">
        <v>4071</v>
      </c>
      <c r="C1575" s="1108" t="s">
        <v>4310</v>
      </c>
      <c r="D1575" s="1108" t="s">
        <v>4337</v>
      </c>
      <c r="E1575" s="1108" t="s">
        <v>4338</v>
      </c>
      <c r="F1575" s="1109">
        <v>0.1</v>
      </c>
      <c r="G1575" s="1109">
        <v>0.0</v>
      </c>
      <c r="H1575" s="1107"/>
    </row>
    <row r="1576" ht="18.75" customHeight="1">
      <c r="A1576" s="1107"/>
      <c r="B1576" s="1108" t="s">
        <v>4071</v>
      </c>
      <c r="C1576" s="1108" t="s">
        <v>4310</v>
      </c>
      <c r="D1576" s="1108" t="s">
        <v>4339</v>
      </c>
      <c r="E1576" s="1108" t="s">
        <v>4340</v>
      </c>
      <c r="F1576" s="1109">
        <v>0.1</v>
      </c>
      <c r="G1576" s="1109">
        <v>0.0</v>
      </c>
      <c r="H1576" s="1107"/>
    </row>
    <row r="1577" ht="18.75" customHeight="1">
      <c r="A1577" s="1107"/>
      <c r="B1577" s="1108" t="s">
        <v>4071</v>
      </c>
      <c r="C1577" s="1108" t="s">
        <v>4310</v>
      </c>
      <c r="D1577" s="1108" t="s">
        <v>4341</v>
      </c>
      <c r="E1577" s="1108" t="s">
        <v>4342</v>
      </c>
      <c r="F1577" s="1109">
        <v>0.1</v>
      </c>
      <c r="G1577" s="1109">
        <v>0.0</v>
      </c>
      <c r="H1577" s="1107"/>
    </row>
    <row r="1578" ht="18.75" customHeight="1">
      <c r="A1578" s="1107"/>
      <c r="B1578" s="1108" t="s">
        <v>4071</v>
      </c>
      <c r="C1578" s="1108" t="s">
        <v>4310</v>
      </c>
      <c r="D1578" s="1108" t="s">
        <v>4343</v>
      </c>
      <c r="E1578" s="1108" t="s">
        <v>4344</v>
      </c>
      <c r="F1578" s="1109">
        <v>0.1</v>
      </c>
      <c r="G1578" s="1109">
        <v>0.0</v>
      </c>
      <c r="H1578" s="1107"/>
    </row>
    <row r="1579" ht="18.75" customHeight="1">
      <c r="A1579" s="1107"/>
      <c r="B1579" s="1108" t="s">
        <v>4071</v>
      </c>
      <c r="C1579" s="1108" t="s">
        <v>4310</v>
      </c>
      <c r="D1579" s="1108" t="s">
        <v>4345</v>
      </c>
      <c r="E1579" s="1108" t="s">
        <v>4346</v>
      </c>
      <c r="F1579" s="1109">
        <v>0.1</v>
      </c>
      <c r="G1579" s="1109">
        <v>0.0</v>
      </c>
      <c r="H1579" s="1107"/>
    </row>
    <row r="1580" ht="18.75" customHeight="1">
      <c r="A1580" s="1107"/>
      <c r="B1580" s="1108" t="s">
        <v>4071</v>
      </c>
      <c r="C1580" s="1108" t="s">
        <v>4310</v>
      </c>
      <c r="D1580" s="1108" t="s">
        <v>4347</v>
      </c>
      <c r="E1580" s="1108" t="s">
        <v>4348</v>
      </c>
      <c r="F1580" s="1109">
        <v>0.1</v>
      </c>
      <c r="G1580" s="1109">
        <v>0.0</v>
      </c>
      <c r="H1580" s="1107"/>
    </row>
    <row r="1581" ht="18.75" customHeight="1">
      <c r="A1581" s="1107"/>
      <c r="B1581" s="1108" t="s">
        <v>4071</v>
      </c>
      <c r="C1581" s="1108" t="s">
        <v>4310</v>
      </c>
      <c r="D1581" s="1108" t="s">
        <v>4349</v>
      </c>
      <c r="E1581" s="1108" t="s">
        <v>4350</v>
      </c>
      <c r="F1581" s="1109">
        <v>0.1</v>
      </c>
      <c r="G1581" s="1109">
        <v>0.0</v>
      </c>
      <c r="H1581" s="1107"/>
    </row>
    <row r="1582" ht="18.75" customHeight="1">
      <c r="A1582" s="1107"/>
      <c r="B1582" s="1108" t="s">
        <v>4071</v>
      </c>
      <c r="C1582" s="1108" t="s">
        <v>4310</v>
      </c>
      <c r="D1582" s="1108" t="s">
        <v>4351</v>
      </c>
      <c r="E1582" s="1108" t="s">
        <v>4352</v>
      </c>
      <c r="F1582" s="1109">
        <v>0.1</v>
      </c>
      <c r="G1582" s="1109">
        <v>0.0</v>
      </c>
      <c r="H1582" s="1107"/>
    </row>
    <row r="1583" ht="18.75" customHeight="1">
      <c r="A1583" s="1107"/>
      <c r="B1583" s="1108" t="s">
        <v>4071</v>
      </c>
      <c r="C1583" s="1108" t="s">
        <v>4310</v>
      </c>
      <c r="D1583" s="1108" t="s">
        <v>4353</v>
      </c>
      <c r="E1583" s="1108" t="s">
        <v>4354</v>
      </c>
      <c r="F1583" s="1109">
        <v>0.1</v>
      </c>
      <c r="G1583" s="1109">
        <v>0.0</v>
      </c>
      <c r="H1583" s="1107"/>
    </row>
    <row r="1584" ht="18.75" customHeight="1">
      <c r="A1584" s="1107"/>
      <c r="B1584" s="1108" t="s">
        <v>4071</v>
      </c>
      <c r="C1584" s="1108" t="s">
        <v>4310</v>
      </c>
      <c r="D1584" s="1108" t="s">
        <v>4355</v>
      </c>
      <c r="E1584" s="1108" t="s">
        <v>4356</v>
      </c>
      <c r="F1584" s="1109">
        <v>0.1</v>
      </c>
      <c r="G1584" s="1109">
        <v>0.0</v>
      </c>
      <c r="H1584" s="1107"/>
    </row>
    <row r="1585" ht="18.75" customHeight="1">
      <c r="A1585" s="1107"/>
      <c r="B1585" s="1108" t="s">
        <v>4071</v>
      </c>
      <c r="C1585" s="1108" t="s">
        <v>4310</v>
      </c>
      <c r="D1585" s="1108" t="s">
        <v>4357</v>
      </c>
      <c r="E1585" s="1108" t="s">
        <v>4358</v>
      </c>
      <c r="F1585" s="1109">
        <v>0.1</v>
      </c>
      <c r="G1585" s="1109">
        <v>0.0</v>
      </c>
      <c r="H1585" s="1107"/>
    </row>
    <row r="1586" ht="18.75" customHeight="1">
      <c r="A1586" s="1107"/>
      <c r="B1586" s="1108" t="s">
        <v>4071</v>
      </c>
      <c r="C1586" s="1108" t="s">
        <v>4310</v>
      </c>
      <c r="D1586" s="1108" t="s">
        <v>4359</v>
      </c>
      <c r="E1586" s="1108" t="s">
        <v>4360</v>
      </c>
      <c r="F1586" s="1109">
        <v>0.1</v>
      </c>
      <c r="G1586" s="1109">
        <v>0.0</v>
      </c>
      <c r="H1586" s="1107"/>
    </row>
    <row r="1587" ht="18.75" customHeight="1">
      <c r="A1587" s="1107"/>
      <c r="B1587" s="1108" t="s">
        <v>4071</v>
      </c>
      <c r="C1587" s="1108" t="s">
        <v>4310</v>
      </c>
      <c r="D1587" s="1108" t="s">
        <v>4361</v>
      </c>
      <c r="E1587" s="1108" t="s">
        <v>4362</v>
      </c>
      <c r="F1587" s="1109">
        <v>0.1</v>
      </c>
      <c r="G1587" s="1109">
        <v>0.0</v>
      </c>
      <c r="H1587" s="1107"/>
    </row>
    <row r="1588" ht="18.75" customHeight="1">
      <c r="A1588" s="1107"/>
      <c r="B1588" s="1108" t="s">
        <v>4071</v>
      </c>
      <c r="C1588" s="1108" t="s">
        <v>4310</v>
      </c>
      <c r="D1588" s="1108" t="s">
        <v>4363</v>
      </c>
      <c r="E1588" s="1108" t="s">
        <v>4364</v>
      </c>
      <c r="F1588" s="1109">
        <v>0.1</v>
      </c>
      <c r="G1588" s="1109">
        <v>0.0</v>
      </c>
      <c r="H1588" s="1107"/>
    </row>
    <row r="1589" ht="18.75" customHeight="1">
      <c r="A1589" s="1107"/>
      <c r="B1589" s="1108" t="s">
        <v>4071</v>
      </c>
      <c r="C1589" s="1108" t="s">
        <v>4310</v>
      </c>
      <c r="D1589" s="1108" t="s">
        <v>4365</v>
      </c>
      <c r="E1589" s="1108" t="s">
        <v>4366</v>
      </c>
      <c r="F1589" s="1109">
        <v>0.1</v>
      </c>
      <c r="G1589" s="1109">
        <v>0.0</v>
      </c>
      <c r="H1589" s="1107"/>
    </row>
    <row r="1590" ht="18.75" customHeight="1">
      <c r="A1590" s="1107"/>
      <c r="B1590" s="1108" t="s">
        <v>4071</v>
      </c>
      <c r="C1590" s="1108" t="s">
        <v>4310</v>
      </c>
      <c r="D1590" s="1108" t="s">
        <v>4367</v>
      </c>
      <c r="E1590" s="1108" t="s">
        <v>4368</v>
      </c>
      <c r="F1590" s="1109">
        <v>0.1</v>
      </c>
      <c r="G1590" s="1109">
        <v>0.0</v>
      </c>
      <c r="H1590" s="1107"/>
    </row>
    <row r="1591" ht="18.75" customHeight="1">
      <c r="A1591" s="1107"/>
      <c r="B1591" s="1108" t="s">
        <v>4071</v>
      </c>
      <c r="C1591" s="1108" t="s">
        <v>4310</v>
      </c>
      <c r="D1591" s="1108" t="s">
        <v>4369</v>
      </c>
      <c r="E1591" s="1108" t="s">
        <v>4370</v>
      </c>
      <c r="F1591" s="1109">
        <v>0.1</v>
      </c>
      <c r="G1591" s="1109">
        <v>0.0</v>
      </c>
      <c r="H1591" s="1107"/>
    </row>
    <row r="1592" ht="18.75" customHeight="1">
      <c r="A1592" s="1107"/>
      <c r="B1592" s="1108" t="s">
        <v>4071</v>
      </c>
      <c r="C1592" s="1108" t="s">
        <v>4310</v>
      </c>
      <c r="D1592" s="1108" t="s">
        <v>4371</v>
      </c>
      <c r="E1592" s="1108" t="s">
        <v>4372</v>
      </c>
      <c r="F1592" s="1109">
        <v>0.1</v>
      </c>
      <c r="G1592" s="1109">
        <v>0.0</v>
      </c>
      <c r="H1592" s="1107"/>
    </row>
    <row r="1593" ht="18.75" customHeight="1">
      <c r="A1593" s="1107"/>
      <c r="B1593" s="1108" t="s">
        <v>4071</v>
      </c>
      <c r="C1593" s="1108" t="s">
        <v>4310</v>
      </c>
      <c r="D1593" s="1108" t="s">
        <v>4373</v>
      </c>
      <c r="E1593" s="1108" t="s">
        <v>4374</v>
      </c>
      <c r="F1593" s="1109">
        <v>0.1</v>
      </c>
      <c r="G1593" s="1109">
        <v>0.0</v>
      </c>
      <c r="H1593" s="1107"/>
    </row>
    <row r="1594" ht="18.75" customHeight="1">
      <c r="A1594" s="1107"/>
      <c r="B1594" s="1108" t="s">
        <v>4071</v>
      </c>
      <c r="C1594" s="1108" t="s">
        <v>4310</v>
      </c>
      <c r="D1594" s="1108" t="s">
        <v>4375</v>
      </c>
      <c r="E1594" s="1108" t="s">
        <v>4376</v>
      </c>
      <c r="F1594" s="1109">
        <v>0.1</v>
      </c>
      <c r="G1594" s="1109">
        <v>0.0</v>
      </c>
      <c r="H1594" s="1107"/>
    </row>
    <row r="1595" ht="18.75" customHeight="1">
      <c r="A1595" s="1107"/>
      <c r="B1595" s="1108" t="s">
        <v>4071</v>
      </c>
      <c r="C1595" s="1108" t="s">
        <v>4310</v>
      </c>
      <c r="D1595" s="1108" t="s">
        <v>4377</v>
      </c>
      <c r="E1595" s="1108" t="s">
        <v>4378</v>
      </c>
      <c r="F1595" s="1109">
        <v>0.1</v>
      </c>
      <c r="G1595" s="1109">
        <v>0.0</v>
      </c>
      <c r="H1595" s="1107"/>
    </row>
    <row r="1596" ht="18.75" customHeight="1">
      <c r="A1596" s="1107"/>
      <c r="B1596" s="1108" t="s">
        <v>4071</v>
      </c>
      <c r="C1596" s="1108" t="s">
        <v>4310</v>
      </c>
      <c r="D1596" s="1108" t="s">
        <v>4379</v>
      </c>
      <c r="E1596" s="1108" t="s">
        <v>4380</v>
      </c>
      <c r="F1596" s="1109">
        <v>0.1</v>
      </c>
      <c r="G1596" s="1109">
        <v>0.0</v>
      </c>
      <c r="H1596" s="1107"/>
    </row>
    <row r="1597" ht="18.75" customHeight="1">
      <c r="A1597" s="1107"/>
      <c r="B1597" s="1108" t="s">
        <v>4071</v>
      </c>
      <c r="C1597" s="1108" t="s">
        <v>4310</v>
      </c>
      <c r="D1597" s="1108" t="s">
        <v>4381</v>
      </c>
      <c r="E1597" s="1108" t="s">
        <v>4382</v>
      </c>
      <c r="F1597" s="1109">
        <v>0.1</v>
      </c>
      <c r="G1597" s="1109">
        <v>0.0</v>
      </c>
      <c r="H1597" s="1107"/>
    </row>
    <row r="1598" ht="18.75" customHeight="1">
      <c r="A1598" s="1107"/>
      <c r="B1598" s="1108" t="s">
        <v>4071</v>
      </c>
      <c r="C1598" s="1108" t="s">
        <v>4310</v>
      </c>
      <c r="D1598" s="1108" t="s">
        <v>4383</v>
      </c>
      <c r="E1598" s="1108" t="s">
        <v>4384</v>
      </c>
      <c r="F1598" s="1109">
        <v>0.1</v>
      </c>
      <c r="G1598" s="1109">
        <v>0.0</v>
      </c>
      <c r="H1598" s="1107"/>
    </row>
    <row r="1599" ht="18.75" customHeight="1">
      <c r="A1599" s="1107"/>
      <c r="B1599" s="1108" t="s">
        <v>4071</v>
      </c>
      <c r="C1599" s="1108" t="s">
        <v>4310</v>
      </c>
      <c r="D1599" s="1108" t="s">
        <v>4385</v>
      </c>
      <c r="E1599" s="1108" t="s">
        <v>4386</v>
      </c>
      <c r="F1599" s="1109">
        <v>0.1</v>
      </c>
      <c r="G1599" s="1109">
        <v>0.0</v>
      </c>
      <c r="H1599" s="1107"/>
    </row>
    <row r="1600" ht="18.75" customHeight="1">
      <c r="A1600" s="1107"/>
      <c r="B1600" s="1108" t="s">
        <v>4071</v>
      </c>
      <c r="C1600" s="1108" t="s">
        <v>4310</v>
      </c>
      <c r="D1600" s="1108" t="s">
        <v>4387</v>
      </c>
      <c r="E1600" s="1108" t="s">
        <v>4388</v>
      </c>
      <c r="F1600" s="1109">
        <v>0.1</v>
      </c>
      <c r="G1600" s="1109">
        <v>0.0</v>
      </c>
      <c r="H1600" s="1107"/>
    </row>
    <row r="1601" ht="18.75" customHeight="1">
      <c r="A1601" s="1107"/>
      <c r="B1601" s="1108" t="s">
        <v>4071</v>
      </c>
      <c r="C1601" s="1108" t="s">
        <v>4310</v>
      </c>
      <c r="D1601" s="1108" t="s">
        <v>4389</v>
      </c>
      <c r="E1601" s="1108" t="s">
        <v>4390</v>
      </c>
      <c r="F1601" s="1109">
        <v>0.1</v>
      </c>
      <c r="G1601" s="1109">
        <v>0.0</v>
      </c>
      <c r="H1601" s="1107"/>
    </row>
    <row r="1602" ht="18.75" customHeight="1">
      <c r="A1602" s="1107"/>
      <c r="B1602" s="1108" t="s">
        <v>4071</v>
      </c>
      <c r="C1602" s="1108" t="s">
        <v>4310</v>
      </c>
      <c r="D1602" s="1108" t="s">
        <v>4391</v>
      </c>
      <c r="E1602" s="1108" t="s">
        <v>4392</v>
      </c>
      <c r="F1602" s="1109">
        <v>0.1</v>
      </c>
      <c r="G1602" s="1109">
        <v>0.0</v>
      </c>
      <c r="H1602" s="1107"/>
    </row>
    <row r="1603" ht="18.75" customHeight="1">
      <c r="A1603" s="1107"/>
      <c r="B1603" s="1108" t="s">
        <v>4071</v>
      </c>
      <c r="C1603" s="1108" t="s">
        <v>4310</v>
      </c>
      <c r="D1603" s="1108" t="s">
        <v>4393</v>
      </c>
      <c r="E1603" s="1108" t="s">
        <v>4394</v>
      </c>
      <c r="F1603" s="1109">
        <v>0.1</v>
      </c>
      <c r="G1603" s="1109">
        <v>0.0</v>
      </c>
      <c r="H1603" s="1107"/>
    </row>
    <row r="1604" ht="18.75" customHeight="1">
      <c r="A1604" s="1107"/>
      <c r="B1604" s="1108" t="s">
        <v>4071</v>
      </c>
      <c r="C1604" s="1108" t="s">
        <v>4310</v>
      </c>
      <c r="D1604" s="1108" t="s">
        <v>4395</v>
      </c>
      <c r="E1604" s="1108" t="s">
        <v>4396</v>
      </c>
      <c r="F1604" s="1109">
        <v>0.1</v>
      </c>
      <c r="G1604" s="1109">
        <v>0.0</v>
      </c>
      <c r="H1604" s="1107"/>
    </row>
    <row r="1605" ht="18.75" customHeight="1">
      <c r="A1605" s="1107"/>
      <c r="B1605" s="1108" t="s">
        <v>4071</v>
      </c>
      <c r="C1605" s="1108" t="s">
        <v>4310</v>
      </c>
      <c r="D1605" s="1108" t="s">
        <v>4397</v>
      </c>
      <c r="E1605" s="1108" t="s">
        <v>4398</v>
      </c>
      <c r="F1605" s="1109">
        <v>0.1</v>
      </c>
      <c r="G1605" s="1109">
        <v>0.0</v>
      </c>
      <c r="H1605" s="1107"/>
    </row>
    <row r="1606" ht="18.75" customHeight="1">
      <c r="A1606" s="1107"/>
      <c r="B1606" s="1108" t="s">
        <v>4071</v>
      </c>
      <c r="C1606" s="1108" t="s">
        <v>4310</v>
      </c>
      <c r="D1606" s="1108" t="s">
        <v>4399</v>
      </c>
      <c r="E1606" s="1108" t="s">
        <v>4400</v>
      </c>
      <c r="F1606" s="1109">
        <v>0.1</v>
      </c>
      <c r="G1606" s="1109">
        <v>0.0</v>
      </c>
      <c r="H1606" s="1107"/>
    </row>
    <row r="1607" ht="18.75" customHeight="1">
      <c r="A1607" s="1107"/>
      <c r="B1607" s="1108" t="s">
        <v>4071</v>
      </c>
      <c r="C1607" s="1108" t="s">
        <v>4310</v>
      </c>
      <c r="D1607" s="1108" t="s">
        <v>4401</v>
      </c>
      <c r="E1607" s="1108" t="s">
        <v>4402</v>
      </c>
      <c r="F1607" s="1109">
        <v>0.1</v>
      </c>
      <c r="G1607" s="1109">
        <v>0.0</v>
      </c>
      <c r="H1607" s="1107"/>
    </row>
    <row r="1608" ht="18.75" customHeight="1">
      <c r="A1608" s="1107"/>
      <c r="B1608" s="1108" t="s">
        <v>4071</v>
      </c>
      <c r="C1608" s="1108" t="s">
        <v>4310</v>
      </c>
      <c r="D1608" s="1108" t="s">
        <v>4403</v>
      </c>
      <c r="E1608" s="1108" t="s">
        <v>4404</v>
      </c>
      <c r="F1608" s="1109">
        <v>0.1</v>
      </c>
      <c r="G1608" s="1109">
        <v>0.0</v>
      </c>
      <c r="H1608" s="1107"/>
    </row>
    <row r="1609" ht="18.75" customHeight="1">
      <c r="A1609" s="1107"/>
      <c r="B1609" s="1108" t="s">
        <v>4071</v>
      </c>
      <c r="C1609" s="1108" t="s">
        <v>4310</v>
      </c>
      <c r="D1609" s="1108" t="s">
        <v>4405</v>
      </c>
      <c r="E1609" s="1108" t="s">
        <v>4406</v>
      </c>
      <c r="F1609" s="1109">
        <v>0.1</v>
      </c>
      <c r="G1609" s="1109">
        <v>0.0</v>
      </c>
      <c r="H1609" s="1107"/>
    </row>
    <row r="1610" ht="18.75" customHeight="1">
      <c r="A1610" s="1107"/>
      <c r="B1610" s="1108" t="s">
        <v>4071</v>
      </c>
      <c r="C1610" s="1108" t="s">
        <v>4310</v>
      </c>
      <c r="D1610" s="1108" t="s">
        <v>4407</v>
      </c>
      <c r="E1610" s="1108" t="s">
        <v>4408</v>
      </c>
      <c r="F1610" s="1109">
        <v>0.1</v>
      </c>
      <c r="G1610" s="1109">
        <v>0.0</v>
      </c>
      <c r="H1610" s="1107"/>
    </row>
    <row r="1611" ht="18.75" customHeight="1">
      <c r="A1611" s="1107"/>
      <c r="B1611" s="1108" t="s">
        <v>4071</v>
      </c>
      <c r="C1611" s="1108" t="s">
        <v>4310</v>
      </c>
      <c r="D1611" s="1108" t="s">
        <v>4409</v>
      </c>
      <c r="E1611" s="1108" t="s">
        <v>4410</v>
      </c>
      <c r="F1611" s="1109">
        <v>0.1</v>
      </c>
      <c r="G1611" s="1109">
        <v>0.0</v>
      </c>
      <c r="H1611" s="1107"/>
    </row>
    <row r="1612" ht="18.75" customHeight="1">
      <c r="A1612" s="1107"/>
      <c r="B1612" s="1108" t="s">
        <v>4071</v>
      </c>
      <c r="C1612" s="1108" t="s">
        <v>4310</v>
      </c>
      <c r="D1612" s="1108" t="s">
        <v>4411</v>
      </c>
      <c r="E1612" s="1108" t="s">
        <v>4412</v>
      </c>
      <c r="F1612" s="1109">
        <v>0.1</v>
      </c>
      <c r="G1612" s="1109">
        <v>0.0</v>
      </c>
      <c r="H1612" s="1107"/>
    </row>
    <row r="1613" ht="18.75" customHeight="1">
      <c r="A1613" s="1107"/>
      <c r="B1613" s="1108" t="s">
        <v>4071</v>
      </c>
      <c r="C1613" s="1108" t="s">
        <v>4310</v>
      </c>
      <c r="D1613" s="1108" t="s">
        <v>4413</v>
      </c>
      <c r="E1613" s="1108" t="s">
        <v>4414</v>
      </c>
      <c r="F1613" s="1109">
        <v>0.1</v>
      </c>
      <c r="G1613" s="1109">
        <v>0.0</v>
      </c>
      <c r="H1613" s="1107"/>
    </row>
  </sheetData>
  <mergeCells count="1">
    <mergeCell ref="A1:H2"/>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25"/>
    <col customWidth="1" min="2" max="2" width="42.63"/>
    <col customWidth="1" min="3" max="3" width="18.13"/>
    <col customWidth="1" min="4" max="4" width="28.88"/>
    <col customWidth="1" min="5" max="5" width="55.13"/>
    <col customWidth="1" min="6" max="6" width="11.38"/>
    <col customWidth="1" min="7" max="7" width="12.63"/>
    <col customWidth="1" min="8" max="8" width="5.0"/>
  </cols>
  <sheetData>
    <row r="1" ht="12.75" customHeight="1">
      <c r="A1" s="1104" t="s">
        <v>1278</v>
      </c>
      <c r="B1" s="456"/>
      <c r="C1" s="456"/>
      <c r="D1" s="456"/>
      <c r="E1" s="456"/>
      <c r="F1" s="456"/>
      <c r="G1" s="456"/>
      <c r="H1" s="457"/>
    </row>
    <row r="2" ht="12.75" customHeight="1">
      <c r="A2" s="435"/>
      <c r="B2" s="418"/>
      <c r="C2" s="418"/>
      <c r="D2" s="418"/>
      <c r="E2" s="418"/>
      <c r="F2" s="418"/>
      <c r="G2" s="418"/>
      <c r="H2" s="419"/>
    </row>
    <row r="3" ht="12.75" customHeight="1">
      <c r="A3" s="1110"/>
      <c r="B3" s="1110"/>
      <c r="C3" s="1110"/>
      <c r="D3" s="1110"/>
      <c r="E3" s="1110"/>
      <c r="F3" s="1110"/>
      <c r="G3" s="1110"/>
      <c r="H3" s="1110"/>
    </row>
    <row r="4" ht="21.0" customHeight="1">
      <c r="A4" s="1110"/>
      <c r="B4" s="1106" t="s">
        <v>1279</v>
      </c>
      <c r="C4" s="1106" t="s">
        <v>1280</v>
      </c>
      <c r="D4" s="1106" t="s">
        <v>1281</v>
      </c>
      <c r="E4" s="1106" t="s">
        <v>1282</v>
      </c>
      <c r="F4" s="1106" t="s">
        <v>1283</v>
      </c>
      <c r="G4" s="1106" t="s">
        <v>1284</v>
      </c>
      <c r="H4" s="1110"/>
    </row>
    <row r="5" ht="18.75" customHeight="1">
      <c r="A5" s="1110"/>
      <c r="B5" s="1108" t="s">
        <v>4415</v>
      </c>
      <c r="C5" s="1108" t="s">
        <v>4416</v>
      </c>
      <c r="D5" s="1108" t="s">
        <v>4417</v>
      </c>
      <c r="E5" s="1108" t="s">
        <v>4418</v>
      </c>
      <c r="F5" s="1109">
        <v>0.1</v>
      </c>
      <c r="G5" s="1109">
        <v>0.0</v>
      </c>
      <c r="H5" s="1110"/>
    </row>
    <row r="6" ht="18.75" customHeight="1">
      <c r="A6" s="1110"/>
      <c r="B6" s="1108" t="s">
        <v>4415</v>
      </c>
      <c r="C6" s="1108" t="s">
        <v>4416</v>
      </c>
      <c r="D6" s="1108" t="s">
        <v>4419</v>
      </c>
      <c r="E6" s="1108" t="s">
        <v>4420</v>
      </c>
      <c r="F6" s="1109">
        <v>0.1</v>
      </c>
      <c r="G6" s="1109">
        <v>0.0</v>
      </c>
      <c r="H6" s="1110"/>
    </row>
    <row r="7" ht="18.75" customHeight="1">
      <c r="A7" s="1110"/>
      <c r="B7" s="1108" t="s">
        <v>4415</v>
      </c>
      <c r="C7" s="1108" t="s">
        <v>4416</v>
      </c>
      <c r="D7" s="1108" t="s">
        <v>4421</v>
      </c>
      <c r="E7" s="1108" t="s">
        <v>4422</v>
      </c>
      <c r="F7" s="1109">
        <v>0.1</v>
      </c>
      <c r="G7" s="1109">
        <v>0.0</v>
      </c>
      <c r="H7" s="1110"/>
    </row>
    <row r="8" ht="18.75" customHeight="1">
      <c r="A8" s="1110"/>
      <c r="B8" s="1108" t="s">
        <v>4415</v>
      </c>
      <c r="C8" s="1108" t="s">
        <v>4416</v>
      </c>
      <c r="D8" s="1108" t="s">
        <v>4423</v>
      </c>
      <c r="E8" s="1108" t="s">
        <v>4424</v>
      </c>
      <c r="F8" s="1109">
        <v>0.1</v>
      </c>
      <c r="G8" s="1109">
        <v>0.0</v>
      </c>
      <c r="H8" s="1110"/>
    </row>
    <row r="9" ht="18.75" customHeight="1">
      <c r="A9" s="1110"/>
      <c r="B9" s="1108" t="s">
        <v>4415</v>
      </c>
      <c r="C9" s="1108" t="s">
        <v>4416</v>
      </c>
      <c r="D9" s="1108" t="s">
        <v>4425</v>
      </c>
      <c r="E9" s="1108" t="s">
        <v>4426</v>
      </c>
      <c r="F9" s="1109">
        <v>0.1</v>
      </c>
      <c r="G9" s="1109">
        <v>0.0</v>
      </c>
      <c r="H9" s="1110"/>
    </row>
    <row r="10" ht="18.75" customHeight="1">
      <c r="A10" s="1110"/>
      <c r="B10" s="1108" t="s">
        <v>4415</v>
      </c>
      <c r="C10" s="1108" t="s">
        <v>4416</v>
      </c>
      <c r="D10" s="1108" t="s">
        <v>4427</v>
      </c>
      <c r="E10" s="1108" t="s">
        <v>4428</v>
      </c>
      <c r="F10" s="1109">
        <v>0.1</v>
      </c>
      <c r="G10" s="1109">
        <v>0.0</v>
      </c>
      <c r="H10" s="1110"/>
    </row>
    <row r="11" ht="18.75" customHeight="1">
      <c r="A11" s="1110"/>
      <c r="B11" s="1108" t="s">
        <v>4415</v>
      </c>
      <c r="C11" s="1108" t="s">
        <v>4416</v>
      </c>
      <c r="D11" s="1108" t="s">
        <v>4429</v>
      </c>
      <c r="E11" s="1108" t="s">
        <v>4430</v>
      </c>
      <c r="F11" s="1109">
        <v>0.1</v>
      </c>
      <c r="G11" s="1109">
        <v>0.0</v>
      </c>
      <c r="H11" s="1110"/>
    </row>
    <row r="12" ht="18.75" customHeight="1">
      <c r="A12" s="1110"/>
      <c r="B12" s="1108" t="s">
        <v>4415</v>
      </c>
      <c r="C12" s="1108" t="s">
        <v>4416</v>
      </c>
      <c r="D12" s="1108" t="s">
        <v>4431</v>
      </c>
      <c r="E12" s="1108" t="s">
        <v>4432</v>
      </c>
      <c r="F12" s="1109">
        <v>0.1</v>
      </c>
      <c r="G12" s="1109">
        <v>0.0</v>
      </c>
      <c r="H12" s="1110"/>
    </row>
    <row r="13" ht="18.75" customHeight="1">
      <c r="A13" s="1110"/>
      <c r="B13" s="1108" t="s">
        <v>4415</v>
      </c>
      <c r="C13" s="1108" t="s">
        <v>4416</v>
      </c>
      <c r="D13" s="1108" t="s">
        <v>4433</v>
      </c>
      <c r="E13" s="1108" t="s">
        <v>4434</v>
      </c>
      <c r="F13" s="1109">
        <v>0.1</v>
      </c>
      <c r="G13" s="1109">
        <v>0.0</v>
      </c>
      <c r="H13" s="1110"/>
    </row>
    <row r="14" ht="18.75" customHeight="1">
      <c r="A14" s="1110"/>
      <c r="B14" s="1108" t="s">
        <v>4415</v>
      </c>
      <c r="C14" s="1108" t="s">
        <v>4416</v>
      </c>
      <c r="D14" s="1108" t="s">
        <v>4435</v>
      </c>
      <c r="E14" s="1108" t="s">
        <v>4436</v>
      </c>
      <c r="F14" s="1109">
        <v>0.1</v>
      </c>
      <c r="G14" s="1109">
        <v>0.0</v>
      </c>
      <c r="H14" s="1110"/>
    </row>
    <row r="15" ht="18.75" customHeight="1">
      <c r="A15" s="1110"/>
      <c r="B15" s="1108" t="s">
        <v>4437</v>
      </c>
      <c r="C15" s="1108" t="s">
        <v>4416</v>
      </c>
      <c r="D15" s="1108" t="s">
        <v>4438</v>
      </c>
      <c r="E15" s="1108" t="s">
        <v>4439</v>
      </c>
      <c r="F15" s="1109">
        <v>0.1</v>
      </c>
      <c r="G15" s="1109">
        <v>0.0</v>
      </c>
      <c r="H15" s="1110"/>
    </row>
    <row r="16" ht="18.75" customHeight="1">
      <c r="A16" s="1110"/>
      <c r="B16" s="1108" t="s">
        <v>4437</v>
      </c>
      <c r="C16" s="1108" t="s">
        <v>4416</v>
      </c>
      <c r="D16" s="1108" t="s">
        <v>4440</v>
      </c>
      <c r="E16" s="1108" t="s">
        <v>4441</v>
      </c>
      <c r="F16" s="1109">
        <v>0.1</v>
      </c>
      <c r="G16" s="1109">
        <v>0.0</v>
      </c>
      <c r="H16" s="1110"/>
    </row>
    <row r="17" ht="18.75" customHeight="1">
      <c r="A17" s="1110"/>
      <c r="B17" s="1108" t="s">
        <v>4437</v>
      </c>
      <c r="C17" s="1108" t="s">
        <v>4416</v>
      </c>
      <c r="D17" s="1108" t="s">
        <v>4442</v>
      </c>
      <c r="E17" s="1108" t="s">
        <v>4443</v>
      </c>
      <c r="F17" s="1109">
        <v>0.1</v>
      </c>
      <c r="G17" s="1109">
        <v>0.0</v>
      </c>
      <c r="H17" s="1110"/>
    </row>
    <row r="18" ht="18.75" customHeight="1">
      <c r="A18" s="1110"/>
      <c r="B18" s="1108" t="s">
        <v>4437</v>
      </c>
      <c r="C18" s="1108" t="s">
        <v>4416</v>
      </c>
      <c r="D18" s="1108" t="s">
        <v>4444</v>
      </c>
      <c r="E18" s="1108" t="s">
        <v>4445</v>
      </c>
      <c r="F18" s="1109">
        <v>0.1</v>
      </c>
      <c r="G18" s="1109">
        <v>0.0</v>
      </c>
      <c r="H18" s="1110"/>
    </row>
    <row r="19" ht="18.75" customHeight="1">
      <c r="A19" s="1110"/>
      <c r="B19" s="1108" t="s">
        <v>4437</v>
      </c>
      <c r="C19" s="1108" t="s">
        <v>4416</v>
      </c>
      <c r="D19" s="1108" t="s">
        <v>4446</v>
      </c>
      <c r="E19" s="1108" t="s">
        <v>4447</v>
      </c>
      <c r="F19" s="1109">
        <v>0.1</v>
      </c>
      <c r="G19" s="1109">
        <v>0.0</v>
      </c>
      <c r="H19" s="1110"/>
    </row>
    <row r="20" ht="18.75" customHeight="1">
      <c r="A20" s="1110"/>
      <c r="B20" s="1108" t="s">
        <v>4437</v>
      </c>
      <c r="C20" s="1108" t="s">
        <v>4416</v>
      </c>
      <c r="D20" s="1108" t="s">
        <v>4448</v>
      </c>
      <c r="E20" s="1108" t="s">
        <v>4449</v>
      </c>
      <c r="F20" s="1109">
        <v>0.1</v>
      </c>
      <c r="G20" s="1109">
        <v>0.0</v>
      </c>
      <c r="H20" s="1110"/>
    </row>
    <row r="21" ht="18.75" customHeight="1">
      <c r="A21" s="1110"/>
      <c r="B21" s="1108" t="s">
        <v>4437</v>
      </c>
      <c r="C21" s="1108" t="s">
        <v>4416</v>
      </c>
      <c r="D21" s="1108" t="s">
        <v>4450</v>
      </c>
      <c r="E21" s="1108" t="s">
        <v>4451</v>
      </c>
      <c r="F21" s="1109">
        <v>0.1</v>
      </c>
      <c r="G21" s="1109">
        <v>0.0</v>
      </c>
      <c r="H21" s="1110"/>
    </row>
    <row r="22" ht="18.75" customHeight="1">
      <c r="A22" s="1110"/>
      <c r="B22" s="1108" t="s">
        <v>4437</v>
      </c>
      <c r="C22" s="1108" t="s">
        <v>4416</v>
      </c>
      <c r="D22" s="1108" t="s">
        <v>4452</v>
      </c>
      <c r="E22" s="1108" t="s">
        <v>4453</v>
      </c>
      <c r="F22" s="1109">
        <v>0.1</v>
      </c>
      <c r="G22" s="1109">
        <v>0.0</v>
      </c>
      <c r="H22" s="1110"/>
    </row>
    <row r="23" ht="18.75" customHeight="1">
      <c r="A23" s="1110"/>
      <c r="B23" s="1108" t="s">
        <v>4437</v>
      </c>
      <c r="C23" s="1108" t="s">
        <v>4416</v>
      </c>
      <c r="D23" s="1108" t="s">
        <v>4454</v>
      </c>
      <c r="E23" s="1108" t="s">
        <v>4455</v>
      </c>
      <c r="F23" s="1109">
        <v>0.1</v>
      </c>
      <c r="G23" s="1109">
        <v>0.0</v>
      </c>
      <c r="H23" s="1110"/>
    </row>
    <row r="24" ht="18.75" customHeight="1">
      <c r="A24" s="1110"/>
      <c r="B24" s="1108" t="s">
        <v>4437</v>
      </c>
      <c r="C24" s="1108" t="s">
        <v>4416</v>
      </c>
      <c r="D24" s="1108" t="s">
        <v>4456</v>
      </c>
      <c r="E24" s="1108" t="s">
        <v>4457</v>
      </c>
      <c r="F24" s="1109">
        <v>0.1</v>
      </c>
      <c r="G24" s="1109">
        <v>0.0</v>
      </c>
      <c r="H24" s="1110"/>
    </row>
  </sheetData>
  <mergeCells count="1">
    <mergeCell ref="A1:H2"/>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2.63" defaultRowHeight="15.75"/>
  <cols>
    <col customWidth="1" min="1" max="1" width="5.5"/>
    <col customWidth="1" min="2" max="2" width="21.38"/>
    <col customWidth="1" min="3" max="3" width="20.0"/>
    <col customWidth="1" min="4" max="4" width="23.38"/>
    <col customWidth="1" min="5" max="5" width="55.38"/>
    <col customWidth="1" min="6" max="6" width="16.0"/>
    <col customWidth="1" min="7" max="7" width="11.38"/>
    <col customWidth="1" min="8" max="9" width="16.25"/>
    <col customWidth="1" min="10" max="10" width="5.38"/>
  </cols>
  <sheetData>
    <row r="1" ht="12.75" customHeight="1">
      <c r="A1" s="1104" t="s">
        <v>4458</v>
      </c>
      <c r="B1" s="456"/>
      <c r="C1" s="456"/>
      <c r="D1" s="456"/>
      <c r="E1" s="456"/>
      <c r="F1" s="456"/>
      <c r="G1" s="456"/>
      <c r="H1" s="456"/>
      <c r="I1" s="456"/>
      <c r="J1" s="457"/>
    </row>
    <row r="2" ht="12.75" customHeight="1">
      <c r="A2" s="435"/>
      <c r="B2" s="418"/>
      <c r="C2" s="418"/>
      <c r="D2" s="418"/>
      <c r="E2" s="418"/>
      <c r="F2" s="418"/>
      <c r="G2" s="418"/>
      <c r="H2" s="418"/>
      <c r="I2" s="418"/>
      <c r="J2" s="419"/>
    </row>
    <row r="3" ht="12.75" customHeight="1">
      <c r="A3" s="1110"/>
      <c r="B3" s="1111"/>
      <c r="C3" s="1110"/>
      <c r="D3" s="1110"/>
      <c r="E3" s="1110"/>
      <c r="F3" s="1110"/>
      <c r="G3" s="1110"/>
      <c r="H3" s="1110"/>
      <c r="I3" s="1110"/>
      <c r="J3" s="1110"/>
    </row>
    <row r="4" ht="21.0" customHeight="1">
      <c r="A4" s="1110"/>
      <c r="B4" s="1112" t="s">
        <v>1279</v>
      </c>
      <c r="C4" s="1106" t="s">
        <v>1280</v>
      </c>
      <c r="D4" s="1106" t="s">
        <v>1281</v>
      </c>
      <c r="E4" s="1113" t="s">
        <v>1282</v>
      </c>
      <c r="F4" s="1106" t="s">
        <v>1283</v>
      </c>
      <c r="G4" s="1106" t="s">
        <v>1284</v>
      </c>
      <c r="H4" s="1114" t="s">
        <v>68</v>
      </c>
      <c r="I4" s="1114" t="s">
        <v>70</v>
      </c>
      <c r="J4" s="1110"/>
    </row>
    <row r="5" ht="18.75" customHeight="1">
      <c r="A5" s="1110"/>
      <c r="B5" s="1115" t="s">
        <v>4459</v>
      </c>
      <c r="C5" s="1108" t="s">
        <v>4460</v>
      </c>
      <c r="D5" s="1108" t="s">
        <v>4461</v>
      </c>
      <c r="E5" s="1116" t="s">
        <v>4462</v>
      </c>
      <c r="F5" s="1117">
        <v>0.1</v>
      </c>
      <c r="G5" s="1109">
        <v>0.0</v>
      </c>
      <c r="H5" s="1116"/>
      <c r="I5" s="1118" t="str">
        <f t="shared" ref="I5:I1692" si="1">IF(ISBLANK(H5),,ROUND(H5/(1+F5),-1))</f>
        <v/>
      </c>
      <c r="J5" s="1110"/>
    </row>
    <row r="6" ht="18.75" customHeight="1">
      <c r="A6" s="1110"/>
      <c r="B6" s="1115" t="s">
        <v>4459</v>
      </c>
      <c r="C6" s="1108" t="s">
        <v>4460</v>
      </c>
      <c r="D6" s="1108" t="s">
        <v>4463</v>
      </c>
      <c r="E6" s="1116" t="s">
        <v>4464</v>
      </c>
      <c r="F6" s="1117">
        <v>0.1</v>
      </c>
      <c r="G6" s="1109">
        <v>0.0</v>
      </c>
      <c r="H6" s="1116"/>
      <c r="I6" s="1118" t="str">
        <f t="shared" si="1"/>
        <v/>
      </c>
      <c r="J6" s="1110"/>
    </row>
    <row r="7" ht="18.75" customHeight="1">
      <c r="A7" s="1110"/>
      <c r="B7" s="1115" t="s">
        <v>4459</v>
      </c>
      <c r="C7" s="1108" t="s">
        <v>4460</v>
      </c>
      <c r="D7" s="1108" t="s">
        <v>4465</v>
      </c>
      <c r="E7" s="1116" t="s">
        <v>4466</v>
      </c>
      <c r="F7" s="1117">
        <v>0.1</v>
      </c>
      <c r="G7" s="1109">
        <v>0.0</v>
      </c>
      <c r="H7" s="1116"/>
      <c r="I7" s="1118" t="str">
        <f t="shared" si="1"/>
        <v/>
      </c>
      <c r="J7" s="1110"/>
    </row>
    <row r="8" ht="18.75" customHeight="1">
      <c r="A8" s="1110"/>
      <c r="B8" s="1115" t="s">
        <v>4459</v>
      </c>
      <c r="C8" s="1108" t="s">
        <v>4460</v>
      </c>
      <c r="D8" s="1108" t="s">
        <v>4467</v>
      </c>
      <c r="E8" s="1116" t="s">
        <v>4468</v>
      </c>
      <c r="F8" s="1117">
        <v>0.1</v>
      </c>
      <c r="G8" s="1109">
        <v>0.0</v>
      </c>
      <c r="H8" s="1118">
        <v>15000.0</v>
      </c>
      <c r="I8" s="1118">
        <f t="shared" si="1"/>
        <v>13640</v>
      </c>
      <c r="J8" s="1110"/>
    </row>
    <row r="9" ht="18.75" customHeight="1">
      <c r="A9" s="1110"/>
      <c r="B9" s="1115" t="s">
        <v>4459</v>
      </c>
      <c r="C9" s="1108" t="s">
        <v>4460</v>
      </c>
      <c r="D9" s="1108" t="s">
        <v>4469</v>
      </c>
      <c r="E9" s="1116" t="s">
        <v>4470</v>
      </c>
      <c r="F9" s="1117">
        <v>0.1</v>
      </c>
      <c r="G9" s="1109">
        <v>0.0</v>
      </c>
      <c r="H9" s="1116"/>
      <c r="I9" s="1118" t="str">
        <f t="shared" si="1"/>
        <v/>
      </c>
      <c r="J9" s="1110"/>
    </row>
    <row r="10" ht="18.75" customHeight="1">
      <c r="A10" s="1110"/>
      <c r="B10" s="1115" t="s">
        <v>4459</v>
      </c>
      <c r="C10" s="1108" t="s">
        <v>4460</v>
      </c>
      <c r="D10" s="1108" t="s">
        <v>4471</v>
      </c>
      <c r="E10" s="1116" t="s">
        <v>4472</v>
      </c>
      <c r="F10" s="1117">
        <v>0.1</v>
      </c>
      <c r="G10" s="1109">
        <v>0.0</v>
      </c>
      <c r="H10" s="1116"/>
      <c r="I10" s="1118" t="str">
        <f t="shared" si="1"/>
        <v/>
      </c>
      <c r="J10" s="1110"/>
    </row>
    <row r="11" ht="18.75" customHeight="1">
      <c r="A11" s="1110"/>
      <c r="B11" s="1115" t="s">
        <v>4459</v>
      </c>
      <c r="C11" s="1108" t="s">
        <v>4460</v>
      </c>
      <c r="D11" s="1108" t="s">
        <v>4473</v>
      </c>
      <c r="E11" s="1116" t="s">
        <v>4474</v>
      </c>
      <c r="F11" s="1117">
        <v>0.1</v>
      </c>
      <c r="G11" s="1109">
        <v>0.0</v>
      </c>
      <c r="H11" s="1116"/>
      <c r="I11" s="1118" t="str">
        <f t="shared" si="1"/>
        <v/>
      </c>
      <c r="J11" s="1110"/>
    </row>
    <row r="12" ht="18.75" customHeight="1">
      <c r="A12" s="1110"/>
      <c r="B12" s="1115" t="s">
        <v>4459</v>
      </c>
      <c r="C12" s="1108" t="s">
        <v>4460</v>
      </c>
      <c r="D12" s="1108" t="s">
        <v>4475</v>
      </c>
      <c r="E12" s="1116" t="s">
        <v>4476</v>
      </c>
      <c r="F12" s="1117">
        <v>0.1</v>
      </c>
      <c r="G12" s="1109">
        <v>0.0</v>
      </c>
      <c r="H12" s="1116"/>
      <c r="I12" s="1118" t="str">
        <f t="shared" si="1"/>
        <v/>
      </c>
      <c r="J12" s="1110"/>
    </row>
    <row r="13" ht="18.75" customHeight="1">
      <c r="A13" s="1110"/>
      <c r="B13" s="1115" t="s">
        <v>4459</v>
      </c>
      <c r="C13" s="1108" t="s">
        <v>4460</v>
      </c>
      <c r="D13" s="1108" t="s">
        <v>4477</v>
      </c>
      <c r="E13" s="1116" t="s">
        <v>4478</v>
      </c>
      <c r="F13" s="1117">
        <v>0.1</v>
      </c>
      <c r="G13" s="1109">
        <v>0.0</v>
      </c>
      <c r="H13" s="1116"/>
      <c r="I13" s="1118" t="str">
        <f t="shared" si="1"/>
        <v/>
      </c>
      <c r="J13" s="1110"/>
    </row>
    <row r="14" ht="18.75" customHeight="1">
      <c r="A14" s="1110"/>
      <c r="B14" s="1115" t="s">
        <v>4459</v>
      </c>
      <c r="C14" s="1108" t="s">
        <v>4460</v>
      </c>
      <c r="D14" s="1108" t="s">
        <v>4479</v>
      </c>
      <c r="E14" s="1116" t="s">
        <v>4480</v>
      </c>
      <c r="F14" s="1117">
        <v>0.1</v>
      </c>
      <c r="G14" s="1109">
        <v>0.0</v>
      </c>
      <c r="H14" s="1116"/>
      <c r="I14" s="1118" t="str">
        <f t="shared" si="1"/>
        <v/>
      </c>
      <c r="J14" s="1110"/>
    </row>
    <row r="15" ht="18.75" customHeight="1">
      <c r="A15" s="1110"/>
      <c r="B15" s="1115" t="s">
        <v>4459</v>
      </c>
      <c r="C15" s="1108" t="s">
        <v>4460</v>
      </c>
      <c r="D15" s="1108" t="s">
        <v>4481</v>
      </c>
      <c r="E15" s="1116" t="s">
        <v>4482</v>
      </c>
      <c r="F15" s="1117">
        <v>0.1</v>
      </c>
      <c r="G15" s="1109">
        <v>0.0</v>
      </c>
      <c r="H15" s="1116"/>
      <c r="I15" s="1118" t="str">
        <f t="shared" si="1"/>
        <v/>
      </c>
      <c r="J15" s="1110"/>
    </row>
    <row r="16" ht="18.75" customHeight="1">
      <c r="A16" s="1110"/>
      <c r="B16" s="1115" t="s">
        <v>4459</v>
      </c>
      <c r="C16" s="1108" t="s">
        <v>4460</v>
      </c>
      <c r="D16" s="1108" t="s">
        <v>4483</v>
      </c>
      <c r="E16" s="1116" t="s">
        <v>4484</v>
      </c>
      <c r="F16" s="1117">
        <v>0.1</v>
      </c>
      <c r="G16" s="1109">
        <v>0.0</v>
      </c>
      <c r="H16" s="1118">
        <v>7000.0</v>
      </c>
      <c r="I16" s="1118">
        <f t="shared" si="1"/>
        <v>6360</v>
      </c>
      <c r="J16" s="1110"/>
    </row>
    <row r="17" ht="18.75" customHeight="1">
      <c r="A17" s="1110"/>
      <c r="B17" s="1115" t="s">
        <v>4459</v>
      </c>
      <c r="C17" s="1108" t="s">
        <v>4460</v>
      </c>
      <c r="D17" s="1108" t="s">
        <v>4485</v>
      </c>
      <c r="E17" s="1116" t="s">
        <v>4486</v>
      </c>
      <c r="F17" s="1117">
        <v>0.1</v>
      </c>
      <c r="G17" s="1109">
        <v>0.0</v>
      </c>
      <c r="H17" s="1118">
        <v>7000.0</v>
      </c>
      <c r="I17" s="1118">
        <f t="shared" si="1"/>
        <v>6360</v>
      </c>
      <c r="J17" s="1110"/>
    </row>
    <row r="18" ht="18.75" customHeight="1">
      <c r="A18" s="1110"/>
      <c r="B18" s="1115" t="s">
        <v>4459</v>
      </c>
      <c r="C18" s="1108" t="s">
        <v>4460</v>
      </c>
      <c r="D18" s="1108" t="s">
        <v>4487</v>
      </c>
      <c r="E18" s="1116" t="s">
        <v>4488</v>
      </c>
      <c r="F18" s="1117">
        <v>0.1</v>
      </c>
      <c r="G18" s="1109">
        <v>0.0</v>
      </c>
      <c r="H18" s="1118">
        <v>7500.0</v>
      </c>
      <c r="I18" s="1118">
        <f t="shared" si="1"/>
        <v>6820</v>
      </c>
      <c r="J18" s="1110"/>
    </row>
    <row r="19" ht="18.75" customHeight="1">
      <c r="A19" s="1110"/>
      <c r="B19" s="1115" t="s">
        <v>4459</v>
      </c>
      <c r="C19" s="1108" t="s">
        <v>4460</v>
      </c>
      <c r="D19" s="1108" t="s">
        <v>4489</v>
      </c>
      <c r="E19" s="1116" t="s">
        <v>4490</v>
      </c>
      <c r="F19" s="1117">
        <v>0.1</v>
      </c>
      <c r="G19" s="1109">
        <v>0.0</v>
      </c>
      <c r="H19" s="1118">
        <v>7500.0</v>
      </c>
      <c r="I19" s="1118">
        <f t="shared" si="1"/>
        <v>6820</v>
      </c>
      <c r="J19" s="1110"/>
    </row>
    <row r="20" ht="18.75" customHeight="1">
      <c r="A20" s="1110"/>
      <c r="B20" s="1115" t="s">
        <v>4459</v>
      </c>
      <c r="C20" s="1108" t="s">
        <v>4491</v>
      </c>
      <c r="D20" s="1108" t="s">
        <v>4492</v>
      </c>
      <c r="E20" s="1116" t="s">
        <v>4493</v>
      </c>
      <c r="F20" s="1117">
        <v>0.1</v>
      </c>
      <c r="G20" s="1109">
        <v>0.0</v>
      </c>
      <c r="H20" s="1118">
        <v>8900.0</v>
      </c>
      <c r="I20" s="1118">
        <f t="shared" si="1"/>
        <v>8090</v>
      </c>
      <c r="J20" s="1110"/>
    </row>
    <row r="21" ht="18.75" customHeight="1">
      <c r="A21" s="1110"/>
      <c r="B21" s="1115" t="s">
        <v>4459</v>
      </c>
      <c r="C21" s="1108" t="s">
        <v>4491</v>
      </c>
      <c r="D21" s="1108" t="s">
        <v>4494</v>
      </c>
      <c r="E21" s="1116" t="s">
        <v>4495</v>
      </c>
      <c r="F21" s="1117">
        <v>0.1</v>
      </c>
      <c r="G21" s="1109">
        <v>0.0</v>
      </c>
      <c r="H21" s="1118">
        <v>8900.0</v>
      </c>
      <c r="I21" s="1118">
        <f t="shared" si="1"/>
        <v>8090</v>
      </c>
      <c r="J21" s="1110"/>
    </row>
    <row r="22" ht="18.75" customHeight="1">
      <c r="A22" s="1110"/>
      <c r="B22" s="1115" t="s">
        <v>4459</v>
      </c>
      <c r="C22" s="1108" t="s">
        <v>4496</v>
      </c>
      <c r="D22" s="1108" t="s">
        <v>4497</v>
      </c>
      <c r="E22" s="1116" t="s">
        <v>4498</v>
      </c>
      <c r="F22" s="1117">
        <v>0.1</v>
      </c>
      <c r="G22" s="1109">
        <v>0.0</v>
      </c>
      <c r="H22" s="1118">
        <v>8900.0</v>
      </c>
      <c r="I22" s="1118">
        <f t="shared" si="1"/>
        <v>8090</v>
      </c>
      <c r="J22" s="1110"/>
    </row>
    <row r="23" ht="18.75" customHeight="1">
      <c r="A23" s="1110"/>
      <c r="B23" s="1115" t="s">
        <v>4459</v>
      </c>
      <c r="C23" s="1108" t="s">
        <v>4460</v>
      </c>
      <c r="D23" s="1108" t="s">
        <v>4499</v>
      </c>
      <c r="E23" s="1116" t="s">
        <v>4500</v>
      </c>
      <c r="F23" s="1117">
        <v>0.1</v>
      </c>
      <c r="G23" s="1109">
        <v>0.0</v>
      </c>
      <c r="H23" s="1118">
        <v>8900.0</v>
      </c>
      <c r="I23" s="1118">
        <f t="shared" si="1"/>
        <v>8090</v>
      </c>
      <c r="J23" s="1110"/>
    </row>
    <row r="24" ht="18.75" customHeight="1">
      <c r="A24" s="1110"/>
      <c r="B24" s="1115" t="s">
        <v>4459</v>
      </c>
      <c r="C24" s="1108" t="s">
        <v>4460</v>
      </c>
      <c r="D24" s="1108" t="s">
        <v>4501</v>
      </c>
      <c r="E24" s="1116" t="s">
        <v>4502</v>
      </c>
      <c r="F24" s="1117">
        <v>0.1</v>
      </c>
      <c r="G24" s="1109">
        <v>0.0</v>
      </c>
      <c r="H24" s="1118">
        <v>8900.0</v>
      </c>
      <c r="I24" s="1118">
        <f t="shared" si="1"/>
        <v>8090</v>
      </c>
      <c r="J24" s="1110"/>
    </row>
    <row r="25" ht="18.75" customHeight="1">
      <c r="A25" s="1110"/>
      <c r="B25" s="1115" t="s">
        <v>4459</v>
      </c>
      <c r="C25" s="1108" t="s">
        <v>4460</v>
      </c>
      <c r="D25" s="1108" t="s">
        <v>4503</v>
      </c>
      <c r="E25" s="1116" t="s">
        <v>4504</v>
      </c>
      <c r="F25" s="1117">
        <v>0.1</v>
      </c>
      <c r="G25" s="1109">
        <v>0.0</v>
      </c>
      <c r="H25" s="1118">
        <v>9400.0</v>
      </c>
      <c r="I25" s="1118">
        <f t="shared" si="1"/>
        <v>8550</v>
      </c>
      <c r="J25" s="1110"/>
    </row>
    <row r="26" ht="18.75" customHeight="1">
      <c r="A26" s="1110"/>
      <c r="B26" s="1115" t="s">
        <v>4459</v>
      </c>
      <c r="C26" s="1108" t="s">
        <v>4460</v>
      </c>
      <c r="D26" s="1108" t="s">
        <v>4505</v>
      </c>
      <c r="E26" s="1116" t="s">
        <v>4506</v>
      </c>
      <c r="F26" s="1117">
        <v>0.1</v>
      </c>
      <c r="G26" s="1109">
        <v>0.0</v>
      </c>
      <c r="H26" s="1118">
        <v>9400.0</v>
      </c>
      <c r="I26" s="1118">
        <f t="shared" si="1"/>
        <v>8550</v>
      </c>
      <c r="J26" s="1110"/>
    </row>
    <row r="27" ht="18.75" customHeight="1">
      <c r="A27" s="1110"/>
      <c r="B27" s="1115" t="s">
        <v>4459</v>
      </c>
      <c r="C27" s="1108" t="s">
        <v>4460</v>
      </c>
      <c r="D27" s="1108" t="s">
        <v>4507</v>
      </c>
      <c r="E27" s="1116" t="s">
        <v>4508</v>
      </c>
      <c r="F27" s="1117">
        <v>0.1</v>
      </c>
      <c r="G27" s="1109">
        <v>0.0</v>
      </c>
      <c r="H27" s="1118">
        <v>11200.0</v>
      </c>
      <c r="I27" s="1118">
        <f t="shared" si="1"/>
        <v>10180</v>
      </c>
      <c r="J27" s="1110"/>
    </row>
    <row r="28" ht="18.75" customHeight="1">
      <c r="A28" s="1110"/>
      <c r="B28" s="1115" t="s">
        <v>4459</v>
      </c>
      <c r="C28" s="1108" t="s">
        <v>4460</v>
      </c>
      <c r="D28" s="1108" t="s">
        <v>4509</v>
      </c>
      <c r="E28" s="1116" t="s">
        <v>4510</v>
      </c>
      <c r="F28" s="1117">
        <v>0.1</v>
      </c>
      <c r="G28" s="1109">
        <v>0.0</v>
      </c>
      <c r="H28" s="1118">
        <v>11200.0</v>
      </c>
      <c r="I28" s="1118">
        <f t="shared" si="1"/>
        <v>10180</v>
      </c>
      <c r="J28" s="1110"/>
    </row>
    <row r="29" ht="18.75" customHeight="1">
      <c r="A29" s="1110"/>
      <c r="B29" s="1115" t="s">
        <v>4459</v>
      </c>
      <c r="C29" s="1108" t="s">
        <v>4491</v>
      </c>
      <c r="D29" s="1108" t="s">
        <v>4511</v>
      </c>
      <c r="E29" s="1116" t="s">
        <v>4512</v>
      </c>
      <c r="F29" s="1117">
        <v>0.1</v>
      </c>
      <c r="G29" s="1109">
        <v>0.0</v>
      </c>
      <c r="H29" s="1118">
        <v>11200.0</v>
      </c>
      <c r="I29" s="1118">
        <f t="shared" si="1"/>
        <v>10180</v>
      </c>
      <c r="J29" s="1110"/>
    </row>
    <row r="30" ht="18.75" customHeight="1">
      <c r="A30" s="1110"/>
      <c r="B30" s="1115" t="s">
        <v>4459</v>
      </c>
      <c r="C30" s="1108" t="s">
        <v>4491</v>
      </c>
      <c r="D30" s="1108" t="s">
        <v>4513</v>
      </c>
      <c r="E30" s="1116" t="s">
        <v>4514</v>
      </c>
      <c r="F30" s="1117">
        <v>0.1</v>
      </c>
      <c r="G30" s="1109">
        <v>0.0</v>
      </c>
      <c r="H30" s="1118">
        <v>14000.0</v>
      </c>
      <c r="I30" s="1118">
        <f t="shared" si="1"/>
        <v>12730</v>
      </c>
      <c r="J30" s="1110"/>
    </row>
    <row r="31" ht="18.75" customHeight="1">
      <c r="A31" s="1110"/>
      <c r="B31" s="1115" t="s">
        <v>4459</v>
      </c>
      <c r="C31" s="1108" t="s">
        <v>4491</v>
      </c>
      <c r="D31" s="1108" t="s">
        <v>4515</v>
      </c>
      <c r="E31" s="1116" t="s">
        <v>4516</v>
      </c>
      <c r="F31" s="1117">
        <v>0.1</v>
      </c>
      <c r="G31" s="1109">
        <v>0.0</v>
      </c>
      <c r="H31" s="1118">
        <v>14000.0</v>
      </c>
      <c r="I31" s="1118">
        <f t="shared" si="1"/>
        <v>12730</v>
      </c>
      <c r="J31" s="1110"/>
    </row>
    <row r="32" ht="18.75" customHeight="1">
      <c r="A32" s="1110"/>
      <c r="B32" s="1115" t="s">
        <v>4459</v>
      </c>
      <c r="C32" s="1108" t="s">
        <v>4460</v>
      </c>
      <c r="D32" s="1108" t="s">
        <v>4517</v>
      </c>
      <c r="E32" s="1116" t="s">
        <v>4518</v>
      </c>
      <c r="F32" s="1117">
        <v>0.1</v>
      </c>
      <c r="G32" s="1109">
        <v>0.0</v>
      </c>
      <c r="H32" s="1118">
        <v>15000.0</v>
      </c>
      <c r="I32" s="1118">
        <f t="shared" si="1"/>
        <v>13640</v>
      </c>
      <c r="J32" s="1110"/>
    </row>
    <row r="33" ht="18.75" customHeight="1">
      <c r="A33" s="1110"/>
      <c r="B33" s="1115" t="s">
        <v>4459</v>
      </c>
      <c r="C33" s="1108" t="s">
        <v>4491</v>
      </c>
      <c r="D33" s="1108" t="s">
        <v>4519</v>
      </c>
      <c r="E33" s="1116" t="s">
        <v>4520</v>
      </c>
      <c r="F33" s="1117">
        <v>0.1</v>
      </c>
      <c r="G33" s="1109">
        <v>0.0</v>
      </c>
      <c r="H33" s="1118">
        <v>15900.0</v>
      </c>
      <c r="I33" s="1118">
        <f t="shared" si="1"/>
        <v>14450</v>
      </c>
      <c r="J33" s="1110"/>
    </row>
    <row r="34" ht="18.75" customHeight="1">
      <c r="A34" s="1110"/>
      <c r="B34" s="1115" t="s">
        <v>4459</v>
      </c>
      <c r="C34" s="1108" t="s">
        <v>4460</v>
      </c>
      <c r="D34" s="1108" t="s">
        <v>4521</v>
      </c>
      <c r="E34" s="1116" t="s">
        <v>4522</v>
      </c>
      <c r="F34" s="1117">
        <v>0.1</v>
      </c>
      <c r="G34" s="1109">
        <v>0.0</v>
      </c>
      <c r="H34" s="1118">
        <v>17800.0</v>
      </c>
      <c r="I34" s="1118">
        <f t="shared" si="1"/>
        <v>16180</v>
      </c>
      <c r="J34" s="1110"/>
    </row>
    <row r="35" ht="18.75" customHeight="1">
      <c r="A35" s="1110"/>
      <c r="B35" s="1115" t="s">
        <v>4459</v>
      </c>
      <c r="C35" s="1108" t="s">
        <v>4496</v>
      </c>
      <c r="D35" s="1108" t="s">
        <v>4523</v>
      </c>
      <c r="E35" s="1116" t="s">
        <v>4524</v>
      </c>
      <c r="F35" s="1117">
        <v>0.1</v>
      </c>
      <c r="G35" s="1109">
        <v>0.0</v>
      </c>
      <c r="H35" s="1118">
        <v>18700.0</v>
      </c>
      <c r="I35" s="1118">
        <f t="shared" si="1"/>
        <v>17000</v>
      </c>
      <c r="J35" s="1110"/>
    </row>
    <row r="36" ht="18.75" customHeight="1">
      <c r="A36" s="1110"/>
      <c r="B36" s="1115" t="s">
        <v>4459</v>
      </c>
      <c r="C36" s="1108" t="s">
        <v>4491</v>
      </c>
      <c r="D36" s="1108" t="s">
        <v>4525</v>
      </c>
      <c r="E36" s="1116" t="s">
        <v>4526</v>
      </c>
      <c r="F36" s="1117">
        <v>0.1</v>
      </c>
      <c r="G36" s="1109">
        <v>0.0</v>
      </c>
      <c r="H36" s="1118">
        <v>21500.0</v>
      </c>
      <c r="I36" s="1118">
        <f t="shared" si="1"/>
        <v>19550</v>
      </c>
      <c r="J36" s="1110"/>
    </row>
    <row r="37" ht="18.75" customHeight="1">
      <c r="A37" s="1110"/>
      <c r="B37" s="1115" t="s">
        <v>4459</v>
      </c>
      <c r="C37" s="1108" t="s">
        <v>4491</v>
      </c>
      <c r="D37" s="1108" t="s">
        <v>4527</v>
      </c>
      <c r="E37" s="1116" t="s">
        <v>4528</v>
      </c>
      <c r="F37" s="1117">
        <v>0.1</v>
      </c>
      <c r="G37" s="1109">
        <v>0.0</v>
      </c>
      <c r="H37" s="1118">
        <v>24300.0</v>
      </c>
      <c r="I37" s="1118">
        <f t="shared" si="1"/>
        <v>22090</v>
      </c>
      <c r="J37" s="1110"/>
    </row>
    <row r="38" ht="18.75" customHeight="1">
      <c r="A38" s="1110"/>
      <c r="B38" s="1115" t="s">
        <v>4459</v>
      </c>
      <c r="C38" s="1108" t="s">
        <v>4496</v>
      </c>
      <c r="D38" s="1108" t="s">
        <v>4529</v>
      </c>
      <c r="E38" s="1116" t="s">
        <v>4530</v>
      </c>
      <c r="F38" s="1117">
        <v>0.1</v>
      </c>
      <c r="G38" s="1109">
        <v>0.0</v>
      </c>
      <c r="H38" s="1118">
        <v>26200.0</v>
      </c>
      <c r="I38" s="1118">
        <f t="shared" si="1"/>
        <v>23820</v>
      </c>
      <c r="J38" s="1110"/>
    </row>
    <row r="39" ht="18.75" customHeight="1">
      <c r="A39" s="1110"/>
      <c r="B39" s="1115" t="s">
        <v>4459</v>
      </c>
      <c r="C39" s="1108" t="s">
        <v>4496</v>
      </c>
      <c r="D39" s="1108" t="s">
        <v>4531</v>
      </c>
      <c r="E39" s="1116" t="s">
        <v>4532</v>
      </c>
      <c r="F39" s="1117">
        <v>0.1</v>
      </c>
      <c r="G39" s="1109">
        <v>0.0</v>
      </c>
      <c r="H39" s="1118">
        <v>28100.0</v>
      </c>
      <c r="I39" s="1118">
        <f t="shared" si="1"/>
        <v>25550</v>
      </c>
      <c r="J39" s="1110"/>
    </row>
    <row r="40" ht="18.75" customHeight="1">
      <c r="A40" s="1110"/>
      <c r="B40" s="1115" t="s">
        <v>4459</v>
      </c>
      <c r="C40" s="1108" t="s">
        <v>4496</v>
      </c>
      <c r="D40" s="1108" t="s">
        <v>4533</v>
      </c>
      <c r="E40" s="1116" t="s">
        <v>4534</v>
      </c>
      <c r="F40" s="1117">
        <v>0.1</v>
      </c>
      <c r="G40" s="1109">
        <v>0.0</v>
      </c>
      <c r="H40" s="1118">
        <v>28100.0</v>
      </c>
      <c r="I40" s="1118">
        <f t="shared" si="1"/>
        <v>25550</v>
      </c>
      <c r="J40" s="1110"/>
    </row>
    <row r="41" ht="18.75" customHeight="1">
      <c r="A41" s="1110"/>
      <c r="B41" s="1115" t="s">
        <v>4459</v>
      </c>
      <c r="C41" s="1108" t="s">
        <v>4496</v>
      </c>
      <c r="D41" s="1108" t="s">
        <v>4535</v>
      </c>
      <c r="E41" s="1116" t="s">
        <v>4536</v>
      </c>
      <c r="F41" s="1117">
        <v>0.1</v>
      </c>
      <c r="G41" s="1109">
        <v>0.0</v>
      </c>
      <c r="H41" s="1116"/>
      <c r="I41" s="1118" t="str">
        <f t="shared" si="1"/>
        <v/>
      </c>
      <c r="J41" s="1110"/>
    </row>
    <row r="42" ht="18.75" customHeight="1">
      <c r="A42" s="1110"/>
      <c r="B42" s="1115" t="s">
        <v>4459</v>
      </c>
      <c r="C42" s="1108" t="s">
        <v>4491</v>
      </c>
      <c r="D42" s="1108" t="s">
        <v>4537</v>
      </c>
      <c r="E42" s="1116" t="s">
        <v>4538</v>
      </c>
      <c r="F42" s="1117">
        <v>0.1</v>
      </c>
      <c r="G42" s="1109">
        <v>0.0</v>
      </c>
      <c r="H42" s="1118">
        <v>30900.0</v>
      </c>
      <c r="I42" s="1118">
        <f t="shared" si="1"/>
        <v>28090</v>
      </c>
      <c r="J42" s="1110"/>
    </row>
    <row r="43" ht="18.75" customHeight="1">
      <c r="A43" s="1110"/>
      <c r="B43" s="1115" t="s">
        <v>4459</v>
      </c>
      <c r="C43" s="1108" t="s">
        <v>4491</v>
      </c>
      <c r="D43" s="1108" t="s">
        <v>4539</v>
      </c>
      <c r="E43" s="1116" t="s">
        <v>4540</v>
      </c>
      <c r="F43" s="1117">
        <v>0.1</v>
      </c>
      <c r="G43" s="1109">
        <v>0.0</v>
      </c>
      <c r="H43" s="1116"/>
      <c r="I43" s="1118" t="str">
        <f t="shared" si="1"/>
        <v/>
      </c>
      <c r="J43" s="1110"/>
    </row>
    <row r="44" ht="18.75" customHeight="1">
      <c r="A44" s="1110"/>
      <c r="B44" s="1115" t="s">
        <v>4459</v>
      </c>
      <c r="C44" s="1108" t="s">
        <v>4496</v>
      </c>
      <c r="D44" s="1108" t="s">
        <v>4541</v>
      </c>
      <c r="E44" s="1116" t="s">
        <v>4542</v>
      </c>
      <c r="F44" s="1117">
        <v>0.1</v>
      </c>
      <c r="G44" s="1109">
        <v>0.0</v>
      </c>
      <c r="H44" s="1118">
        <v>36500.0</v>
      </c>
      <c r="I44" s="1118">
        <f t="shared" si="1"/>
        <v>33180</v>
      </c>
      <c r="J44" s="1110"/>
    </row>
    <row r="45" ht="18.75" customHeight="1">
      <c r="A45" s="1110"/>
      <c r="B45" s="1115" t="s">
        <v>4459</v>
      </c>
      <c r="C45" s="1108" t="s">
        <v>4496</v>
      </c>
      <c r="D45" s="1108" t="s">
        <v>4543</v>
      </c>
      <c r="E45" s="1116" t="s">
        <v>4544</v>
      </c>
      <c r="F45" s="1117">
        <v>0.1</v>
      </c>
      <c r="G45" s="1109">
        <v>0.0</v>
      </c>
      <c r="H45" s="1118">
        <v>36500.0</v>
      </c>
      <c r="I45" s="1118">
        <f t="shared" si="1"/>
        <v>33180</v>
      </c>
      <c r="J45" s="1110"/>
    </row>
    <row r="46" ht="18.75" customHeight="1">
      <c r="A46" s="1110"/>
      <c r="B46" s="1115" t="s">
        <v>4459</v>
      </c>
      <c r="C46" s="1108" t="s">
        <v>4496</v>
      </c>
      <c r="D46" s="1108" t="s">
        <v>4545</v>
      </c>
      <c r="E46" s="1116" t="s">
        <v>4546</v>
      </c>
      <c r="F46" s="1117">
        <v>0.1</v>
      </c>
      <c r="G46" s="1109">
        <v>0.0</v>
      </c>
      <c r="H46" s="1118">
        <v>39300.0</v>
      </c>
      <c r="I46" s="1118">
        <f t="shared" si="1"/>
        <v>35730</v>
      </c>
      <c r="J46" s="1110"/>
    </row>
    <row r="47" ht="18.75" customHeight="1">
      <c r="A47" s="1110"/>
      <c r="B47" s="1115" t="s">
        <v>4459</v>
      </c>
      <c r="C47" s="1108" t="s">
        <v>4496</v>
      </c>
      <c r="D47" s="1108" t="s">
        <v>4547</v>
      </c>
      <c r="E47" s="1116" t="s">
        <v>4548</v>
      </c>
      <c r="F47" s="1117">
        <v>0.1</v>
      </c>
      <c r="G47" s="1109">
        <v>0.0</v>
      </c>
      <c r="H47" s="1118">
        <v>41100.0</v>
      </c>
      <c r="I47" s="1118">
        <f t="shared" si="1"/>
        <v>37360</v>
      </c>
      <c r="J47" s="1110"/>
    </row>
    <row r="48" ht="18.75" customHeight="1">
      <c r="A48" s="1110"/>
      <c r="B48" s="1115" t="s">
        <v>4459</v>
      </c>
      <c r="C48" s="1108" t="s">
        <v>4496</v>
      </c>
      <c r="D48" s="1108" t="s">
        <v>4549</v>
      </c>
      <c r="E48" s="1116" t="s">
        <v>4550</v>
      </c>
      <c r="F48" s="1117">
        <v>0.1</v>
      </c>
      <c r="G48" s="1109">
        <v>0.0</v>
      </c>
      <c r="H48" s="1118">
        <v>43000.0</v>
      </c>
      <c r="I48" s="1118">
        <f t="shared" si="1"/>
        <v>39090</v>
      </c>
      <c r="J48" s="1110"/>
    </row>
    <row r="49" ht="18.75" customHeight="1">
      <c r="A49" s="1110"/>
      <c r="B49" s="1115" t="s">
        <v>4459</v>
      </c>
      <c r="C49" s="1108" t="s">
        <v>4496</v>
      </c>
      <c r="D49" s="1108" t="s">
        <v>4551</v>
      </c>
      <c r="E49" s="1116" t="s">
        <v>4552</v>
      </c>
      <c r="F49" s="1117">
        <v>0.1</v>
      </c>
      <c r="G49" s="1109">
        <v>0.0</v>
      </c>
      <c r="H49" s="1118">
        <v>95400.0</v>
      </c>
      <c r="I49" s="1118">
        <f t="shared" si="1"/>
        <v>86730</v>
      </c>
      <c r="J49" s="1110"/>
    </row>
    <row r="50" ht="18.75" customHeight="1">
      <c r="A50" s="1110"/>
      <c r="B50" s="1115" t="s">
        <v>4459</v>
      </c>
      <c r="C50" s="1108" t="s">
        <v>4496</v>
      </c>
      <c r="D50" s="1108" t="s">
        <v>4553</v>
      </c>
      <c r="E50" s="1116" t="s">
        <v>4554</v>
      </c>
      <c r="F50" s="1117">
        <v>0.1</v>
      </c>
      <c r="G50" s="1109">
        <v>0.0</v>
      </c>
      <c r="H50" s="1118">
        <v>101000.0</v>
      </c>
      <c r="I50" s="1118">
        <f t="shared" si="1"/>
        <v>91820</v>
      </c>
      <c r="J50" s="1110"/>
    </row>
    <row r="51" ht="18.75" customHeight="1">
      <c r="A51" s="1110"/>
      <c r="B51" s="1115" t="s">
        <v>4459</v>
      </c>
      <c r="C51" s="1108" t="s">
        <v>4496</v>
      </c>
      <c r="D51" s="1108" t="s">
        <v>4555</v>
      </c>
      <c r="E51" s="1116" t="s">
        <v>4556</v>
      </c>
      <c r="F51" s="1117">
        <v>0.1</v>
      </c>
      <c r="G51" s="1109">
        <v>0.0</v>
      </c>
      <c r="H51" s="1118">
        <v>102900.0</v>
      </c>
      <c r="I51" s="1118">
        <f t="shared" si="1"/>
        <v>93550</v>
      </c>
      <c r="J51" s="1110"/>
    </row>
    <row r="52" ht="18.75" customHeight="1">
      <c r="A52" s="1110"/>
      <c r="B52" s="1115" t="s">
        <v>4459</v>
      </c>
      <c r="C52" s="1108" t="s">
        <v>4496</v>
      </c>
      <c r="D52" s="1108" t="s">
        <v>4557</v>
      </c>
      <c r="E52" s="1116" t="s">
        <v>4558</v>
      </c>
      <c r="F52" s="1117">
        <v>0.1</v>
      </c>
      <c r="G52" s="1109">
        <v>0.0</v>
      </c>
      <c r="H52" s="1118">
        <v>108500.0</v>
      </c>
      <c r="I52" s="1118">
        <f t="shared" si="1"/>
        <v>98640</v>
      </c>
      <c r="J52" s="1110"/>
    </row>
    <row r="53" ht="18.75" customHeight="1">
      <c r="A53" s="1110"/>
      <c r="B53" s="1115" t="s">
        <v>4459</v>
      </c>
      <c r="C53" s="1108" t="s">
        <v>4496</v>
      </c>
      <c r="D53" s="1108" t="s">
        <v>4559</v>
      </c>
      <c r="E53" s="1116" t="s">
        <v>4560</v>
      </c>
      <c r="F53" s="1117">
        <v>0.1</v>
      </c>
      <c r="G53" s="1109">
        <v>0.0</v>
      </c>
      <c r="H53" s="1118">
        <v>119700.0</v>
      </c>
      <c r="I53" s="1118">
        <f t="shared" si="1"/>
        <v>108820</v>
      </c>
      <c r="J53" s="1110"/>
    </row>
    <row r="54" ht="18.75" customHeight="1">
      <c r="A54" s="1110"/>
      <c r="B54" s="1115" t="s">
        <v>4459</v>
      </c>
      <c r="C54" s="1108" t="s">
        <v>4496</v>
      </c>
      <c r="D54" s="1108" t="s">
        <v>4561</v>
      </c>
      <c r="E54" s="1116" t="s">
        <v>4562</v>
      </c>
      <c r="F54" s="1117">
        <v>0.1</v>
      </c>
      <c r="G54" s="1109">
        <v>0.0</v>
      </c>
      <c r="H54" s="1118">
        <v>119700.0</v>
      </c>
      <c r="I54" s="1118">
        <f t="shared" si="1"/>
        <v>108820</v>
      </c>
      <c r="J54" s="1110"/>
    </row>
    <row r="55" ht="18.75" customHeight="1">
      <c r="A55" s="1110"/>
      <c r="B55" s="1115" t="s">
        <v>4459</v>
      </c>
      <c r="C55" s="1108" t="s">
        <v>4496</v>
      </c>
      <c r="D55" s="1108" t="s">
        <v>4563</v>
      </c>
      <c r="E55" s="1116" t="s">
        <v>4564</v>
      </c>
      <c r="F55" s="1117">
        <v>0.1</v>
      </c>
      <c r="G55" s="1109">
        <v>0.0</v>
      </c>
      <c r="H55" s="1118">
        <v>122500.0</v>
      </c>
      <c r="I55" s="1118">
        <f t="shared" si="1"/>
        <v>111360</v>
      </c>
      <c r="J55" s="1110"/>
    </row>
    <row r="56" ht="18.75" customHeight="1">
      <c r="A56" s="1110"/>
      <c r="B56" s="1115" t="s">
        <v>4459</v>
      </c>
      <c r="C56" s="1108" t="s">
        <v>4496</v>
      </c>
      <c r="D56" s="1108" t="s">
        <v>4565</v>
      </c>
      <c r="E56" s="1116" t="s">
        <v>4566</v>
      </c>
      <c r="F56" s="1117">
        <v>0.1</v>
      </c>
      <c r="G56" s="1109">
        <v>0.0</v>
      </c>
      <c r="H56" s="1118">
        <v>125300.0</v>
      </c>
      <c r="I56" s="1118">
        <f t="shared" si="1"/>
        <v>113910</v>
      </c>
      <c r="J56" s="1110"/>
    </row>
    <row r="57" ht="18.75" customHeight="1">
      <c r="A57" s="1110"/>
      <c r="B57" s="1115" t="s">
        <v>4459</v>
      </c>
      <c r="C57" s="1108" t="s">
        <v>4496</v>
      </c>
      <c r="D57" s="1108" t="s">
        <v>4567</v>
      </c>
      <c r="E57" s="1116" t="s">
        <v>4568</v>
      </c>
      <c r="F57" s="1117">
        <v>0.1</v>
      </c>
      <c r="G57" s="1109">
        <v>0.0</v>
      </c>
      <c r="H57" s="1118">
        <v>130900.0</v>
      </c>
      <c r="I57" s="1118">
        <f t="shared" si="1"/>
        <v>119000</v>
      </c>
      <c r="J57" s="1110"/>
    </row>
    <row r="58" ht="18.75" customHeight="1">
      <c r="A58" s="1110"/>
      <c r="B58" s="1115" t="s">
        <v>4459</v>
      </c>
      <c r="C58" s="1108" t="s">
        <v>4496</v>
      </c>
      <c r="D58" s="1108" t="s">
        <v>4569</v>
      </c>
      <c r="E58" s="1116" t="s">
        <v>4570</v>
      </c>
      <c r="F58" s="1117">
        <v>0.1</v>
      </c>
      <c r="G58" s="1109">
        <v>0.0</v>
      </c>
      <c r="H58" s="1116"/>
      <c r="I58" s="1118" t="str">
        <f t="shared" si="1"/>
        <v/>
      </c>
      <c r="J58" s="1110"/>
    </row>
    <row r="59" ht="18.75" customHeight="1">
      <c r="A59" s="1110"/>
      <c r="B59" s="1115" t="s">
        <v>4459</v>
      </c>
      <c r="C59" s="1108" t="s">
        <v>4496</v>
      </c>
      <c r="D59" s="1108" t="s">
        <v>4571</v>
      </c>
      <c r="E59" s="1116" t="s">
        <v>4572</v>
      </c>
      <c r="F59" s="1117">
        <v>0.1</v>
      </c>
      <c r="G59" s="1109">
        <v>0.0</v>
      </c>
      <c r="H59" s="1116"/>
      <c r="I59" s="1118" t="str">
        <f t="shared" si="1"/>
        <v/>
      </c>
      <c r="J59" s="1110"/>
    </row>
    <row r="60" ht="18.75" customHeight="1">
      <c r="A60" s="1110"/>
      <c r="B60" s="1115" t="s">
        <v>4459</v>
      </c>
      <c r="C60" s="1108" t="s">
        <v>4496</v>
      </c>
      <c r="D60" s="1108" t="s">
        <v>4573</v>
      </c>
      <c r="E60" s="1116" t="s">
        <v>4574</v>
      </c>
      <c r="F60" s="1117">
        <v>0.1</v>
      </c>
      <c r="G60" s="1109">
        <v>0.0</v>
      </c>
      <c r="H60" s="1116"/>
      <c r="I60" s="1118" t="str">
        <f t="shared" si="1"/>
        <v/>
      </c>
      <c r="J60" s="1110"/>
    </row>
    <row r="61" ht="18.75" customHeight="1">
      <c r="A61" s="1110"/>
      <c r="B61" s="1115" t="s">
        <v>4459</v>
      </c>
      <c r="C61" s="1108" t="s">
        <v>4460</v>
      </c>
      <c r="D61" s="1108" t="s">
        <v>4575</v>
      </c>
      <c r="E61" s="1116" t="s">
        <v>4576</v>
      </c>
      <c r="F61" s="1117">
        <v>0.1</v>
      </c>
      <c r="G61" s="1109">
        <v>0.0</v>
      </c>
      <c r="H61" s="1118">
        <v>8400.0</v>
      </c>
      <c r="I61" s="1118">
        <f t="shared" si="1"/>
        <v>7640</v>
      </c>
      <c r="J61" s="1110"/>
    </row>
    <row r="62" ht="18.75" customHeight="1">
      <c r="A62" s="1110"/>
      <c r="B62" s="1115" t="s">
        <v>4459</v>
      </c>
      <c r="C62" s="1108" t="s">
        <v>4460</v>
      </c>
      <c r="D62" s="1108" t="s">
        <v>4577</v>
      </c>
      <c r="E62" s="1116" t="s">
        <v>4578</v>
      </c>
      <c r="F62" s="1117">
        <v>0.1</v>
      </c>
      <c r="G62" s="1109">
        <v>0.0</v>
      </c>
      <c r="H62" s="1118">
        <v>8400.0</v>
      </c>
      <c r="I62" s="1118">
        <f t="shared" si="1"/>
        <v>7640</v>
      </c>
      <c r="J62" s="1110"/>
    </row>
    <row r="63" ht="18.75" customHeight="1">
      <c r="A63" s="1110"/>
      <c r="B63" s="1115" t="s">
        <v>4459</v>
      </c>
      <c r="C63" s="1108" t="s">
        <v>4460</v>
      </c>
      <c r="D63" s="1108" t="s">
        <v>4579</v>
      </c>
      <c r="E63" s="1116" t="s">
        <v>4580</v>
      </c>
      <c r="F63" s="1117">
        <v>0.1</v>
      </c>
      <c r="G63" s="1109">
        <v>0.0</v>
      </c>
      <c r="H63" s="1118">
        <v>9800.0</v>
      </c>
      <c r="I63" s="1118">
        <f t="shared" si="1"/>
        <v>8910</v>
      </c>
      <c r="J63" s="1110"/>
    </row>
    <row r="64" ht="18.75" customHeight="1">
      <c r="A64" s="1110"/>
      <c r="B64" s="1115" t="s">
        <v>4459</v>
      </c>
      <c r="C64" s="1108" t="s">
        <v>4460</v>
      </c>
      <c r="D64" s="1108" t="s">
        <v>4581</v>
      </c>
      <c r="E64" s="1116" t="s">
        <v>4582</v>
      </c>
      <c r="F64" s="1117">
        <v>0.1</v>
      </c>
      <c r="G64" s="1109">
        <v>0.0</v>
      </c>
      <c r="H64" s="1118">
        <v>9800.0</v>
      </c>
      <c r="I64" s="1118">
        <f t="shared" si="1"/>
        <v>8910</v>
      </c>
      <c r="J64" s="1110"/>
    </row>
    <row r="65" ht="18.75" customHeight="1">
      <c r="A65" s="1110"/>
      <c r="B65" s="1115" t="s">
        <v>4459</v>
      </c>
      <c r="C65" s="1108" t="s">
        <v>4460</v>
      </c>
      <c r="D65" s="1108" t="s">
        <v>4583</v>
      </c>
      <c r="E65" s="1116" t="s">
        <v>4584</v>
      </c>
      <c r="F65" s="1117">
        <v>0.1</v>
      </c>
      <c r="G65" s="1109">
        <v>0.0</v>
      </c>
      <c r="H65" s="1118">
        <v>12200.0</v>
      </c>
      <c r="I65" s="1118">
        <f t="shared" si="1"/>
        <v>11090</v>
      </c>
      <c r="J65" s="1110"/>
    </row>
    <row r="66" ht="18.75" customHeight="1">
      <c r="A66" s="1110"/>
      <c r="B66" s="1115" t="s">
        <v>4459</v>
      </c>
      <c r="C66" s="1108" t="s">
        <v>4460</v>
      </c>
      <c r="D66" s="1108" t="s">
        <v>4585</v>
      </c>
      <c r="E66" s="1116" t="s">
        <v>4586</v>
      </c>
      <c r="F66" s="1117">
        <v>0.1</v>
      </c>
      <c r="G66" s="1109">
        <v>0.0</v>
      </c>
      <c r="H66" s="1118">
        <v>12200.0</v>
      </c>
      <c r="I66" s="1118">
        <f t="shared" si="1"/>
        <v>11090</v>
      </c>
      <c r="J66" s="1110"/>
    </row>
    <row r="67" ht="18.75" customHeight="1">
      <c r="A67" s="1110"/>
      <c r="B67" s="1115" t="s">
        <v>4459</v>
      </c>
      <c r="C67" s="1108" t="s">
        <v>4460</v>
      </c>
      <c r="D67" s="1108" t="s">
        <v>4587</v>
      </c>
      <c r="E67" s="1116" t="s">
        <v>4588</v>
      </c>
      <c r="F67" s="1117">
        <v>0.1</v>
      </c>
      <c r="G67" s="1109">
        <v>0.0</v>
      </c>
      <c r="H67" s="1118">
        <v>15000.0</v>
      </c>
      <c r="I67" s="1118">
        <f t="shared" si="1"/>
        <v>13640</v>
      </c>
      <c r="J67" s="1110"/>
    </row>
    <row r="68" ht="18.75" customHeight="1">
      <c r="A68" s="1110"/>
      <c r="B68" s="1115" t="s">
        <v>4459</v>
      </c>
      <c r="C68" s="1108" t="s">
        <v>4460</v>
      </c>
      <c r="D68" s="1108" t="s">
        <v>4589</v>
      </c>
      <c r="E68" s="1116" t="s">
        <v>4590</v>
      </c>
      <c r="F68" s="1117">
        <v>0.1</v>
      </c>
      <c r="G68" s="1109">
        <v>0.0</v>
      </c>
      <c r="H68" s="1118">
        <v>15000.0</v>
      </c>
      <c r="I68" s="1118">
        <f t="shared" si="1"/>
        <v>13640</v>
      </c>
      <c r="J68" s="1110"/>
    </row>
    <row r="69" ht="18.75" customHeight="1">
      <c r="A69" s="1110"/>
      <c r="B69" s="1115" t="s">
        <v>4459</v>
      </c>
      <c r="C69" s="1108" t="s">
        <v>4460</v>
      </c>
      <c r="D69" s="1108" t="s">
        <v>4591</v>
      </c>
      <c r="E69" s="1116" t="s">
        <v>4592</v>
      </c>
      <c r="F69" s="1117">
        <v>0.1</v>
      </c>
      <c r="G69" s="1109">
        <v>0.0</v>
      </c>
      <c r="H69" s="1118">
        <v>16800.0</v>
      </c>
      <c r="I69" s="1118">
        <f t="shared" si="1"/>
        <v>15270</v>
      </c>
      <c r="J69" s="1110"/>
    </row>
    <row r="70" ht="18.75" customHeight="1">
      <c r="A70" s="1110"/>
      <c r="B70" s="1115" t="s">
        <v>4459</v>
      </c>
      <c r="C70" s="1108" t="s">
        <v>4460</v>
      </c>
      <c r="D70" s="1108" t="s">
        <v>4593</v>
      </c>
      <c r="E70" s="1116" t="s">
        <v>4594</v>
      </c>
      <c r="F70" s="1117">
        <v>0.1</v>
      </c>
      <c r="G70" s="1109">
        <v>0.0</v>
      </c>
      <c r="H70" s="1118">
        <v>16800.0</v>
      </c>
      <c r="I70" s="1118">
        <f t="shared" si="1"/>
        <v>15270</v>
      </c>
      <c r="J70" s="1110"/>
    </row>
    <row r="71" ht="18.75" customHeight="1">
      <c r="A71" s="1110"/>
      <c r="B71" s="1115" t="s">
        <v>4459</v>
      </c>
      <c r="C71" s="1108" t="s">
        <v>4491</v>
      </c>
      <c r="D71" s="1108" t="s">
        <v>4595</v>
      </c>
      <c r="E71" s="1116" t="s">
        <v>4596</v>
      </c>
      <c r="F71" s="1117">
        <v>0.1</v>
      </c>
      <c r="G71" s="1109">
        <v>0.0</v>
      </c>
      <c r="H71" s="1118">
        <v>19600.0</v>
      </c>
      <c r="I71" s="1118">
        <f t="shared" si="1"/>
        <v>17820</v>
      </c>
      <c r="J71" s="1110"/>
    </row>
    <row r="72" ht="18.75" customHeight="1">
      <c r="A72" s="1110"/>
      <c r="B72" s="1115" t="s">
        <v>4459</v>
      </c>
      <c r="C72" s="1108" t="s">
        <v>4491</v>
      </c>
      <c r="D72" s="1108" t="s">
        <v>4597</v>
      </c>
      <c r="E72" s="1116" t="s">
        <v>4598</v>
      </c>
      <c r="F72" s="1117">
        <v>0.1</v>
      </c>
      <c r="G72" s="1109">
        <v>0.0</v>
      </c>
      <c r="H72" s="1118">
        <v>19600.0</v>
      </c>
      <c r="I72" s="1118">
        <f t="shared" si="1"/>
        <v>17820</v>
      </c>
      <c r="J72" s="1110"/>
    </row>
    <row r="73" ht="18.75" customHeight="1">
      <c r="A73" s="1110"/>
      <c r="B73" s="1115" t="s">
        <v>4459</v>
      </c>
      <c r="C73" s="1108" t="s">
        <v>4491</v>
      </c>
      <c r="D73" s="1108" t="s">
        <v>4599</v>
      </c>
      <c r="E73" s="1116" t="s">
        <v>4600</v>
      </c>
      <c r="F73" s="1117">
        <v>0.1</v>
      </c>
      <c r="G73" s="1109">
        <v>0.0</v>
      </c>
      <c r="H73" s="1118">
        <v>21500.0</v>
      </c>
      <c r="I73" s="1118">
        <f t="shared" si="1"/>
        <v>19550</v>
      </c>
      <c r="J73" s="1110"/>
    </row>
    <row r="74" ht="18.75" customHeight="1">
      <c r="A74" s="1110"/>
      <c r="B74" s="1115" t="s">
        <v>4459</v>
      </c>
      <c r="C74" s="1108" t="s">
        <v>4491</v>
      </c>
      <c r="D74" s="1108" t="s">
        <v>4601</v>
      </c>
      <c r="E74" s="1116" t="s">
        <v>4602</v>
      </c>
      <c r="F74" s="1117">
        <v>0.1</v>
      </c>
      <c r="G74" s="1109">
        <v>0.0</v>
      </c>
      <c r="H74" s="1118">
        <v>23400.0</v>
      </c>
      <c r="I74" s="1118">
        <f t="shared" si="1"/>
        <v>21270</v>
      </c>
      <c r="J74" s="1110"/>
    </row>
    <row r="75" ht="18.75" customHeight="1">
      <c r="A75" s="1110"/>
      <c r="B75" s="1115" t="s">
        <v>4459</v>
      </c>
      <c r="C75" s="1108" t="s">
        <v>4496</v>
      </c>
      <c r="D75" s="1108" t="s">
        <v>4603</v>
      </c>
      <c r="E75" s="1116" t="s">
        <v>4604</v>
      </c>
      <c r="F75" s="1117">
        <v>0.1</v>
      </c>
      <c r="G75" s="1109">
        <v>0.0</v>
      </c>
      <c r="H75" s="1118">
        <v>26200.0</v>
      </c>
      <c r="I75" s="1118">
        <f t="shared" si="1"/>
        <v>23820</v>
      </c>
      <c r="J75" s="1110"/>
    </row>
    <row r="76" ht="18.75" customHeight="1">
      <c r="A76" s="1110"/>
      <c r="B76" s="1115" t="s">
        <v>4459</v>
      </c>
      <c r="C76" s="1108" t="s">
        <v>4491</v>
      </c>
      <c r="D76" s="1108" t="s">
        <v>4605</v>
      </c>
      <c r="E76" s="1116" t="s">
        <v>4606</v>
      </c>
      <c r="F76" s="1117">
        <v>0.1</v>
      </c>
      <c r="G76" s="1109">
        <v>0.0</v>
      </c>
      <c r="H76" s="1118">
        <v>27100.0</v>
      </c>
      <c r="I76" s="1118">
        <f t="shared" si="1"/>
        <v>24640</v>
      </c>
      <c r="J76" s="1110"/>
    </row>
    <row r="77" ht="18.75" customHeight="1">
      <c r="A77" s="1110"/>
      <c r="B77" s="1115" t="s">
        <v>4459</v>
      </c>
      <c r="C77" s="1108" t="s">
        <v>4496</v>
      </c>
      <c r="D77" s="1108" t="s">
        <v>4607</v>
      </c>
      <c r="E77" s="1116" t="s">
        <v>4608</v>
      </c>
      <c r="F77" s="1117">
        <v>0.1</v>
      </c>
      <c r="G77" s="1109">
        <v>0.0</v>
      </c>
      <c r="H77" s="1118">
        <v>29900.0</v>
      </c>
      <c r="I77" s="1118">
        <f t="shared" si="1"/>
        <v>27180</v>
      </c>
      <c r="J77" s="1110"/>
    </row>
    <row r="78" ht="18.75" customHeight="1">
      <c r="A78" s="1110"/>
      <c r="B78" s="1115" t="s">
        <v>4459</v>
      </c>
      <c r="C78" s="1108" t="s">
        <v>4496</v>
      </c>
      <c r="D78" s="1108" t="s">
        <v>4609</v>
      </c>
      <c r="E78" s="1116" t="s">
        <v>4610</v>
      </c>
      <c r="F78" s="1117">
        <v>0.1</v>
      </c>
      <c r="G78" s="1109">
        <v>0.0</v>
      </c>
      <c r="H78" s="1118">
        <v>29900.0</v>
      </c>
      <c r="I78" s="1118">
        <f t="shared" si="1"/>
        <v>27180</v>
      </c>
      <c r="J78" s="1110"/>
    </row>
    <row r="79" ht="18.75" customHeight="1">
      <c r="A79" s="1110"/>
      <c r="B79" s="1115" t="s">
        <v>4459</v>
      </c>
      <c r="C79" s="1108" t="s">
        <v>4491</v>
      </c>
      <c r="D79" s="1108" t="s">
        <v>4611</v>
      </c>
      <c r="E79" s="1116" t="s">
        <v>4612</v>
      </c>
      <c r="F79" s="1117">
        <v>0.1</v>
      </c>
      <c r="G79" s="1109">
        <v>0.0</v>
      </c>
      <c r="H79" s="1118">
        <v>31800.0</v>
      </c>
      <c r="I79" s="1118">
        <f t="shared" si="1"/>
        <v>28910</v>
      </c>
      <c r="J79" s="1110"/>
    </row>
    <row r="80" ht="18.75" customHeight="1">
      <c r="A80" s="1110"/>
      <c r="B80" s="1115" t="s">
        <v>4459</v>
      </c>
      <c r="C80" s="1108" t="s">
        <v>4491</v>
      </c>
      <c r="D80" s="1108" t="s">
        <v>4613</v>
      </c>
      <c r="E80" s="1116" t="s">
        <v>4614</v>
      </c>
      <c r="F80" s="1117">
        <v>0.1</v>
      </c>
      <c r="G80" s="1109">
        <v>0.0</v>
      </c>
      <c r="H80" s="1118">
        <v>37400.0</v>
      </c>
      <c r="I80" s="1118">
        <f t="shared" si="1"/>
        <v>34000</v>
      </c>
      <c r="J80" s="1110"/>
    </row>
    <row r="81" ht="18.75" customHeight="1">
      <c r="A81" s="1110"/>
      <c r="B81" s="1115" t="s">
        <v>4459</v>
      </c>
      <c r="C81" s="1108" t="s">
        <v>4496</v>
      </c>
      <c r="D81" s="1108" t="s">
        <v>4615</v>
      </c>
      <c r="E81" s="1116" t="s">
        <v>4616</v>
      </c>
      <c r="F81" s="1117">
        <v>0.1</v>
      </c>
      <c r="G81" s="1109">
        <v>0.0</v>
      </c>
      <c r="H81" s="1118">
        <v>39300.0</v>
      </c>
      <c r="I81" s="1118">
        <f t="shared" si="1"/>
        <v>35730</v>
      </c>
      <c r="J81" s="1110"/>
    </row>
    <row r="82" ht="18.75" customHeight="1">
      <c r="A82" s="1110"/>
      <c r="B82" s="1115" t="s">
        <v>4459</v>
      </c>
      <c r="C82" s="1108" t="s">
        <v>4496</v>
      </c>
      <c r="D82" s="1108" t="s">
        <v>4617</v>
      </c>
      <c r="E82" s="1116" t="s">
        <v>4618</v>
      </c>
      <c r="F82" s="1117">
        <v>0.1</v>
      </c>
      <c r="G82" s="1109">
        <v>0.0</v>
      </c>
      <c r="H82" s="1118">
        <v>42100.0</v>
      </c>
      <c r="I82" s="1118">
        <f t="shared" si="1"/>
        <v>38270</v>
      </c>
      <c r="J82" s="1110"/>
    </row>
    <row r="83" ht="18.75" customHeight="1">
      <c r="A83" s="1110"/>
      <c r="B83" s="1115" t="s">
        <v>4459</v>
      </c>
      <c r="C83" s="1108" t="s">
        <v>4496</v>
      </c>
      <c r="D83" s="1108" t="s">
        <v>4619</v>
      </c>
      <c r="E83" s="1116" t="s">
        <v>4620</v>
      </c>
      <c r="F83" s="1117">
        <v>0.1</v>
      </c>
      <c r="G83" s="1109">
        <v>0.0</v>
      </c>
      <c r="H83" s="1116"/>
      <c r="I83" s="1118" t="str">
        <f t="shared" si="1"/>
        <v/>
      </c>
      <c r="J83" s="1110"/>
    </row>
    <row r="84" ht="18.75" customHeight="1">
      <c r="A84" s="1110"/>
      <c r="B84" s="1115" t="s">
        <v>4459</v>
      </c>
      <c r="C84" s="1108" t="s">
        <v>4491</v>
      </c>
      <c r="D84" s="1108" t="s">
        <v>4621</v>
      </c>
      <c r="E84" s="1116" t="s">
        <v>4622</v>
      </c>
      <c r="F84" s="1117">
        <v>0.1</v>
      </c>
      <c r="G84" s="1109">
        <v>0.0</v>
      </c>
      <c r="H84" s="1118">
        <v>46800.0</v>
      </c>
      <c r="I84" s="1118">
        <f t="shared" si="1"/>
        <v>42550</v>
      </c>
      <c r="J84" s="1110"/>
    </row>
    <row r="85" ht="18.75" customHeight="1">
      <c r="A85" s="1110"/>
      <c r="B85" s="1115" t="s">
        <v>4459</v>
      </c>
      <c r="C85" s="1108" t="s">
        <v>4491</v>
      </c>
      <c r="D85" s="1108" t="s">
        <v>4623</v>
      </c>
      <c r="E85" s="1116" t="s">
        <v>4624</v>
      </c>
      <c r="F85" s="1117">
        <v>0.1</v>
      </c>
      <c r="G85" s="1109">
        <v>0.0</v>
      </c>
      <c r="H85" s="1116"/>
      <c r="I85" s="1118" t="str">
        <f t="shared" si="1"/>
        <v/>
      </c>
      <c r="J85" s="1110"/>
    </row>
    <row r="86" ht="18.75" customHeight="1">
      <c r="A86" s="1110"/>
      <c r="B86" s="1115" t="s">
        <v>4459</v>
      </c>
      <c r="C86" s="1108" t="s">
        <v>4496</v>
      </c>
      <c r="D86" s="1108" t="s">
        <v>4625</v>
      </c>
      <c r="E86" s="1116" t="s">
        <v>4626</v>
      </c>
      <c r="F86" s="1117">
        <v>0.1</v>
      </c>
      <c r="G86" s="1109">
        <v>0.0</v>
      </c>
      <c r="H86" s="1118">
        <v>54200.0</v>
      </c>
      <c r="I86" s="1118">
        <f t="shared" si="1"/>
        <v>49270</v>
      </c>
      <c r="J86" s="1110"/>
    </row>
    <row r="87" ht="18.75" customHeight="1">
      <c r="A87" s="1110"/>
      <c r="B87" s="1115" t="s">
        <v>4459</v>
      </c>
      <c r="C87" s="1108" t="s">
        <v>4496</v>
      </c>
      <c r="D87" s="1108" t="s">
        <v>4627</v>
      </c>
      <c r="E87" s="1116" t="s">
        <v>4628</v>
      </c>
      <c r="F87" s="1117">
        <v>0.1</v>
      </c>
      <c r="G87" s="1109">
        <v>0.0</v>
      </c>
      <c r="H87" s="1118">
        <v>59800.0</v>
      </c>
      <c r="I87" s="1118">
        <f t="shared" si="1"/>
        <v>54360</v>
      </c>
      <c r="J87" s="1110"/>
    </row>
    <row r="88" ht="18.75" customHeight="1">
      <c r="A88" s="1110"/>
      <c r="B88" s="1115" t="s">
        <v>4459</v>
      </c>
      <c r="C88" s="1108" t="s">
        <v>4496</v>
      </c>
      <c r="D88" s="1108" t="s">
        <v>4629</v>
      </c>
      <c r="E88" s="1116" t="s">
        <v>4630</v>
      </c>
      <c r="F88" s="1117">
        <v>0.1</v>
      </c>
      <c r="G88" s="1109">
        <v>0.0</v>
      </c>
      <c r="H88" s="1118">
        <v>59800.0</v>
      </c>
      <c r="I88" s="1118">
        <f t="shared" si="1"/>
        <v>54360</v>
      </c>
      <c r="J88" s="1110"/>
    </row>
    <row r="89" ht="18.75" customHeight="1">
      <c r="A89" s="1110"/>
      <c r="B89" s="1115" t="s">
        <v>4459</v>
      </c>
      <c r="C89" s="1108" t="s">
        <v>4491</v>
      </c>
      <c r="D89" s="1108" t="s">
        <v>4631</v>
      </c>
      <c r="E89" s="1116" t="s">
        <v>4632</v>
      </c>
      <c r="F89" s="1117">
        <v>0.1</v>
      </c>
      <c r="G89" s="1109">
        <v>0.0</v>
      </c>
      <c r="H89" s="1118">
        <v>60800.0</v>
      </c>
      <c r="I89" s="1118">
        <f t="shared" si="1"/>
        <v>55270</v>
      </c>
      <c r="J89" s="1110"/>
    </row>
    <row r="90" ht="18.75" customHeight="1">
      <c r="A90" s="1110"/>
      <c r="B90" s="1115" t="s">
        <v>4459</v>
      </c>
      <c r="C90" s="1108" t="s">
        <v>4491</v>
      </c>
      <c r="D90" s="1108" t="s">
        <v>4633</v>
      </c>
      <c r="E90" s="1116" t="s">
        <v>4634</v>
      </c>
      <c r="F90" s="1117">
        <v>0.1</v>
      </c>
      <c r="G90" s="1109">
        <v>0.0</v>
      </c>
      <c r="H90" s="1118">
        <v>60800.0</v>
      </c>
      <c r="I90" s="1118">
        <f t="shared" si="1"/>
        <v>55270</v>
      </c>
      <c r="J90" s="1110"/>
    </row>
    <row r="91" ht="18.75" customHeight="1">
      <c r="A91" s="1110"/>
      <c r="B91" s="1115" t="s">
        <v>4459</v>
      </c>
      <c r="C91" s="1108" t="s">
        <v>4496</v>
      </c>
      <c r="D91" s="1108" t="s">
        <v>4635</v>
      </c>
      <c r="E91" s="1116" t="s">
        <v>4636</v>
      </c>
      <c r="F91" s="1117">
        <v>0.1</v>
      </c>
      <c r="G91" s="1109">
        <v>0.0</v>
      </c>
      <c r="H91" s="1118">
        <v>63600.0</v>
      </c>
      <c r="I91" s="1118">
        <f t="shared" si="1"/>
        <v>57820</v>
      </c>
      <c r="J91" s="1110"/>
    </row>
    <row r="92" ht="18.75" customHeight="1">
      <c r="A92" s="1110"/>
      <c r="B92" s="1115" t="s">
        <v>4459</v>
      </c>
      <c r="C92" s="1108" t="s">
        <v>4496</v>
      </c>
      <c r="D92" s="1108" t="s">
        <v>4637</v>
      </c>
      <c r="E92" s="1116" t="s">
        <v>4638</v>
      </c>
      <c r="F92" s="1117">
        <v>0.1</v>
      </c>
      <c r="G92" s="1109">
        <v>0.0</v>
      </c>
      <c r="H92" s="1118">
        <v>71100.0</v>
      </c>
      <c r="I92" s="1118">
        <f t="shared" si="1"/>
        <v>64640</v>
      </c>
      <c r="J92" s="1110"/>
    </row>
    <row r="93" ht="18.75" customHeight="1">
      <c r="A93" s="1110"/>
      <c r="B93" s="1115" t="s">
        <v>4459</v>
      </c>
      <c r="C93" s="1108" t="s">
        <v>4496</v>
      </c>
      <c r="D93" s="1108" t="s">
        <v>4639</v>
      </c>
      <c r="E93" s="1116" t="s">
        <v>4640</v>
      </c>
      <c r="F93" s="1117">
        <v>0.1</v>
      </c>
      <c r="G93" s="1109">
        <v>0.0</v>
      </c>
      <c r="H93" s="1118">
        <v>132800.0</v>
      </c>
      <c r="I93" s="1118">
        <f t="shared" si="1"/>
        <v>120730</v>
      </c>
      <c r="J93" s="1110"/>
    </row>
    <row r="94" ht="18.75" customHeight="1">
      <c r="A94" s="1110"/>
      <c r="B94" s="1115" t="s">
        <v>4459</v>
      </c>
      <c r="C94" s="1108" t="s">
        <v>4496</v>
      </c>
      <c r="D94" s="1108" t="s">
        <v>4641</v>
      </c>
      <c r="E94" s="1116" t="s">
        <v>4642</v>
      </c>
      <c r="F94" s="1117">
        <v>0.1</v>
      </c>
      <c r="G94" s="1109">
        <v>0.0</v>
      </c>
      <c r="H94" s="1118">
        <v>136500.0</v>
      </c>
      <c r="I94" s="1118">
        <f t="shared" si="1"/>
        <v>124090</v>
      </c>
      <c r="J94" s="1110"/>
    </row>
    <row r="95" ht="18.75" customHeight="1">
      <c r="A95" s="1110"/>
      <c r="B95" s="1115" t="s">
        <v>4459</v>
      </c>
      <c r="C95" s="1108" t="s">
        <v>4496</v>
      </c>
      <c r="D95" s="1108" t="s">
        <v>4643</v>
      </c>
      <c r="E95" s="1116" t="s">
        <v>4644</v>
      </c>
      <c r="F95" s="1117">
        <v>0.1</v>
      </c>
      <c r="G95" s="1109">
        <v>0.0</v>
      </c>
      <c r="H95" s="1118">
        <v>140300.0</v>
      </c>
      <c r="I95" s="1118">
        <f t="shared" si="1"/>
        <v>127550</v>
      </c>
      <c r="J95" s="1110"/>
    </row>
    <row r="96" ht="18.75" customHeight="1">
      <c r="A96" s="1110"/>
      <c r="B96" s="1115" t="s">
        <v>4459</v>
      </c>
      <c r="C96" s="1108" t="s">
        <v>4491</v>
      </c>
      <c r="D96" s="1108" t="s">
        <v>4645</v>
      </c>
      <c r="E96" s="1116" t="s">
        <v>4646</v>
      </c>
      <c r="F96" s="1117">
        <v>0.1</v>
      </c>
      <c r="G96" s="1109">
        <v>0.0</v>
      </c>
      <c r="H96" s="1118">
        <v>146800.0</v>
      </c>
      <c r="I96" s="1118">
        <f t="shared" si="1"/>
        <v>133450</v>
      </c>
      <c r="J96" s="1110"/>
    </row>
    <row r="97" ht="18.75" customHeight="1">
      <c r="A97" s="1110"/>
      <c r="B97" s="1115" t="s">
        <v>4459</v>
      </c>
      <c r="C97" s="1108" t="s">
        <v>4496</v>
      </c>
      <c r="D97" s="1108" t="s">
        <v>4647</v>
      </c>
      <c r="E97" s="1116" t="s">
        <v>4648</v>
      </c>
      <c r="F97" s="1117">
        <v>0.1</v>
      </c>
      <c r="G97" s="1109">
        <v>0.0</v>
      </c>
      <c r="H97" s="1118">
        <v>161800.0</v>
      </c>
      <c r="I97" s="1118">
        <f t="shared" si="1"/>
        <v>147090</v>
      </c>
      <c r="J97" s="1110"/>
    </row>
    <row r="98" ht="18.75" customHeight="1">
      <c r="A98" s="1110"/>
      <c r="B98" s="1115" t="s">
        <v>4459</v>
      </c>
      <c r="C98" s="1108" t="s">
        <v>4496</v>
      </c>
      <c r="D98" s="1108" t="s">
        <v>4649</v>
      </c>
      <c r="E98" s="1116" t="s">
        <v>4650</v>
      </c>
      <c r="F98" s="1117">
        <v>0.1</v>
      </c>
      <c r="G98" s="1109">
        <v>0.0</v>
      </c>
      <c r="H98" s="1118">
        <v>165500.0</v>
      </c>
      <c r="I98" s="1118">
        <f t="shared" si="1"/>
        <v>150450</v>
      </c>
      <c r="J98" s="1110"/>
    </row>
    <row r="99" ht="18.75" customHeight="1">
      <c r="A99" s="1110"/>
      <c r="B99" s="1115" t="s">
        <v>4459</v>
      </c>
      <c r="C99" s="1108" t="s">
        <v>4496</v>
      </c>
      <c r="D99" s="1108" t="s">
        <v>4651</v>
      </c>
      <c r="E99" s="1116" t="s">
        <v>4652</v>
      </c>
      <c r="F99" s="1117">
        <v>0.1</v>
      </c>
      <c r="G99" s="1109">
        <v>0.0</v>
      </c>
      <c r="H99" s="1118">
        <v>169200.0</v>
      </c>
      <c r="I99" s="1118">
        <f t="shared" si="1"/>
        <v>153820</v>
      </c>
      <c r="J99" s="1110"/>
    </row>
    <row r="100" ht="18.75" customHeight="1">
      <c r="A100" s="1110"/>
      <c r="B100" s="1115" t="s">
        <v>4459</v>
      </c>
      <c r="C100" s="1108" t="s">
        <v>4496</v>
      </c>
      <c r="D100" s="1108" t="s">
        <v>4653</v>
      </c>
      <c r="E100" s="1116" t="s">
        <v>4654</v>
      </c>
      <c r="F100" s="1117">
        <v>0.1</v>
      </c>
      <c r="G100" s="1109">
        <v>0.0</v>
      </c>
      <c r="H100" s="1118">
        <v>176700.0</v>
      </c>
      <c r="I100" s="1118">
        <f t="shared" si="1"/>
        <v>160640</v>
      </c>
      <c r="J100" s="1110"/>
    </row>
    <row r="101" ht="18.75" customHeight="1">
      <c r="A101" s="1110"/>
      <c r="B101" s="1115" t="s">
        <v>4459</v>
      </c>
      <c r="C101" s="1108" t="s">
        <v>4496</v>
      </c>
      <c r="D101" s="1108" t="s">
        <v>4655</v>
      </c>
      <c r="E101" s="1116" t="s">
        <v>4656</v>
      </c>
      <c r="F101" s="1117">
        <v>0.1</v>
      </c>
      <c r="G101" s="1109">
        <v>0.0</v>
      </c>
      <c r="H101" s="1116"/>
      <c r="I101" s="1118" t="str">
        <f t="shared" si="1"/>
        <v/>
      </c>
      <c r="J101" s="1110"/>
    </row>
    <row r="102" ht="18.75" customHeight="1">
      <c r="A102" s="1110"/>
      <c r="B102" s="1115" t="s">
        <v>4459</v>
      </c>
      <c r="C102" s="1108" t="s">
        <v>4496</v>
      </c>
      <c r="D102" s="1108" t="s">
        <v>4657</v>
      </c>
      <c r="E102" s="1116" t="s">
        <v>4658</v>
      </c>
      <c r="F102" s="1117">
        <v>0.1</v>
      </c>
      <c r="G102" s="1109">
        <v>0.0</v>
      </c>
      <c r="H102" s="1116"/>
      <c r="I102" s="1118" t="str">
        <f t="shared" si="1"/>
        <v/>
      </c>
      <c r="J102" s="1110"/>
    </row>
    <row r="103" ht="18.75" customHeight="1">
      <c r="A103" s="1110"/>
      <c r="B103" s="1115" t="s">
        <v>4459</v>
      </c>
      <c r="C103" s="1108" t="s">
        <v>4496</v>
      </c>
      <c r="D103" s="1108" t="s">
        <v>4659</v>
      </c>
      <c r="E103" s="1116" t="s">
        <v>4660</v>
      </c>
      <c r="F103" s="1117">
        <v>0.1</v>
      </c>
      <c r="G103" s="1109">
        <v>0.0</v>
      </c>
      <c r="H103" s="1116"/>
      <c r="I103" s="1118" t="str">
        <f t="shared" si="1"/>
        <v/>
      </c>
      <c r="J103" s="1110"/>
    </row>
    <row r="104" ht="18.75" customHeight="1">
      <c r="A104" s="1110"/>
      <c r="B104" s="1115" t="s">
        <v>4459</v>
      </c>
      <c r="C104" s="1108" t="s">
        <v>4460</v>
      </c>
      <c r="D104" s="1108" t="s">
        <v>4661</v>
      </c>
      <c r="E104" s="1116" t="s">
        <v>4662</v>
      </c>
      <c r="F104" s="1117">
        <v>0.1</v>
      </c>
      <c r="G104" s="1109">
        <v>0.0</v>
      </c>
      <c r="H104" s="1118">
        <v>15900.0</v>
      </c>
      <c r="I104" s="1118">
        <f t="shared" si="1"/>
        <v>14450</v>
      </c>
      <c r="J104" s="1110"/>
    </row>
    <row r="105" ht="18.75" customHeight="1">
      <c r="A105" s="1110"/>
      <c r="B105" s="1115" t="s">
        <v>4459</v>
      </c>
      <c r="C105" s="1108" t="s">
        <v>4460</v>
      </c>
      <c r="D105" s="1108" t="s">
        <v>4663</v>
      </c>
      <c r="E105" s="1116" t="s">
        <v>4664</v>
      </c>
      <c r="F105" s="1117">
        <v>0.1</v>
      </c>
      <c r="G105" s="1109">
        <v>0.0</v>
      </c>
      <c r="H105" s="1118">
        <v>18700.0</v>
      </c>
      <c r="I105" s="1118">
        <f t="shared" si="1"/>
        <v>17000</v>
      </c>
      <c r="J105" s="1110"/>
    </row>
    <row r="106" ht="18.75" customHeight="1">
      <c r="A106" s="1110"/>
      <c r="B106" s="1115" t="s">
        <v>4459</v>
      </c>
      <c r="C106" s="1108" t="s">
        <v>4460</v>
      </c>
      <c r="D106" s="1108" t="s">
        <v>4665</v>
      </c>
      <c r="E106" s="1116" t="s">
        <v>4666</v>
      </c>
      <c r="F106" s="1117">
        <v>0.1</v>
      </c>
      <c r="G106" s="1109">
        <v>0.0</v>
      </c>
      <c r="H106" s="1118">
        <v>22400.0</v>
      </c>
      <c r="I106" s="1118">
        <f t="shared" si="1"/>
        <v>20360</v>
      </c>
      <c r="J106" s="1110"/>
    </row>
    <row r="107" ht="18.75" customHeight="1">
      <c r="A107" s="1110"/>
      <c r="B107" s="1115" t="s">
        <v>4459</v>
      </c>
      <c r="C107" s="1108" t="s">
        <v>4460</v>
      </c>
      <c r="D107" s="1108" t="s">
        <v>4667</v>
      </c>
      <c r="E107" s="1116" t="s">
        <v>4668</v>
      </c>
      <c r="F107" s="1117">
        <v>0.1</v>
      </c>
      <c r="G107" s="1109">
        <v>0.0</v>
      </c>
      <c r="H107" s="1118">
        <v>25200.0</v>
      </c>
      <c r="I107" s="1118">
        <f t="shared" si="1"/>
        <v>22910</v>
      </c>
      <c r="J107" s="1110"/>
    </row>
    <row r="108" ht="18.75" customHeight="1">
      <c r="A108" s="1110"/>
      <c r="B108" s="1115" t="s">
        <v>4459</v>
      </c>
      <c r="C108" s="1108" t="s">
        <v>4460</v>
      </c>
      <c r="D108" s="1108" t="s">
        <v>4669</v>
      </c>
      <c r="E108" s="1116" t="s">
        <v>4670</v>
      </c>
      <c r="F108" s="1117">
        <v>0.1</v>
      </c>
      <c r="G108" s="1109">
        <v>0.0</v>
      </c>
      <c r="H108" s="1118">
        <v>28100.0</v>
      </c>
      <c r="I108" s="1118">
        <f t="shared" si="1"/>
        <v>25550</v>
      </c>
      <c r="J108" s="1110"/>
    </row>
    <row r="109" ht="18.75" customHeight="1">
      <c r="A109" s="1110"/>
      <c r="B109" s="1115" t="s">
        <v>4459</v>
      </c>
      <c r="C109" s="1108" t="s">
        <v>4491</v>
      </c>
      <c r="D109" s="1108" t="s">
        <v>4671</v>
      </c>
      <c r="E109" s="1116" t="s">
        <v>4672</v>
      </c>
      <c r="F109" s="1117">
        <v>0.1</v>
      </c>
      <c r="G109" s="1109">
        <v>0.0</v>
      </c>
      <c r="H109" s="1118">
        <v>30900.0</v>
      </c>
      <c r="I109" s="1118">
        <f t="shared" si="1"/>
        <v>28090</v>
      </c>
      <c r="J109" s="1110"/>
    </row>
    <row r="110" ht="18.75" customHeight="1">
      <c r="A110" s="1110"/>
      <c r="B110" s="1115" t="s">
        <v>4459</v>
      </c>
      <c r="C110" s="1108" t="s">
        <v>4460</v>
      </c>
      <c r="D110" s="1108" t="s">
        <v>4673</v>
      </c>
      <c r="E110" s="1116" t="s">
        <v>4674</v>
      </c>
      <c r="F110" s="1117">
        <v>0.1</v>
      </c>
      <c r="G110" s="1109">
        <v>0.0</v>
      </c>
      <c r="H110" s="1118">
        <v>30900.0</v>
      </c>
      <c r="I110" s="1118">
        <f t="shared" si="1"/>
        <v>28090</v>
      </c>
      <c r="J110" s="1110"/>
    </row>
    <row r="111" ht="18.75" customHeight="1">
      <c r="A111" s="1110"/>
      <c r="B111" s="1115" t="s">
        <v>4459</v>
      </c>
      <c r="C111" s="1108" t="s">
        <v>4491</v>
      </c>
      <c r="D111" s="1108" t="s">
        <v>4675</v>
      </c>
      <c r="E111" s="1116" t="s">
        <v>4676</v>
      </c>
      <c r="F111" s="1117">
        <v>0.1</v>
      </c>
      <c r="G111" s="1109">
        <v>0.0</v>
      </c>
      <c r="H111" s="1118">
        <v>35500.0</v>
      </c>
      <c r="I111" s="1118">
        <f t="shared" si="1"/>
        <v>32270</v>
      </c>
      <c r="J111" s="1110"/>
    </row>
    <row r="112" ht="18.75" customHeight="1">
      <c r="A112" s="1110"/>
      <c r="B112" s="1115" t="s">
        <v>4459</v>
      </c>
      <c r="C112" s="1108" t="s">
        <v>4491</v>
      </c>
      <c r="D112" s="1108" t="s">
        <v>4677</v>
      </c>
      <c r="E112" s="1116" t="s">
        <v>4678</v>
      </c>
      <c r="F112" s="1117">
        <v>0.1</v>
      </c>
      <c r="G112" s="1109">
        <v>0.0</v>
      </c>
      <c r="H112" s="1118">
        <v>35500.0</v>
      </c>
      <c r="I112" s="1118">
        <f t="shared" si="1"/>
        <v>32270</v>
      </c>
      <c r="J112" s="1110"/>
    </row>
    <row r="113" ht="18.75" customHeight="1">
      <c r="A113" s="1110"/>
      <c r="B113" s="1115" t="s">
        <v>4459</v>
      </c>
      <c r="C113" s="1108" t="s">
        <v>4491</v>
      </c>
      <c r="D113" s="1108" t="s">
        <v>4679</v>
      </c>
      <c r="E113" s="1116" t="s">
        <v>4680</v>
      </c>
      <c r="F113" s="1117">
        <v>0.1</v>
      </c>
      <c r="G113" s="1109">
        <v>0.0</v>
      </c>
      <c r="H113" s="1118">
        <v>38300.0</v>
      </c>
      <c r="I113" s="1118">
        <f t="shared" si="1"/>
        <v>34820</v>
      </c>
      <c r="J113" s="1110"/>
    </row>
    <row r="114" ht="18.75" customHeight="1">
      <c r="A114" s="1110"/>
      <c r="B114" s="1115" t="s">
        <v>4459</v>
      </c>
      <c r="C114" s="1108" t="s">
        <v>4496</v>
      </c>
      <c r="D114" s="1108" t="s">
        <v>4681</v>
      </c>
      <c r="E114" s="1116" t="s">
        <v>4682</v>
      </c>
      <c r="F114" s="1117">
        <v>0.1</v>
      </c>
      <c r="G114" s="1109">
        <v>0.0</v>
      </c>
      <c r="H114" s="1118">
        <v>38300.0</v>
      </c>
      <c r="I114" s="1118">
        <f t="shared" si="1"/>
        <v>34820</v>
      </c>
      <c r="J114" s="1110"/>
    </row>
    <row r="115" ht="18.75" customHeight="1">
      <c r="A115" s="1110"/>
      <c r="B115" s="1115" t="s">
        <v>4459</v>
      </c>
      <c r="C115" s="1108" t="s">
        <v>4491</v>
      </c>
      <c r="D115" s="1108" t="s">
        <v>4683</v>
      </c>
      <c r="E115" s="1116" t="s">
        <v>4684</v>
      </c>
      <c r="F115" s="1117">
        <v>0.1</v>
      </c>
      <c r="G115" s="1109">
        <v>0.0</v>
      </c>
      <c r="H115" s="1118">
        <v>41100.0</v>
      </c>
      <c r="I115" s="1118">
        <f t="shared" si="1"/>
        <v>37360</v>
      </c>
      <c r="J115" s="1110"/>
    </row>
    <row r="116" ht="18.75" customHeight="1">
      <c r="A116" s="1110"/>
      <c r="B116" s="1115" t="s">
        <v>4459</v>
      </c>
      <c r="C116" s="1108" t="s">
        <v>4491</v>
      </c>
      <c r="D116" s="1108" t="s">
        <v>4685</v>
      </c>
      <c r="E116" s="1116" t="s">
        <v>4686</v>
      </c>
      <c r="F116" s="1117">
        <v>0.1</v>
      </c>
      <c r="G116" s="1109">
        <v>0.0</v>
      </c>
      <c r="H116" s="1118">
        <v>44900.0</v>
      </c>
      <c r="I116" s="1118">
        <f t="shared" si="1"/>
        <v>40820</v>
      </c>
      <c r="J116" s="1110"/>
    </row>
    <row r="117" ht="18.75" customHeight="1">
      <c r="A117" s="1110"/>
      <c r="B117" s="1115" t="s">
        <v>4459</v>
      </c>
      <c r="C117" s="1108" t="s">
        <v>4491</v>
      </c>
      <c r="D117" s="1108" t="s">
        <v>4687</v>
      </c>
      <c r="E117" s="1116" t="s">
        <v>4688</v>
      </c>
      <c r="F117" s="1117">
        <v>0.1</v>
      </c>
      <c r="G117" s="1109">
        <v>0.0</v>
      </c>
      <c r="H117" s="1118">
        <v>48600.0</v>
      </c>
      <c r="I117" s="1118">
        <f t="shared" si="1"/>
        <v>44180</v>
      </c>
      <c r="J117" s="1110"/>
    </row>
    <row r="118" ht="18.75" customHeight="1">
      <c r="A118" s="1110"/>
      <c r="B118" s="1115" t="s">
        <v>4459</v>
      </c>
      <c r="C118" s="1108" t="s">
        <v>4491</v>
      </c>
      <c r="D118" s="1108" t="s">
        <v>4689</v>
      </c>
      <c r="E118" s="1116" t="s">
        <v>4690</v>
      </c>
      <c r="F118" s="1117">
        <v>0.1</v>
      </c>
      <c r="G118" s="1109">
        <v>0.0</v>
      </c>
      <c r="H118" s="1118">
        <v>50500.0</v>
      </c>
      <c r="I118" s="1118">
        <f t="shared" si="1"/>
        <v>45910</v>
      </c>
      <c r="J118" s="1110"/>
    </row>
    <row r="119" ht="18.75" customHeight="1">
      <c r="A119" s="1110"/>
      <c r="B119" s="1115" t="s">
        <v>4459</v>
      </c>
      <c r="C119" s="1108" t="s">
        <v>4491</v>
      </c>
      <c r="D119" s="1108" t="s">
        <v>4691</v>
      </c>
      <c r="E119" s="1116" t="s">
        <v>4692</v>
      </c>
      <c r="F119" s="1117">
        <v>0.1</v>
      </c>
      <c r="G119" s="1109">
        <v>0.0</v>
      </c>
      <c r="H119" s="1118">
        <v>56100.0</v>
      </c>
      <c r="I119" s="1118">
        <f t="shared" si="1"/>
        <v>51000</v>
      </c>
      <c r="J119" s="1110"/>
    </row>
    <row r="120" ht="18.75" customHeight="1">
      <c r="A120" s="1110"/>
      <c r="B120" s="1115" t="s">
        <v>4459</v>
      </c>
      <c r="C120" s="1108" t="s">
        <v>4496</v>
      </c>
      <c r="D120" s="1108" t="s">
        <v>4693</v>
      </c>
      <c r="E120" s="1116" t="s">
        <v>4694</v>
      </c>
      <c r="F120" s="1117">
        <v>0.1</v>
      </c>
      <c r="G120" s="1109">
        <v>0.0</v>
      </c>
      <c r="H120" s="1118">
        <v>58000.0</v>
      </c>
      <c r="I120" s="1118">
        <f t="shared" si="1"/>
        <v>52730</v>
      </c>
      <c r="J120" s="1110"/>
    </row>
    <row r="121" ht="18.75" customHeight="1">
      <c r="A121" s="1110"/>
      <c r="B121" s="1115" t="s">
        <v>4459</v>
      </c>
      <c r="C121" s="1108" t="s">
        <v>4491</v>
      </c>
      <c r="D121" s="1108" t="s">
        <v>4695</v>
      </c>
      <c r="E121" s="1116" t="s">
        <v>4696</v>
      </c>
      <c r="F121" s="1117">
        <v>0.1</v>
      </c>
      <c r="G121" s="1109">
        <v>0.0</v>
      </c>
      <c r="H121" s="1118">
        <v>59800.0</v>
      </c>
      <c r="I121" s="1118">
        <f t="shared" si="1"/>
        <v>54360</v>
      </c>
      <c r="J121" s="1110"/>
    </row>
    <row r="122" ht="18.75" customHeight="1">
      <c r="A122" s="1110"/>
      <c r="B122" s="1115" t="s">
        <v>4459</v>
      </c>
      <c r="C122" s="1108" t="s">
        <v>4491</v>
      </c>
      <c r="D122" s="1108" t="s">
        <v>4697</v>
      </c>
      <c r="E122" s="1116" t="s">
        <v>4698</v>
      </c>
      <c r="F122" s="1117">
        <v>0.1</v>
      </c>
      <c r="G122" s="1109">
        <v>0.0</v>
      </c>
      <c r="H122" s="1116"/>
      <c r="I122" s="1118" t="str">
        <f t="shared" si="1"/>
        <v/>
      </c>
      <c r="J122" s="1110"/>
    </row>
    <row r="123" ht="18.75" customHeight="1">
      <c r="A123" s="1110"/>
      <c r="B123" s="1115" t="s">
        <v>4459</v>
      </c>
      <c r="C123" s="1108" t="s">
        <v>4491</v>
      </c>
      <c r="D123" s="1108" t="s">
        <v>4699</v>
      </c>
      <c r="E123" s="1116" t="s">
        <v>4700</v>
      </c>
      <c r="F123" s="1117">
        <v>0.1</v>
      </c>
      <c r="G123" s="1109">
        <v>0.0</v>
      </c>
      <c r="H123" s="1118">
        <v>89800.0</v>
      </c>
      <c r="I123" s="1118">
        <f t="shared" si="1"/>
        <v>81640</v>
      </c>
      <c r="J123" s="1110"/>
    </row>
    <row r="124" ht="18.75" customHeight="1">
      <c r="A124" s="1110"/>
      <c r="B124" s="1115" t="s">
        <v>4459</v>
      </c>
      <c r="C124" s="1108" t="s">
        <v>4496</v>
      </c>
      <c r="D124" s="1108" t="s">
        <v>4701</v>
      </c>
      <c r="E124" s="1116" t="s">
        <v>4702</v>
      </c>
      <c r="F124" s="1117">
        <v>0.1</v>
      </c>
      <c r="G124" s="1109">
        <v>0.0</v>
      </c>
      <c r="H124" s="1116"/>
      <c r="I124" s="1118" t="str">
        <f t="shared" si="1"/>
        <v/>
      </c>
      <c r="J124" s="1110"/>
    </row>
    <row r="125" ht="18.75" customHeight="1">
      <c r="A125" s="1110"/>
      <c r="B125" s="1115" t="s">
        <v>4459</v>
      </c>
      <c r="C125" s="1108" t="s">
        <v>4496</v>
      </c>
      <c r="D125" s="1108" t="s">
        <v>4703</v>
      </c>
      <c r="E125" s="1116" t="s">
        <v>4704</v>
      </c>
      <c r="F125" s="1117">
        <v>0.1</v>
      </c>
      <c r="G125" s="1109">
        <v>0.0</v>
      </c>
      <c r="H125" s="1118">
        <v>95400.0</v>
      </c>
      <c r="I125" s="1118">
        <f t="shared" si="1"/>
        <v>86730</v>
      </c>
      <c r="J125" s="1110"/>
    </row>
    <row r="126" ht="18.75" customHeight="1">
      <c r="A126" s="1110"/>
      <c r="B126" s="1115" t="s">
        <v>4459</v>
      </c>
      <c r="C126" s="1108" t="s">
        <v>4496</v>
      </c>
      <c r="D126" s="1108" t="s">
        <v>4705</v>
      </c>
      <c r="E126" s="1116" t="s">
        <v>4706</v>
      </c>
      <c r="F126" s="1117">
        <v>0.1</v>
      </c>
      <c r="G126" s="1109">
        <v>0.0</v>
      </c>
      <c r="H126" s="1118">
        <v>98200.0</v>
      </c>
      <c r="I126" s="1118">
        <f t="shared" si="1"/>
        <v>89270</v>
      </c>
      <c r="J126" s="1110"/>
    </row>
    <row r="127" ht="18.75" customHeight="1">
      <c r="A127" s="1110"/>
      <c r="B127" s="1115" t="s">
        <v>4459</v>
      </c>
      <c r="C127" s="1108" t="s">
        <v>4496</v>
      </c>
      <c r="D127" s="1108" t="s">
        <v>4707</v>
      </c>
      <c r="E127" s="1116" t="s">
        <v>4708</v>
      </c>
      <c r="F127" s="1117">
        <v>0.1</v>
      </c>
      <c r="G127" s="1109">
        <v>0.0</v>
      </c>
      <c r="H127" s="1118">
        <v>102900.0</v>
      </c>
      <c r="I127" s="1118">
        <f t="shared" si="1"/>
        <v>93550</v>
      </c>
      <c r="J127" s="1110"/>
    </row>
    <row r="128" ht="18.75" customHeight="1">
      <c r="A128" s="1110"/>
      <c r="B128" s="1115" t="s">
        <v>4459</v>
      </c>
      <c r="C128" s="1108" t="s">
        <v>4496</v>
      </c>
      <c r="D128" s="1108" t="s">
        <v>4709</v>
      </c>
      <c r="E128" s="1116" t="s">
        <v>4710</v>
      </c>
      <c r="F128" s="1117">
        <v>0.1</v>
      </c>
      <c r="G128" s="1109">
        <v>0.0</v>
      </c>
      <c r="H128" s="1118">
        <v>116900.0</v>
      </c>
      <c r="I128" s="1118">
        <f t="shared" si="1"/>
        <v>106270</v>
      </c>
      <c r="J128" s="1110"/>
    </row>
    <row r="129" ht="18.75" customHeight="1">
      <c r="A129" s="1110"/>
      <c r="B129" s="1115" t="s">
        <v>4459</v>
      </c>
      <c r="C129" s="1108" t="s">
        <v>4496</v>
      </c>
      <c r="D129" s="1108" t="s">
        <v>4711</v>
      </c>
      <c r="E129" s="1116" t="s">
        <v>4712</v>
      </c>
      <c r="F129" s="1117">
        <v>0.1</v>
      </c>
      <c r="G129" s="1109">
        <v>0.0</v>
      </c>
      <c r="H129" s="1118">
        <v>126200.0</v>
      </c>
      <c r="I129" s="1118">
        <f t="shared" si="1"/>
        <v>114730</v>
      </c>
      <c r="J129" s="1110"/>
    </row>
    <row r="130" ht="18.75" customHeight="1">
      <c r="A130" s="1110"/>
      <c r="B130" s="1115" t="s">
        <v>4459</v>
      </c>
      <c r="C130" s="1108" t="s">
        <v>4496</v>
      </c>
      <c r="D130" s="1108" t="s">
        <v>4713</v>
      </c>
      <c r="E130" s="1116" t="s">
        <v>4714</v>
      </c>
      <c r="F130" s="1117">
        <v>0.1</v>
      </c>
      <c r="G130" s="1109">
        <v>0.0</v>
      </c>
      <c r="H130" s="1118">
        <v>207600.0</v>
      </c>
      <c r="I130" s="1118">
        <f t="shared" si="1"/>
        <v>188730</v>
      </c>
      <c r="J130" s="1110"/>
    </row>
    <row r="131" ht="18.75" customHeight="1">
      <c r="A131" s="1110"/>
      <c r="B131" s="1115" t="s">
        <v>4459</v>
      </c>
      <c r="C131" s="1108" t="s">
        <v>4496</v>
      </c>
      <c r="D131" s="1108" t="s">
        <v>4715</v>
      </c>
      <c r="E131" s="1116" t="s">
        <v>4716</v>
      </c>
      <c r="F131" s="1117">
        <v>0.1</v>
      </c>
      <c r="G131" s="1109">
        <v>0.0</v>
      </c>
      <c r="H131" s="1118">
        <v>213200.0</v>
      </c>
      <c r="I131" s="1118">
        <f t="shared" si="1"/>
        <v>193820</v>
      </c>
      <c r="J131" s="1110"/>
    </row>
    <row r="132" ht="18.75" customHeight="1">
      <c r="A132" s="1110"/>
      <c r="B132" s="1115" t="s">
        <v>4459</v>
      </c>
      <c r="C132" s="1108" t="s">
        <v>4496</v>
      </c>
      <c r="D132" s="1108" t="s">
        <v>4717</v>
      </c>
      <c r="E132" s="1116" t="s">
        <v>4718</v>
      </c>
      <c r="F132" s="1117">
        <v>0.1</v>
      </c>
      <c r="G132" s="1109">
        <v>0.0</v>
      </c>
      <c r="H132" s="1118">
        <v>218800.0</v>
      </c>
      <c r="I132" s="1118">
        <f t="shared" si="1"/>
        <v>198910</v>
      </c>
      <c r="J132" s="1110"/>
    </row>
    <row r="133" ht="18.75" customHeight="1">
      <c r="A133" s="1110"/>
      <c r="B133" s="1115" t="s">
        <v>4459</v>
      </c>
      <c r="C133" s="1108" t="s">
        <v>4496</v>
      </c>
      <c r="D133" s="1108" t="s">
        <v>4719</v>
      </c>
      <c r="E133" s="1116" t="s">
        <v>4720</v>
      </c>
      <c r="F133" s="1117">
        <v>0.1</v>
      </c>
      <c r="G133" s="1109">
        <v>0.0</v>
      </c>
      <c r="H133" s="1118">
        <v>234700.0</v>
      </c>
      <c r="I133" s="1118">
        <f t="shared" si="1"/>
        <v>213360</v>
      </c>
      <c r="J133" s="1110"/>
    </row>
    <row r="134" ht="18.75" customHeight="1">
      <c r="A134" s="1110"/>
      <c r="B134" s="1115" t="s">
        <v>4459</v>
      </c>
      <c r="C134" s="1108" t="s">
        <v>4496</v>
      </c>
      <c r="D134" s="1108" t="s">
        <v>4721</v>
      </c>
      <c r="E134" s="1116" t="s">
        <v>4722</v>
      </c>
      <c r="F134" s="1117">
        <v>0.1</v>
      </c>
      <c r="G134" s="1109">
        <v>0.0</v>
      </c>
      <c r="H134" s="1118">
        <v>251500.0</v>
      </c>
      <c r="I134" s="1118">
        <f t="shared" si="1"/>
        <v>228640</v>
      </c>
      <c r="J134" s="1110"/>
    </row>
    <row r="135" ht="18.75" customHeight="1">
      <c r="A135" s="1110"/>
      <c r="B135" s="1115" t="s">
        <v>4459</v>
      </c>
      <c r="C135" s="1108" t="s">
        <v>4496</v>
      </c>
      <c r="D135" s="1108" t="s">
        <v>4723</v>
      </c>
      <c r="E135" s="1116" t="s">
        <v>4724</v>
      </c>
      <c r="F135" s="1117">
        <v>0.1</v>
      </c>
      <c r="G135" s="1109">
        <v>0.0</v>
      </c>
      <c r="H135" s="1118">
        <v>256200.0</v>
      </c>
      <c r="I135" s="1118">
        <f t="shared" si="1"/>
        <v>232910</v>
      </c>
      <c r="J135" s="1110"/>
    </row>
    <row r="136" ht="18.75" customHeight="1">
      <c r="A136" s="1110"/>
      <c r="B136" s="1115" t="s">
        <v>4459</v>
      </c>
      <c r="C136" s="1108" t="s">
        <v>4496</v>
      </c>
      <c r="D136" s="1108" t="s">
        <v>4725</v>
      </c>
      <c r="E136" s="1116" t="s">
        <v>4726</v>
      </c>
      <c r="F136" s="1117">
        <v>0.1</v>
      </c>
      <c r="G136" s="1109">
        <v>0.0</v>
      </c>
      <c r="H136" s="1118">
        <v>256200.0</v>
      </c>
      <c r="I136" s="1118">
        <f t="shared" si="1"/>
        <v>232910</v>
      </c>
      <c r="J136" s="1110"/>
    </row>
    <row r="137" ht="18.75" customHeight="1">
      <c r="A137" s="1110"/>
      <c r="B137" s="1115" t="s">
        <v>4459</v>
      </c>
      <c r="C137" s="1108" t="s">
        <v>4496</v>
      </c>
      <c r="D137" s="1108" t="s">
        <v>4727</v>
      </c>
      <c r="E137" s="1116" t="s">
        <v>4728</v>
      </c>
      <c r="F137" s="1117">
        <v>0.1</v>
      </c>
      <c r="G137" s="1109">
        <v>0.0</v>
      </c>
      <c r="H137" s="1118">
        <v>273000.0</v>
      </c>
      <c r="I137" s="1118">
        <f t="shared" si="1"/>
        <v>248180</v>
      </c>
      <c r="J137" s="1110"/>
    </row>
    <row r="138" ht="18.75" customHeight="1">
      <c r="A138" s="1110"/>
      <c r="B138" s="1115" t="s">
        <v>4459</v>
      </c>
      <c r="C138" s="1108" t="s">
        <v>4496</v>
      </c>
      <c r="D138" s="1108" t="s">
        <v>4729</v>
      </c>
      <c r="E138" s="1116" t="s">
        <v>4730</v>
      </c>
      <c r="F138" s="1117">
        <v>0.1</v>
      </c>
      <c r="G138" s="1109">
        <v>0.0</v>
      </c>
      <c r="H138" s="1118">
        <v>294500.0</v>
      </c>
      <c r="I138" s="1118">
        <f t="shared" si="1"/>
        <v>267730</v>
      </c>
      <c r="J138" s="1110"/>
    </row>
    <row r="139" ht="18.75" customHeight="1">
      <c r="A139" s="1110"/>
      <c r="B139" s="1115" t="s">
        <v>4459</v>
      </c>
      <c r="C139" s="1108" t="s">
        <v>4496</v>
      </c>
      <c r="D139" s="1108" t="s">
        <v>4731</v>
      </c>
      <c r="E139" s="1116" t="s">
        <v>4732</v>
      </c>
      <c r="F139" s="1117">
        <v>0.1</v>
      </c>
      <c r="G139" s="1109">
        <v>0.0</v>
      </c>
      <c r="H139" s="1116"/>
      <c r="I139" s="1118" t="str">
        <f t="shared" si="1"/>
        <v/>
      </c>
      <c r="J139" s="1110"/>
    </row>
    <row r="140" ht="18.75" customHeight="1">
      <c r="A140" s="1110"/>
      <c r="B140" s="1115" t="s">
        <v>4459</v>
      </c>
      <c r="C140" s="1108" t="s">
        <v>4496</v>
      </c>
      <c r="D140" s="1108" t="s">
        <v>4733</v>
      </c>
      <c r="E140" s="1116" t="s">
        <v>4734</v>
      </c>
      <c r="F140" s="1117">
        <v>0.1</v>
      </c>
      <c r="G140" s="1109">
        <v>0.0</v>
      </c>
      <c r="H140" s="1116"/>
      <c r="I140" s="1118" t="str">
        <f t="shared" si="1"/>
        <v/>
      </c>
      <c r="J140" s="1110"/>
    </row>
    <row r="141" ht="18.75" customHeight="1">
      <c r="A141" s="1110"/>
      <c r="B141" s="1115" t="s">
        <v>4459</v>
      </c>
      <c r="C141" s="1108" t="s">
        <v>4496</v>
      </c>
      <c r="D141" s="1108" t="s">
        <v>4735</v>
      </c>
      <c r="E141" s="1116" t="s">
        <v>4736</v>
      </c>
      <c r="F141" s="1117">
        <v>0.1</v>
      </c>
      <c r="G141" s="1109">
        <v>0.0</v>
      </c>
      <c r="H141" s="1118">
        <v>28100.0</v>
      </c>
      <c r="I141" s="1118">
        <f t="shared" si="1"/>
        <v>25550</v>
      </c>
      <c r="J141" s="1110"/>
    </row>
    <row r="142" ht="18.75" customHeight="1">
      <c r="A142" s="1110"/>
      <c r="B142" s="1115" t="s">
        <v>4459</v>
      </c>
      <c r="C142" s="1108" t="s">
        <v>4496</v>
      </c>
      <c r="D142" s="1108" t="s">
        <v>4737</v>
      </c>
      <c r="E142" s="1116" t="s">
        <v>4738</v>
      </c>
      <c r="F142" s="1117">
        <v>0.1</v>
      </c>
      <c r="G142" s="1109">
        <v>0.0</v>
      </c>
      <c r="H142" s="1118">
        <v>28100.0</v>
      </c>
      <c r="I142" s="1118">
        <f t="shared" si="1"/>
        <v>25550</v>
      </c>
      <c r="J142" s="1110"/>
    </row>
    <row r="143" ht="18.75" customHeight="1">
      <c r="A143" s="1110"/>
      <c r="B143" s="1115" t="s">
        <v>4459</v>
      </c>
      <c r="C143" s="1108" t="s">
        <v>4496</v>
      </c>
      <c r="D143" s="1108" t="s">
        <v>4739</v>
      </c>
      <c r="E143" s="1116" t="s">
        <v>4740</v>
      </c>
      <c r="F143" s="1117">
        <v>0.1</v>
      </c>
      <c r="G143" s="1109">
        <v>0.0</v>
      </c>
      <c r="H143" s="1118">
        <v>29900.0</v>
      </c>
      <c r="I143" s="1118">
        <f t="shared" si="1"/>
        <v>27180</v>
      </c>
      <c r="J143" s="1110"/>
    </row>
    <row r="144" ht="18.75" customHeight="1">
      <c r="A144" s="1110"/>
      <c r="B144" s="1115" t="s">
        <v>4459</v>
      </c>
      <c r="C144" s="1108" t="s">
        <v>4491</v>
      </c>
      <c r="D144" s="1108" t="s">
        <v>4741</v>
      </c>
      <c r="E144" s="1116" t="s">
        <v>4742</v>
      </c>
      <c r="F144" s="1117">
        <v>0.1</v>
      </c>
      <c r="G144" s="1109">
        <v>0.0</v>
      </c>
      <c r="H144" s="1118">
        <v>35500.0</v>
      </c>
      <c r="I144" s="1118">
        <f t="shared" si="1"/>
        <v>32270</v>
      </c>
      <c r="J144" s="1110"/>
    </row>
    <row r="145" ht="18.75" customHeight="1">
      <c r="A145" s="1110"/>
      <c r="B145" s="1115" t="s">
        <v>4459</v>
      </c>
      <c r="C145" s="1108" t="s">
        <v>4491</v>
      </c>
      <c r="D145" s="1108" t="s">
        <v>4743</v>
      </c>
      <c r="E145" s="1116" t="s">
        <v>4744</v>
      </c>
      <c r="F145" s="1117">
        <v>0.1</v>
      </c>
      <c r="G145" s="1109">
        <v>0.0</v>
      </c>
      <c r="H145" s="1118">
        <v>35500.0</v>
      </c>
      <c r="I145" s="1118">
        <f t="shared" si="1"/>
        <v>32270</v>
      </c>
      <c r="J145" s="1110"/>
    </row>
    <row r="146" ht="18.75" customHeight="1">
      <c r="A146" s="1110"/>
      <c r="B146" s="1115" t="s">
        <v>4459</v>
      </c>
      <c r="C146" s="1108" t="s">
        <v>4491</v>
      </c>
      <c r="D146" s="1108" t="s">
        <v>4745</v>
      </c>
      <c r="E146" s="1116" t="s">
        <v>4746</v>
      </c>
      <c r="F146" s="1117">
        <v>0.1</v>
      </c>
      <c r="G146" s="1109">
        <v>0.0</v>
      </c>
      <c r="H146" s="1118">
        <v>43000.0</v>
      </c>
      <c r="I146" s="1118">
        <f t="shared" si="1"/>
        <v>39090</v>
      </c>
      <c r="J146" s="1110"/>
    </row>
    <row r="147" ht="18.75" customHeight="1">
      <c r="A147" s="1110"/>
      <c r="B147" s="1115" t="s">
        <v>4459</v>
      </c>
      <c r="C147" s="1108" t="s">
        <v>4491</v>
      </c>
      <c r="D147" s="1108" t="s">
        <v>4747</v>
      </c>
      <c r="E147" s="1116" t="s">
        <v>4748</v>
      </c>
      <c r="F147" s="1117">
        <v>0.1</v>
      </c>
      <c r="G147" s="1109">
        <v>0.0</v>
      </c>
      <c r="H147" s="1118">
        <v>43000.0</v>
      </c>
      <c r="I147" s="1118">
        <f t="shared" si="1"/>
        <v>39090</v>
      </c>
      <c r="J147" s="1110"/>
    </row>
    <row r="148" ht="18.75" customHeight="1">
      <c r="A148" s="1110"/>
      <c r="B148" s="1115" t="s">
        <v>4459</v>
      </c>
      <c r="C148" s="1108" t="s">
        <v>4491</v>
      </c>
      <c r="D148" s="1108" t="s">
        <v>4749</v>
      </c>
      <c r="E148" s="1116" t="s">
        <v>4750</v>
      </c>
      <c r="F148" s="1117">
        <v>0.1</v>
      </c>
      <c r="G148" s="1109">
        <v>0.0</v>
      </c>
      <c r="H148" s="1118">
        <v>46800.0</v>
      </c>
      <c r="I148" s="1118">
        <f t="shared" si="1"/>
        <v>42550</v>
      </c>
      <c r="J148" s="1110"/>
    </row>
    <row r="149" ht="18.75" customHeight="1">
      <c r="A149" s="1110"/>
      <c r="B149" s="1115" t="s">
        <v>4459</v>
      </c>
      <c r="C149" s="1108" t="s">
        <v>4491</v>
      </c>
      <c r="D149" s="1108" t="s">
        <v>4751</v>
      </c>
      <c r="E149" s="1116" t="s">
        <v>4752</v>
      </c>
      <c r="F149" s="1117">
        <v>0.1</v>
      </c>
      <c r="G149" s="1109">
        <v>0.0</v>
      </c>
      <c r="H149" s="1118">
        <v>51400.0</v>
      </c>
      <c r="I149" s="1118">
        <f t="shared" si="1"/>
        <v>46730</v>
      </c>
      <c r="J149" s="1110"/>
    </row>
    <row r="150" ht="18.75" customHeight="1">
      <c r="A150" s="1110"/>
      <c r="B150" s="1115" t="s">
        <v>4459</v>
      </c>
      <c r="C150" s="1108" t="s">
        <v>4491</v>
      </c>
      <c r="D150" s="1108" t="s">
        <v>4753</v>
      </c>
      <c r="E150" s="1116" t="s">
        <v>4754</v>
      </c>
      <c r="F150" s="1117">
        <v>0.1</v>
      </c>
      <c r="G150" s="1109">
        <v>0.0</v>
      </c>
      <c r="H150" s="1118">
        <v>54200.0</v>
      </c>
      <c r="I150" s="1118">
        <f t="shared" si="1"/>
        <v>49270</v>
      </c>
      <c r="J150" s="1110"/>
    </row>
    <row r="151" ht="18.75" customHeight="1">
      <c r="A151" s="1110"/>
      <c r="B151" s="1115" t="s">
        <v>4459</v>
      </c>
      <c r="C151" s="1108" t="s">
        <v>4491</v>
      </c>
      <c r="D151" s="1108" t="s">
        <v>4755</v>
      </c>
      <c r="E151" s="1116" t="s">
        <v>4756</v>
      </c>
      <c r="F151" s="1117">
        <v>0.1</v>
      </c>
      <c r="G151" s="1109">
        <v>0.0</v>
      </c>
      <c r="H151" s="1118">
        <v>54200.0</v>
      </c>
      <c r="I151" s="1118">
        <f t="shared" si="1"/>
        <v>49270</v>
      </c>
      <c r="J151" s="1110"/>
    </row>
    <row r="152" ht="18.75" customHeight="1">
      <c r="A152" s="1110"/>
      <c r="B152" s="1115" t="s">
        <v>4459</v>
      </c>
      <c r="C152" s="1108" t="s">
        <v>4491</v>
      </c>
      <c r="D152" s="1108" t="s">
        <v>4757</v>
      </c>
      <c r="E152" s="1116" t="s">
        <v>4758</v>
      </c>
      <c r="F152" s="1117">
        <v>0.1</v>
      </c>
      <c r="G152" s="1109">
        <v>0.0</v>
      </c>
      <c r="H152" s="1118">
        <v>56100.0</v>
      </c>
      <c r="I152" s="1118">
        <f t="shared" si="1"/>
        <v>51000</v>
      </c>
      <c r="J152" s="1110"/>
    </row>
    <row r="153" ht="18.75" customHeight="1">
      <c r="A153" s="1110"/>
      <c r="B153" s="1115" t="s">
        <v>4459</v>
      </c>
      <c r="C153" s="1108" t="s">
        <v>4491</v>
      </c>
      <c r="D153" s="1108" t="s">
        <v>4759</v>
      </c>
      <c r="E153" s="1116" t="s">
        <v>4760</v>
      </c>
      <c r="F153" s="1117">
        <v>0.1</v>
      </c>
      <c r="G153" s="1109">
        <v>0.0</v>
      </c>
      <c r="H153" s="1118">
        <v>63600.0</v>
      </c>
      <c r="I153" s="1118">
        <f t="shared" si="1"/>
        <v>57820</v>
      </c>
      <c r="J153" s="1110"/>
    </row>
    <row r="154" ht="18.75" customHeight="1">
      <c r="A154" s="1110"/>
      <c r="B154" s="1115" t="s">
        <v>4459</v>
      </c>
      <c r="C154" s="1108" t="s">
        <v>4491</v>
      </c>
      <c r="D154" s="1108" t="s">
        <v>4761</v>
      </c>
      <c r="E154" s="1116" t="s">
        <v>4762</v>
      </c>
      <c r="F154" s="1117">
        <v>0.1</v>
      </c>
      <c r="G154" s="1109">
        <v>0.0</v>
      </c>
      <c r="H154" s="1118">
        <v>63600.0</v>
      </c>
      <c r="I154" s="1118">
        <f t="shared" si="1"/>
        <v>57820</v>
      </c>
      <c r="J154" s="1110"/>
    </row>
    <row r="155" ht="18.75" customHeight="1">
      <c r="A155" s="1110"/>
      <c r="B155" s="1115" t="s">
        <v>4459</v>
      </c>
      <c r="C155" s="1108" t="s">
        <v>4491</v>
      </c>
      <c r="D155" s="1108" t="s">
        <v>4763</v>
      </c>
      <c r="E155" s="1116" t="s">
        <v>4764</v>
      </c>
      <c r="F155" s="1117">
        <v>0.1</v>
      </c>
      <c r="G155" s="1109">
        <v>0.0</v>
      </c>
      <c r="H155" s="1118">
        <v>66400.0</v>
      </c>
      <c r="I155" s="1118">
        <f t="shared" si="1"/>
        <v>60360</v>
      </c>
      <c r="J155" s="1110"/>
    </row>
    <row r="156" ht="18.75" customHeight="1">
      <c r="A156" s="1110"/>
      <c r="B156" s="1115" t="s">
        <v>4459</v>
      </c>
      <c r="C156" s="1108" t="s">
        <v>4491</v>
      </c>
      <c r="D156" s="1108" t="s">
        <v>4765</v>
      </c>
      <c r="E156" s="1116" t="s">
        <v>4766</v>
      </c>
      <c r="F156" s="1117">
        <v>0.1</v>
      </c>
      <c r="G156" s="1109">
        <v>0.0</v>
      </c>
      <c r="H156" s="1118">
        <v>71100.0</v>
      </c>
      <c r="I156" s="1118">
        <f t="shared" si="1"/>
        <v>64640</v>
      </c>
      <c r="J156" s="1110"/>
    </row>
    <row r="157" ht="18.75" customHeight="1">
      <c r="A157" s="1110"/>
      <c r="B157" s="1115" t="s">
        <v>4459</v>
      </c>
      <c r="C157" s="1108" t="s">
        <v>4491</v>
      </c>
      <c r="D157" s="1108" t="s">
        <v>4767</v>
      </c>
      <c r="E157" s="1116" t="s">
        <v>4768</v>
      </c>
      <c r="F157" s="1117">
        <v>0.1</v>
      </c>
      <c r="G157" s="1109">
        <v>0.0</v>
      </c>
      <c r="H157" s="1118">
        <v>73900.0</v>
      </c>
      <c r="I157" s="1118">
        <f t="shared" si="1"/>
        <v>67180</v>
      </c>
      <c r="J157" s="1110"/>
    </row>
    <row r="158" ht="18.75" customHeight="1">
      <c r="A158" s="1110"/>
      <c r="B158" s="1115" t="s">
        <v>4459</v>
      </c>
      <c r="C158" s="1108" t="s">
        <v>4491</v>
      </c>
      <c r="D158" s="1108" t="s">
        <v>4769</v>
      </c>
      <c r="E158" s="1116" t="s">
        <v>4770</v>
      </c>
      <c r="F158" s="1117">
        <v>0.1</v>
      </c>
      <c r="G158" s="1109">
        <v>0.0</v>
      </c>
      <c r="H158" s="1118">
        <v>84200.0</v>
      </c>
      <c r="I158" s="1118">
        <f t="shared" si="1"/>
        <v>76550</v>
      </c>
      <c r="J158" s="1110"/>
    </row>
    <row r="159" ht="18.75" customHeight="1">
      <c r="A159" s="1110"/>
      <c r="B159" s="1115" t="s">
        <v>4459</v>
      </c>
      <c r="C159" s="1108" t="s">
        <v>4496</v>
      </c>
      <c r="D159" s="1108" t="s">
        <v>4771</v>
      </c>
      <c r="E159" s="1116" t="s">
        <v>4772</v>
      </c>
      <c r="F159" s="1117">
        <v>0.1</v>
      </c>
      <c r="G159" s="1109">
        <v>0.0</v>
      </c>
      <c r="H159" s="1118">
        <v>93500.0</v>
      </c>
      <c r="I159" s="1118">
        <f t="shared" si="1"/>
        <v>85000</v>
      </c>
      <c r="J159" s="1110"/>
    </row>
    <row r="160" ht="18.75" customHeight="1">
      <c r="A160" s="1110"/>
      <c r="B160" s="1115" t="s">
        <v>4459</v>
      </c>
      <c r="C160" s="1108" t="s">
        <v>4491</v>
      </c>
      <c r="D160" s="1108" t="s">
        <v>4773</v>
      </c>
      <c r="E160" s="1116" t="s">
        <v>4774</v>
      </c>
      <c r="F160" s="1117">
        <v>0.1</v>
      </c>
      <c r="G160" s="1109">
        <v>0.0</v>
      </c>
      <c r="H160" s="1118">
        <v>100000.0</v>
      </c>
      <c r="I160" s="1118">
        <f t="shared" si="1"/>
        <v>90910</v>
      </c>
      <c r="J160" s="1110"/>
    </row>
    <row r="161" ht="18.75" customHeight="1">
      <c r="A161" s="1110"/>
      <c r="B161" s="1115" t="s">
        <v>4459</v>
      </c>
      <c r="C161" s="1108" t="s">
        <v>4491</v>
      </c>
      <c r="D161" s="1108" t="s">
        <v>4775</v>
      </c>
      <c r="E161" s="1116" t="s">
        <v>4776</v>
      </c>
      <c r="F161" s="1117">
        <v>0.1</v>
      </c>
      <c r="G161" s="1109">
        <v>0.0</v>
      </c>
      <c r="H161" s="1116"/>
      <c r="I161" s="1118" t="str">
        <f t="shared" si="1"/>
        <v/>
      </c>
      <c r="J161" s="1110"/>
    </row>
    <row r="162" ht="18.75" customHeight="1">
      <c r="A162" s="1110"/>
      <c r="B162" s="1115" t="s">
        <v>4459</v>
      </c>
      <c r="C162" s="1108" t="s">
        <v>4496</v>
      </c>
      <c r="D162" s="1108" t="s">
        <v>4777</v>
      </c>
      <c r="E162" s="1116" t="s">
        <v>4778</v>
      </c>
      <c r="F162" s="1117">
        <v>0.1</v>
      </c>
      <c r="G162" s="1109">
        <v>0.0</v>
      </c>
      <c r="H162" s="1118">
        <v>102900.0</v>
      </c>
      <c r="I162" s="1118">
        <f t="shared" si="1"/>
        <v>93550</v>
      </c>
      <c r="J162" s="1110"/>
    </row>
    <row r="163" ht="18.75" customHeight="1">
      <c r="A163" s="1110"/>
      <c r="B163" s="1115" t="s">
        <v>4459</v>
      </c>
      <c r="C163" s="1108" t="s">
        <v>4496</v>
      </c>
      <c r="D163" s="1108" t="s">
        <v>4779</v>
      </c>
      <c r="E163" s="1116" t="s">
        <v>4780</v>
      </c>
      <c r="F163" s="1117">
        <v>0.1</v>
      </c>
      <c r="G163" s="1109">
        <v>0.0</v>
      </c>
      <c r="H163" s="1116"/>
      <c r="I163" s="1118" t="str">
        <f t="shared" si="1"/>
        <v/>
      </c>
      <c r="J163" s="1110"/>
    </row>
    <row r="164" ht="18.75" customHeight="1">
      <c r="A164" s="1110"/>
      <c r="B164" s="1115" t="s">
        <v>4459</v>
      </c>
      <c r="C164" s="1108" t="s">
        <v>4496</v>
      </c>
      <c r="D164" s="1108" t="s">
        <v>4781</v>
      </c>
      <c r="E164" s="1116" t="s">
        <v>4782</v>
      </c>
      <c r="F164" s="1117">
        <v>0.1</v>
      </c>
      <c r="G164" s="1109">
        <v>0.0</v>
      </c>
      <c r="H164" s="1118">
        <v>111300.0</v>
      </c>
      <c r="I164" s="1118">
        <f t="shared" si="1"/>
        <v>101180</v>
      </c>
      <c r="J164" s="1110"/>
    </row>
    <row r="165" ht="18.75" customHeight="1">
      <c r="A165" s="1110"/>
      <c r="B165" s="1115" t="s">
        <v>4459</v>
      </c>
      <c r="C165" s="1108" t="s">
        <v>4496</v>
      </c>
      <c r="D165" s="1108" t="s">
        <v>4783</v>
      </c>
      <c r="E165" s="1116" t="s">
        <v>4784</v>
      </c>
      <c r="F165" s="1117">
        <v>0.1</v>
      </c>
      <c r="G165" s="1109">
        <v>0.0</v>
      </c>
      <c r="H165" s="1118">
        <v>123400.0</v>
      </c>
      <c r="I165" s="1118">
        <f t="shared" si="1"/>
        <v>112180</v>
      </c>
      <c r="J165" s="1110"/>
    </row>
    <row r="166" ht="18.75" customHeight="1">
      <c r="A166" s="1110"/>
      <c r="B166" s="1115" t="s">
        <v>4459</v>
      </c>
      <c r="C166" s="1108" t="s">
        <v>4496</v>
      </c>
      <c r="D166" s="1108" t="s">
        <v>4785</v>
      </c>
      <c r="E166" s="1116" t="s">
        <v>4786</v>
      </c>
      <c r="F166" s="1117">
        <v>0.1</v>
      </c>
      <c r="G166" s="1109">
        <v>0.0</v>
      </c>
      <c r="H166" s="1118">
        <v>125300.0</v>
      </c>
      <c r="I166" s="1118">
        <f t="shared" si="1"/>
        <v>113910</v>
      </c>
      <c r="J166" s="1110"/>
    </row>
    <row r="167" ht="18.75" customHeight="1">
      <c r="A167" s="1110"/>
      <c r="B167" s="1115" t="s">
        <v>4459</v>
      </c>
      <c r="C167" s="1108" t="s">
        <v>4496</v>
      </c>
      <c r="D167" s="1108" t="s">
        <v>4787</v>
      </c>
      <c r="E167" s="1116" t="s">
        <v>4788</v>
      </c>
      <c r="F167" s="1117">
        <v>0.1</v>
      </c>
      <c r="G167" s="1109">
        <v>0.0</v>
      </c>
      <c r="H167" s="1118">
        <v>145900.0</v>
      </c>
      <c r="I167" s="1118">
        <f t="shared" si="1"/>
        <v>132640</v>
      </c>
      <c r="J167" s="1110"/>
    </row>
    <row r="168" ht="18.75" customHeight="1">
      <c r="A168" s="1110"/>
      <c r="B168" s="1115" t="s">
        <v>4459</v>
      </c>
      <c r="C168" s="1108" t="s">
        <v>4496</v>
      </c>
      <c r="D168" s="1108" t="s">
        <v>4789</v>
      </c>
      <c r="E168" s="1116" t="s">
        <v>4790</v>
      </c>
      <c r="F168" s="1117">
        <v>0.1</v>
      </c>
      <c r="G168" s="1109">
        <v>0.0</v>
      </c>
      <c r="H168" s="1118">
        <v>149600.0</v>
      </c>
      <c r="I168" s="1118">
        <f t="shared" si="1"/>
        <v>136000</v>
      </c>
      <c r="J168" s="1110"/>
    </row>
    <row r="169" ht="18.75" customHeight="1">
      <c r="A169" s="1110"/>
      <c r="B169" s="1115" t="s">
        <v>4459</v>
      </c>
      <c r="C169" s="1108" t="s">
        <v>4496</v>
      </c>
      <c r="D169" s="1108" t="s">
        <v>4791</v>
      </c>
      <c r="E169" s="1116" t="s">
        <v>4792</v>
      </c>
      <c r="F169" s="1117">
        <v>0.1</v>
      </c>
      <c r="G169" s="1109">
        <v>0.0</v>
      </c>
      <c r="H169" s="1118">
        <v>288000.0</v>
      </c>
      <c r="I169" s="1118">
        <f t="shared" si="1"/>
        <v>261820</v>
      </c>
      <c r="J169" s="1110"/>
    </row>
    <row r="170" ht="18.75" customHeight="1">
      <c r="A170" s="1110"/>
      <c r="B170" s="1115" t="s">
        <v>4459</v>
      </c>
      <c r="C170" s="1108" t="s">
        <v>4496</v>
      </c>
      <c r="D170" s="1108" t="s">
        <v>4793</v>
      </c>
      <c r="E170" s="1116" t="s">
        <v>4794</v>
      </c>
      <c r="F170" s="1117">
        <v>0.1</v>
      </c>
      <c r="G170" s="1109">
        <v>0.0</v>
      </c>
      <c r="H170" s="1118">
        <v>295500.0</v>
      </c>
      <c r="I170" s="1118">
        <f t="shared" si="1"/>
        <v>268640</v>
      </c>
      <c r="J170" s="1110"/>
    </row>
    <row r="171" ht="18.75" customHeight="1">
      <c r="A171" s="1110"/>
      <c r="B171" s="1115" t="s">
        <v>4459</v>
      </c>
      <c r="C171" s="1108" t="s">
        <v>4496</v>
      </c>
      <c r="D171" s="1108" t="s">
        <v>4795</v>
      </c>
      <c r="E171" s="1116" t="s">
        <v>4796</v>
      </c>
      <c r="F171" s="1117">
        <v>0.1</v>
      </c>
      <c r="G171" s="1109">
        <v>0.0</v>
      </c>
      <c r="H171" s="1118">
        <v>302900.0</v>
      </c>
      <c r="I171" s="1118">
        <f t="shared" si="1"/>
        <v>275360</v>
      </c>
      <c r="J171" s="1110"/>
    </row>
    <row r="172" ht="18.75" customHeight="1">
      <c r="A172" s="1110"/>
      <c r="B172" s="1115" t="s">
        <v>4459</v>
      </c>
      <c r="C172" s="1108" t="s">
        <v>4496</v>
      </c>
      <c r="D172" s="1108" t="s">
        <v>4797</v>
      </c>
      <c r="E172" s="1116" t="s">
        <v>4798</v>
      </c>
      <c r="F172" s="1117">
        <v>0.1</v>
      </c>
      <c r="G172" s="1109">
        <v>0.0</v>
      </c>
      <c r="H172" s="1118">
        <v>317000.0</v>
      </c>
      <c r="I172" s="1118">
        <f t="shared" si="1"/>
        <v>288180</v>
      </c>
      <c r="J172" s="1110"/>
    </row>
    <row r="173" ht="18.75" customHeight="1">
      <c r="A173" s="1110"/>
      <c r="B173" s="1115" t="s">
        <v>4459</v>
      </c>
      <c r="C173" s="1108" t="s">
        <v>4496</v>
      </c>
      <c r="D173" s="1108" t="s">
        <v>4799</v>
      </c>
      <c r="E173" s="1116" t="s">
        <v>4800</v>
      </c>
      <c r="F173" s="1117">
        <v>0.1</v>
      </c>
      <c r="G173" s="1109">
        <v>0.0</v>
      </c>
      <c r="H173" s="1118">
        <v>345000.0</v>
      </c>
      <c r="I173" s="1118">
        <f t="shared" si="1"/>
        <v>313640</v>
      </c>
      <c r="J173" s="1110"/>
    </row>
    <row r="174" ht="18.75" customHeight="1">
      <c r="A174" s="1110"/>
      <c r="B174" s="1115" t="s">
        <v>4459</v>
      </c>
      <c r="C174" s="1108" t="s">
        <v>4496</v>
      </c>
      <c r="D174" s="1108" t="s">
        <v>4801</v>
      </c>
      <c r="E174" s="1116" t="s">
        <v>4802</v>
      </c>
      <c r="F174" s="1117">
        <v>0.1</v>
      </c>
      <c r="G174" s="1109">
        <v>0.0</v>
      </c>
      <c r="H174" s="1118">
        <v>352500.0</v>
      </c>
      <c r="I174" s="1118">
        <f t="shared" si="1"/>
        <v>320450</v>
      </c>
      <c r="J174" s="1110"/>
    </row>
    <row r="175" ht="18.75" customHeight="1">
      <c r="A175" s="1110"/>
      <c r="B175" s="1115" t="s">
        <v>4459</v>
      </c>
      <c r="C175" s="1108" t="s">
        <v>4496</v>
      </c>
      <c r="D175" s="1108" t="s">
        <v>4803</v>
      </c>
      <c r="E175" s="1116" t="s">
        <v>4804</v>
      </c>
      <c r="F175" s="1117">
        <v>0.1</v>
      </c>
      <c r="G175" s="1109">
        <v>0.0</v>
      </c>
      <c r="H175" s="1118">
        <v>360000.0</v>
      </c>
      <c r="I175" s="1118">
        <f t="shared" si="1"/>
        <v>327270</v>
      </c>
      <c r="J175" s="1110"/>
    </row>
    <row r="176" ht="18.75" customHeight="1">
      <c r="A176" s="1110"/>
      <c r="B176" s="1115" t="s">
        <v>4459</v>
      </c>
      <c r="C176" s="1108" t="s">
        <v>4496</v>
      </c>
      <c r="D176" s="1108" t="s">
        <v>4805</v>
      </c>
      <c r="E176" s="1116" t="s">
        <v>4806</v>
      </c>
      <c r="F176" s="1117">
        <v>0.1</v>
      </c>
      <c r="G176" s="1109">
        <v>0.0</v>
      </c>
      <c r="H176" s="1118">
        <v>374000.0</v>
      </c>
      <c r="I176" s="1118">
        <f t="shared" si="1"/>
        <v>340000</v>
      </c>
      <c r="J176" s="1110"/>
    </row>
    <row r="177" ht="18.75" customHeight="1">
      <c r="A177" s="1110"/>
      <c r="B177" s="1115" t="s">
        <v>4459</v>
      </c>
      <c r="C177" s="1108" t="s">
        <v>4496</v>
      </c>
      <c r="D177" s="1108" t="s">
        <v>4807</v>
      </c>
      <c r="E177" s="1116" t="s">
        <v>4808</v>
      </c>
      <c r="F177" s="1117">
        <v>0.1</v>
      </c>
      <c r="G177" s="1109">
        <v>0.0</v>
      </c>
      <c r="H177" s="1116"/>
      <c r="I177" s="1118" t="str">
        <f t="shared" si="1"/>
        <v/>
      </c>
      <c r="J177" s="1110"/>
    </row>
    <row r="178" ht="18.75" customHeight="1">
      <c r="A178" s="1110"/>
      <c r="B178" s="1115" t="s">
        <v>4459</v>
      </c>
      <c r="C178" s="1108" t="s">
        <v>4496</v>
      </c>
      <c r="D178" s="1108" t="s">
        <v>4809</v>
      </c>
      <c r="E178" s="1116" t="s">
        <v>4810</v>
      </c>
      <c r="F178" s="1117">
        <v>0.1</v>
      </c>
      <c r="G178" s="1109">
        <v>0.0</v>
      </c>
      <c r="H178" s="1116"/>
      <c r="I178" s="1118" t="str">
        <f t="shared" si="1"/>
        <v/>
      </c>
      <c r="J178" s="1110"/>
    </row>
    <row r="179" ht="18.75" customHeight="1">
      <c r="A179" s="1110"/>
      <c r="B179" s="1115" t="s">
        <v>4459</v>
      </c>
      <c r="C179" s="1108" t="s">
        <v>4496</v>
      </c>
      <c r="D179" s="1108" t="s">
        <v>4811</v>
      </c>
      <c r="E179" s="1116" t="s">
        <v>4812</v>
      </c>
      <c r="F179" s="1117">
        <v>0.1</v>
      </c>
      <c r="G179" s="1109">
        <v>0.0</v>
      </c>
      <c r="H179" s="1116"/>
      <c r="I179" s="1118" t="str">
        <f t="shared" si="1"/>
        <v/>
      </c>
      <c r="J179" s="1110"/>
    </row>
    <row r="180" ht="18.75" customHeight="1">
      <c r="A180" s="1110"/>
      <c r="B180" s="1115" t="s">
        <v>4459</v>
      </c>
      <c r="C180" s="1108" t="s">
        <v>4496</v>
      </c>
      <c r="D180" s="1108" t="s">
        <v>4813</v>
      </c>
      <c r="E180" s="1116" t="s">
        <v>4814</v>
      </c>
      <c r="F180" s="1117">
        <v>0.1</v>
      </c>
      <c r="G180" s="1109">
        <v>0.0</v>
      </c>
      <c r="H180" s="1118">
        <v>88800.0</v>
      </c>
      <c r="I180" s="1118">
        <f t="shared" si="1"/>
        <v>80730</v>
      </c>
      <c r="J180" s="1110"/>
    </row>
    <row r="181" ht="18.75" customHeight="1">
      <c r="A181" s="1110"/>
      <c r="B181" s="1115" t="s">
        <v>4459</v>
      </c>
      <c r="C181" s="1108" t="s">
        <v>4496</v>
      </c>
      <c r="D181" s="1108" t="s">
        <v>4815</v>
      </c>
      <c r="E181" s="1116" t="s">
        <v>4816</v>
      </c>
      <c r="F181" s="1117">
        <v>0.1</v>
      </c>
      <c r="G181" s="1109">
        <v>0.0</v>
      </c>
      <c r="H181" s="1116"/>
      <c r="I181" s="1118" t="str">
        <f t="shared" si="1"/>
        <v/>
      </c>
      <c r="J181" s="1110"/>
    </row>
    <row r="182" ht="18.75" customHeight="1">
      <c r="A182" s="1110"/>
      <c r="B182" s="1115" t="s">
        <v>4459</v>
      </c>
      <c r="C182" s="1108" t="s">
        <v>4496</v>
      </c>
      <c r="D182" s="1108" t="s">
        <v>4817</v>
      </c>
      <c r="E182" s="1116" t="s">
        <v>4818</v>
      </c>
      <c r="F182" s="1117">
        <v>0.1</v>
      </c>
      <c r="G182" s="1109">
        <v>0.0</v>
      </c>
      <c r="H182" s="1118">
        <v>88800.0</v>
      </c>
      <c r="I182" s="1118">
        <f t="shared" si="1"/>
        <v>80730</v>
      </c>
      <c r="J182" s="1110"/>
    </row>
    <row r="183" ht="18.75" customHeight="1">
      <c r="A183" s="1110"/>
      <c r="B183" s="1115" t="s">
        <v>4459</v>
      </c>
      <c r="C183" s="1108" t="s">
        <v>4496</v>
      </c>
      <c r="D183" s="1108" t="s">
        <v>4819</v>
      </c>
      <c r="E183" s="1116" t="s">
        <v>4820</v>
      </c>
      <c r="F183" s="1117">
        <v>0.1</v>
      </c>
      <c r="G183" s="1109">
        <v>0.0</v>
      </c>
      <c r="H183" s="1118">
        <v>99100.0</v>
      </c>
      <c r="I183" s="1118">
        <f t="shared" si="1"/>
        <v>90090</v>
      </c>
      <c r="J183" s="1110"/>
    </row>
    <row r="184" ht="18.75" customHeight="1">
      <c r="A184" s="1110"/>
      <c r="B184" s="1115" t="s">
        <v>4459</v>
      </c>
      <c r="C184" s="1108" t="s">
        <v>4496</v>
      </c>
      <c r="D184" s="1108" t="s">
        <v>4821</v>
      </c>
      <c r="E184" s="1116" t="s">
        <v>4822</v>
      </c>
      <c r="F184" s="1117">
        <v>0.1</v>
      </c>
      <c r="G184" s="1109">
        <v>0.0</v>
      </c>
      <c r="H184" s="1118">
        <v>109400.0</v>
      </c>
      <c r="I184" s="1118">
        <f t="shared" si="1"/>
        <v>99450</v>
      </c>
      <c r="J184" s="1110"/>
    </row>
    <row r="185" ht="18.75" customHeight="1">
      <c r="A185" s="1110"/>
      <c r="B185" s="1115" t="s">
        <v>4459</v>
      </c>
      <c r="C185" s="1108" t="s">
        <v>4496</v>
      </c>
      <c r="D185" s="1108" t="s">
        <v>4823</v>
      </c>
      <c r="E185" s="1116" t="s">
        <v>4824</v>
      </c>
      <c r="F185" s="1117">
        <v>0.1</v>
      </c>
      <c r="G185" s="1109">
        <v>0.0</v>
      </c>
      <c r="H185" s="1118">
        <v>109400.0</v>
      </c>
      <c r="I185" s="1118">
        <f t="shared" si="1"/>
        <v>99450</v>
      </c>
      <c r="J185" s="1110"/>
    </row>
    <row r="186" ht="18.75" customHeight="1">
      <c r="A186" s="1110"/>
      <c r="B186" s="1115" t="s">
        <v>4459</v>
      </c>
      <c r="C186" s="1108" t="s">
        <v>4496</v>
      </c>
      <c r="D186" s="1108" t="s">
        <v>4825</v>
      </c>
      <c r="E186" s="1116" t="s">
        <v>4826</v>
      </c>
      <c r="F186" s="1117">
        <v>0.1</v>
      </c>
      <c r="G186" s="1109">
        <v>0.0</v>
      </c>
      <c r="H186" s="1118">
        <v>114100.0</v>
      </c>
      <c r="I186" s="1118">
        <f t="shared" si="1"/>
        <v>103730</v>
      </c>
      <c r="J186" s="1110"/>
    </row>
    <row r="187" ht="18.75" customHeight="1">
      <c r="A187" s="1110"/>
      <c r="B187" s="1115" t="s">
        <v>4459</v>
      </c>
      <c r="C187" s="1108" t="s">
        <v>4496</v>
      </c>
      <c r="D187" s="1108" t="s">
        <v>4827</v>
      </c>
      <c r="E187" s="1116" t="s">
        <v>4828</v>
      </c>
      <c r="F187" s="1117">
        <v>0.1</v>
      </c>
      <c r="G187" s="1109">
        <v>0.0</v>
      </c>
      <c r="H187" s="1118">
        <v>114100.0</v>
      </c>
      <c r="I187" s="1118">
        <f t="shared" si="1"/>
        <v>103730</v>
      </c>
      <c r="J187" s="1110"/>
    </row>
    <row r="188" ht="18.75" customHeight="1">
      <c r="A188" s="1110"/>
      <c r="B188" s="1115" t="s">
        <v>4459</v>
      </c>
      <c r="C188" s="1108" t="s">
        <v>4496</v>
      </c>
      <c r="D188" s="1108" t="s">
        <v>4829</v>
      </c>
      <c r="E188" s="1116" t="s">
        <v>4830</v>
      </c>
      <c r="F188" s="1117">
        <v>0.1</v>
      </c>
      <c r="G188" s="1109">
        <v>0.0</v>
      </c>
      <c r="H188" s="1118">
        <v>118700.0</v>
      </c>
      <c r="I188" s="1118">
        <f t="shared" si="1"/>
        <v>107910</v>
      </c>
      <c r="J188" s="1110"/>
    </row>
    <row r="189" ht="18.75" customHeight="1">
      <c r="A189" s="1110"/>
      <c r="B189" s="1115" t="s">
        <v>4459</v>
      </c>
      <c r="C189" s="1108" t="s">
        <v>4496</v>
      </c>
      <c r="D189" s="1108" t="s">
        <v>4831</v>
      </c>
      <c r="E189" s="1116" t="s">
        <v>4832</v>
      </c>
      <c r="F189" s="1117">
        <v>0.1</v>
      </c>
      <c r="G189" s="1109">
        <v>0.0</v>
      </c>
      <c r="H189" s="1118">
        <v>132800.0</v>
      </c>
      <c r="I189" s="1118">
        <f t="shared" si="1"/>
        <v>120730</v>
      </c>
      <c r="J189" s="1110"/>
    </row>
    <row r="190" ht="18.75" customHeight="1">
      <c r="A190" s="1110"/>
      <c r="B190" s="1115" t="s">
        <v>4459</v>
      </c>
      <c r="C190" s="1108" t="s">
        <v>4496</v>
      </c>
      <c r="D190" s="1108" t="s">
        <v>4833</v>
      </c>
      <c r="E190" s="1116" t="s">
        <v>4834</v>
      </c>
      <c r="F190" s="1117">
        <v>0.1</v>
      </c>
      <c r="G190" s="1109">
        <v>0.0</v>
      </c>
      <c r="H190" s="1118">
        <v>139300.0</v>
      </c>
      <c r="I190" s="1118">
        <f t="shared" si="1"/>
        <v>126640</v>
      </c>
      <c r="J190" s="1110"/>
    </row>
    <row r="191" ht="18.75" customHeight="1">
      <c r="A191" s="1110"/>
      <c r="B191" s="1115" t="s">
        <v>4459</v>
      </c>
      <c r="C191" s="1108" t="s">
        <v>4496</v>
      </c>
      <c r="D191" s="1108" t="s">
        <v>4835</v>
      </c>
      <c r="E191" s="1116" t="s">
        <v>4836</v>
      </c>
      <c r="F191" s="1117">
        <v>0.1</v>
      </c>
      <c r="G191" s="1109">
        <v>0.0</v>
      </c>
      <c r="H191" s="1118">
        <v>148700.0</v>
      </c>
      <c r="I191" s="1118">
        <f t="shared" si="1"/>
        <v>135180</v>
      </c>
      <c r="J191" s="1110"/>
    </row>
    <row r="192" ht="18.75" customHeight="1">
      <c r="A192" s="1110"/>
      <c r="B192" s="1115" t="s">
        <v>4459</v>
      </c>
      <c r="C192" s="1108" t="s">
        <v>4496</v>
      </c>
      <c r="D192" s="1108" t="s">
        <v>4837</v>
      </c>
      <c r="E192" s="1116" t="s">
        <v>4838</v>
      </c>
      <c r="F192" s="1117">
        <v>0.1</v>
      </c>
      <c r="G192" s="1109">
        <v>0.0</v>
      </c>
      <c r="H192" s="1118">
        <v>158000.0</v>
      </c>
      <c r="I192" s="1118">
        <f t="shared" si="1"/>
        <v>143640</v>
      </c>
      <c r="J192" s="1110"/>
    </row>
    <row r="193" ht="18.75" customHeight="1">
      <c r="A193" s="1110"/>
      <c r="B193" s="1115" t="s">
        <v>4459</v>
      </c>
      <c r="C193" s="1108" t="s">
        <v>4496</v>
      </c>
      <c r="D193" s="1108" t="s">
        <v>4839</v>
      </c>
      <c r="E193" s="1116" t="s">
        <v>4840</v>
      </c>
      <c r="F193" s="1117">
        <v>0.1</v>
      </c>
      <c r="G193" s="1109">
        <v>0.0</v>
      </c>
      <c r="H193" s="1118">
        <v>179500.0</v>
      </c>
      <c r="I193" s="1118">
        <f t="shared" si="1"/>
        <v>163180</v>
      </c>
      <c r="J193" s="1110"/>
    </row>
    <row r="194" ht="18.75" customHeight="1">
      <c r="A194" s="1110"/>
      <c r="B194" s="1115" t="s">
        <v>4459</v>
      </c>
      <c r="C194" s="1108" t="s">
        <v>4496</v>
      </c>
      <c r="D194" s="1108" t="s">
        <v>4841</v>
      </c>
      <c r="E194" s="1116" t="s">
        <v>4842</v>
      </c>
      <c r="F194" s="1117">
        <v>0.1</v>
      </c>
      <c r="G194" s="1109">
        <v>0.0</v>
      </c>
      <c r="H194" s="1118">
        <v>201000.0</v>
      </c>
      <c r="I194" s="1118">
        <f t="shared" si="1"/>
        <v>182730</v>
      </c>
      <c r="J194" s="1110"/>
    </row>
    <row r="195" ht="18.75" customHeight="1">
      <c r="A195" s="1110"/>
      <c r="B195" s="1115" t="s">
        <v>4459</v>
      </c>
      <c r="C195" s="1108" t="s">
        <v>4496</v>
      </c>
      <c r="D195" s="1108" t="s">
        <v>4843</v>
      </c>
      <c r="E195" s="1116" t="s">
        <v>4844</v>
      </c>
      <c r="F195" s="1117">
        <v>0.1</v>
      </c>
      <c r="G195" s="1109">
        <v>0.0</v>
      </c>
      <c r="H195" s="1118">
        <v>213200.0</v>
      </c>
      <c r="I195" s="1118">
        <f t="shared" si="1"/>
        <v>193820</v>
      </c>
      <c r="J195" s="1110"/>
    </row>
    <row r="196" ht="18.75" customHeight="1">
      <c r="A196" s="1110"/>
      <c r="B196" s="1115" t="s">
        <v>4459</v>
      </c>
      <c r="C196" s="1108" t="s">
        <v>4496</v>
      </c>
      <c r="D196" s="1108" t="s">
        <v>4845</v>
      </c>
      <c r="E196" s="1116" t="s">
        <v>4846</v>
      </c>
      <c r="F196" s="1117">
        <v>0.1</v>
      </c>
      <c r="G196" s="1109">
        <v>0.0</v>
      </c>
      <c r="H196" s="1116"/>
      <c r="I196" s="1118" t="str">
        <f t="shared" si="1"/>
        <v/>
      </c>
      <c r="J196" s="1110"/>
    </row>
    <row r="197" ht="18.75" customHeight="1">
      <c r="A197" s="1110"/>
      <c r="B197" s="1115" t="s">
        <v>4459</v>
      </c>
      <c r="C197" s="1108" t="s">
        <v>4491</v>
      </c>
      <c r="D197" s="1108" t="s">
        <v>4847</v>
      </c>
      <c r="E197" s="1116" t="s">
        <v>4848</v>
      </c>
      <c r="F197" s="1117">
        <v>0.1</v>
      </c>
      <c r="G197" s="1109">
        <v>0.0</v>
      </c>
      <c r="H197" s="1118">
        <v>218800.0</v>
      </c>
      <c r="I197" s="1118">
        <f t="shared" si="1"/>
        <v>198910</v>
      </c>
      <c r="J197" s="1110"/>
    </row>
    <row r="198" ht="18.75" customHeight="1">
      <c r="A198" s="1110"/>
      <c r="B198" s="1115" t="s">
        <v>4459</v>
      </c>
      <c r="C198" s="1108" t="s">
        <v>4496</v>
      </c>
      <c r="D198" s="1108" t="s">
        <v>4849</v>
      </c>
      <c r="E198" s="1116" t="s">
        <v>4850</v>
      </c>
      <c r="F198" s="1117">
        <v>0.1</v>
      </c>
      <c r="G198" s="1109">
        <v>0.0</v>
      </c>
      <c r="H198" s="1116"/>
      <c r="I198" s="1118" t="str">
        <f t="shared" si="1"/>
        <v/>
      </c>
      <c r="J198" s="1110"/>
    </row>
    <row r="199" ht="18.75" customHeight="1">
      <c r="A199" s="1110"/>
      <c r="B199" s="1115" t="s">
        <v>4459</v>
      </c>
      <c r="C199" s="1108" t="s">
        <v>4496</v>
      </c>
      <c r="D199" s="1108" t="s">
        <v>4851</v>
      </c>
      <c r="E199" s="1116" t="s">
        <v>4852</v>
      </c>
      <c r="F199" s="1117">
        <v>0.1</v>
      </c>
      <c r="G199" s="1109">
        <v>0.0</v>
      </c>
      <c r="H199" s="1118">
        <v>235600.0</v>
      </c>
      <c r="I199" s="1118">
        <f t="shared" si="1"/>
        <v>214180</v>
      </c>
      <c r="J199" s="1110"/>
    </row>
    <row r="200" ht="18.75" customHeight="1">
      <c r="A200" s="1110"/>
      <c r="B200" s="1115" t="s">
        <v>4459</v>
      </c>
      <c r="C200" s="1108" t="s">
        <v>4496</v>
      </c>
      <c r="D200" s="1108" t="s">
        <v>4853</v>
      </c>
      <c r="E200" s="1116" t="s">
        <v>4854</v>
      </c>
      <c r="F200" s="1117">
        <v>0.1</v>
      </c>
      <c r="G200" s="1109">
        <v>0.0</v>
      </c>
      <c r="H200" s="1118">
        <v>263700.0</v>
      </c>
      <c r="I200" s="1118">
        <f t="shared" si="1"/>
        <v>239730</v>
      </c>
      <c r="J200" s="1110"/>
    </row>
    <row r="201" ht="18.75" customHeight="1">
      <c r="A201" s="1110"/>
      <c r="B201" s="1115" t="s">
        <v>4459</v>
      </c>
      <c r="C201" s="1108" t="s">
        <v>4496</v>
      </c>
      <c r="D201" s="1108" t="s">
        <v>4855</v>
      </c>
      <c r="E201" s="1116" t="s">
        <v>4856</v>
      </c>
      <c r="F201" s="1117">
        <v>0.1</v>
      </c>
      <c r="G201" s="1109">
        <v>0.0</v>
      </c>
      <c r="H201" s="1118">
        <v>271200.0</v>
      </c>
      <c r="I201" s="1118">
        <f t="shared" si="1"/>
        <v>246550</v>
      </c>
      <c r="J201" s="1110"/>
    </row>
    <row r="202" ht="18.75" customHeight="1">
      <c r="A202" s="1110"/>
      <c r="B202" s="1115" t="s">
        <v>4459</v>
      </c>
      <c r="C202" s="1108" t="s">
        <v>4496</v>
      </c>
      <c r="D202" s="1108" t="s">
        <v>4857</v>
      </c>
      <c r="E202" s="1116" t="s">
        <v>4858</v>
      </c>
      <c r="F202" s="1117">
        <v>0.1</v>
      </c>
      <c r="G202" s="1109">
        <v>0.0</v>
      </c>
      <c r="H202" s="1118">
        <v>279600.0</v>
      </c>
      <c r="I202" s="1118">
        <f t="shared" si="1"/>
        <v>254180</v>
      </c>
      <c r="J202" s="1110"/>
    </row>
    <row r="203" ht="18.75" customHeight="1">
      <c r="A203" s="1110"/>
      <c r="B203" s="1115" t="s">
        <v>4459</v>
      </c>
      <c r="C203" s="1108" t="s">
        <v>4496</v>
      </c>
      <c r="D203" s="1108" t="s">
        <v>4859</v>
      </c>
      <c r="E203" s="1116" t="s">
        <v>4860</v>
      </c>
      <c r="F203" s="1117">
        <v>0.1</v>
      </c>
      <c r="G203" s="1109">
        <v>0.0</v>
      </c>
      <c r="H203" s="1118">
        <v>317000.0</v>
      </c>
      <c r="I203" s="1118">
        <f t="shared" si="1"/>
        <v>288180</v>
      </c>
      <c r="J203" s="1110"/>
    </row>
    <row r="204" ht="18.75" customHeight="1">
      <c r="A204" s="1110"/>
      <c r="B204" s="1115" t="s">
        <v>4459</v>
      </c>
      <c r="C204" s="1108" t="s">
        <v>4496</v>
      </c>
      <c r="D204" s="1108" t="s">
        <v>4861</v>
      </c>
      <c r="E204" s="1116" t="s">
        <v>4862</v>
      </c>
      <c r="F204" s="1117">
        <v>0.1</v>
      </c>
      <c r="G204" s="1109">
        <v>0.0</v>
      </c>
      <c r="H204" s="1116"/>
      <c r="I204" s="1118" t="str">
        <f t="shared" si="1"/>
        <v/>
      </c>
      <c r="J204" s="1110"/>
    </row>
    <row r="205" ht="18.75" customHeight="1">
      <c r="A205" s="1110"/>
      <c r="B205" s="1115" t="s">
        <v>4459</v>
      </c>
      <c r="C205" s="1108" t="s">
        <v>4496</v>
      </c>
      <c r="D205" s="1108" t="s">
        <v>4863</v>
      </c>
      <c r="E205" s="1116" t="s">
        <v>4864</v>
      </c>
      <c r="F205" s="1117">
        <v>0.1</v>
      </c>
      <c r="G205" s="1109">
        <v>0.0</v>
      </c>
      <c r="H205" s="1116"/>
      <c r="I205" s="1118" t="str">
        <f t="shared" si="1"/>
        <v/>
      </c>
      <c r="J205" s="1110"/>
    </row>
    <row r="206" ht="18.75" customHeight="1">
      <c r="A206" s="1110"/>
      <c r="B206" s="1115" t="s">
        <v>4459</v>
      </c>
      <c r="C206" s="1108" t="s">
        <v>4496</v>
      </c>
      <c r="D206" s="1108" t="s">
        <v>4865</v>
      </c>
      <c r="E206" s="1116" t="s">
        <v>4866</v>
      </c>
      <c r="F206" s="1117">
        <v>0.1</v>
      </c>
      <c r="G206" s="1109">
        <v>0.0</v>
      </c>
      <c r="H206" s="1116"/>
      <c r="I206" s="1118" t="str">
        <f t="shared" si="1"/>
        <v/>
      </c>
      <c r="J206" s="1110"/>
    </row>
    <row r="207" ht="18.75" customHeight="1">
      <c r="A207" s="1110"/>
      <c r="B207" s="1115" t="s">
        <v>4459</v>
      </c>
      <c r="C207" s="1108" t="s">
        <v>4496</v>
      </c>
      <c r="D207" s="1108" t="s">
        <v>4867</v>
      </c>
      <c r="E207" s="1116" t="s">
        <v>4868</v>
      </c>
      <c r="F207" s="1117">
        <v>0.1</v>
      </c>
      <c r="G207" s="1109">
        <v>0.0</v>
      </c>
      <c r="H207" s="1118">
        <v>437600.0</v>
      </c>
      <c r="I207" s="1118">
        <f t="shared" si="1"/>
        <v>397820</v>
      </c>
      <c r="J207" s="1110"/>
    </row>
    <row r="208" ht="18.75" customHeight="1">
      <c r="A208" s="1110"/>
      <c r="B208" s="1115" t="s">
        <v>4459</v>
      </c>
      <c r="C208" s="1108" t="s">
        <v>4496</v>
      </c>
      <c r="D208" s="1108" t="s">
        <v>4869</v>
      </c>
      <c r="E208" s="1116" t="s">
        <v>4870</v>
      </c>
      <c r="F208" s="1117">
        <v>0.1</v>
      </c>
      <c r="G208" s="1109">
        <v>0.0</v>
      </c>
      <c r="H208" s="1116"/>
      <c r="I208" s="1118" t="str">
        <f t="shared" si="1"/>
        <v/>
      </c>
      <c r="J208" s="1110"/>
    </row>
    <row r="209" ht="18.75" customHeight="1">
      <c r="A209" s="1110"/>
      <c r="B209" s="1115" t="s">
        <v>4459</v>
      </c>
      <c r="C209" s="1108" t="s">
        <v>4496</v>
      </c>
      <c r="D209" s="1108" t="s">
        <v>4871</v>
      </c>
      <c r="E209" s="1116" t="s">
        <v>4872</v>
      </c>
      <c r="F209" s="1117">
        <v>0.1</v>
      </c>
      <c r="G209" s="1109">
        <v>0.0</v>
      </c>
      <c r="H209" s="1116"/>
      <c r="I209" s="1118" t="str">
        <f t="shared" si="1"/>
        <v/>
      </c>
      <c r="J209" s="1110"/>
    </row>
    <row r="210" ht="18.75" customHeight="1">
      <c r="A210" s="1110"/>
      <c r="B210" s="1115" t="s">
        <v>4459</v>
      </c>
      <c r="C210" s="1108" t="s">
        <v>4496</v>
      </c>
      <c r="D210" s="1108" t="s">
        <v>4873</v>
      </c>
      <c r="E210" s="1116" t="s">
        <v>4874</v>
      </c>
      <c r="F210" s="1117">
        <v>0.1</v>
      </c>
      <c r="G210" s="1109">
        <v>0.0</v>
      </c>
      <c r="H210" s="1116"/>
      <c r="I210" s="1118" t="str">
        <f t="shared" si="1"/>
        <v/>
      </c>
      <c r="J210" s="1110"/>
    </row>
    <row r="211" ht="18.75" customHeight="1">
      <c r="A211" s="1110"/>
      <c r="B211" s="1115" t="s">
        <v>4459</v>
      </c>
      <c r="C211" s="1108" t="s">
        <v>4496</v>
      </c>
      <c r="D211" s="1108" t="s">
        <v>4875</v>
      </c>
      <c r="E211" s="1116" t="s">
        <v>4876</v>
      </c>
      <c r="F211" s="1117">
        <v>0.1</v>
      </c>
      <c r="G211" s="1109">
        <v>0.0</v>
      </c>
      <c r="H211" s="1116"/>
      <c r="I211" s="1118" t="str">
        <f t="shared" si="1"/>
        <v/>
      </c>
      <c r="J211" s="1110"/>
    </row>
    <row r="212" ht="18.75" customHeight="1">
      <c r="A212" s="1110"/>
      <c r="B212" s="1115" t="s">
        <v>4459</v>
      </c>
      <c r="C212" s="1108" t="s">
        <v>4496</v>
      </c>
      <c r="D212" s="1108" t="s">
        <v>4877</v>
      </c>
      <c r="E212" s="1116" t="s">
        <v>4878</v>
      </c>
      <c r="F212" s="1117">
        <v>0.1</v>
      </c>
      <c r="G212" s="1109">
        <v>0.0</v>
      </c>
      <c r="H212" s="1116"/>
      <c r="I212" s="1118" t="str">
        <f t="shared" si="1"/>
        <v/>
      </c>
      <c r="J212" s="1110"/>
    </row>
    <row r="213" ht="18.75" customHeight="1">
      <c r="A213" s="1110"/>
      <c r="B213" s="1115" t="s">
        <v>4459</v>
      </c>
      <c r="C213" s="1108" t="s">
        <v>4496</v>
      </c>
      <c r="D213" s="1108" t="s">
        <v>4879</v>
      </c>
      <c r="E213" s="1116" t="s">
        <v>4880</v>
      </c>
      <c r="F213" s="1117">
        <v>0.1</v>
      </c>
      <c r="G213" s="1109">
        <v>0.0</v>
      </c>
      <c r="H213" s="1116"/>
      <c r="I213" s="1118" t="str">
        <f t="shared" si="1"/>
        <v/>
      </c>
      <c r="J213" s="1110"/>
    </row>
    <row r="214" ht="18.75" customHeight="1">
      <c r="A214" s="1110"/>
      <c r="B214" s="1115" t="s">
        <v>4459</v>
      </c>
      <c r="C214" s="1108" t="s">
        <v>4496</v>
      </c>
      <c r="D214" s="1108" t="s">
        <v>4881</v>
      </c>
      <c r="E214" s="1116" t="s">
        <v>4882</v>
      </c>
      <c r="F214" s="1117">
        <v>0.1</v>
      </c>
      <c r="G214" s="1109">
        <v>0.0</v>
      </c>
      <c r="H214" s="1116"/>
      <c r="I214" s="1118" t="str">
        <f t="shared" si="1"/>
        <v/>
      </c>
      <c r="J214" s="1110"/>
    </row>
    <row r="215" ht="18.75" customHeight="1">
      <c r="A215" s="1110"/>
      <c r="B215" s="1115" t="s">
        <v>4459</v>
      </c>
      <c r="C215" s="1108" t="s">
        <v>4496</v>
      </c>
      <c r="D215" s="1108" t="s">
        <v>4883</v>
      </c>
      <c r="E215" s="1116" t="s">
        <v>4884</v>
      </c>
      <c r="F215" s="1117">
        <v>0.1</v>
      </c>
      <c r="G215" s="1109">
        <v>0.0</v>
      </c>
      <c r="H215" s="1116"/>
      <c r="I215" s="1118" t="str">
        <f t="shared" si="1"/>
        <v/>
      </c>
      <c r="J215" s="1110"/>
    </row>
    <row r="216" ht="18.75" customHeight="1">
      <c r="A216" s="1110"/>
      <c r="B216" s="1115" t="s">
        <v>4459</v>
      </c>
      <c r="C216" s="1108" t="s">
        <v>4496</v>
      </c>
      <c r="D216" s="1108" t="s">
        <v>4885</v>
      </c>
      <c r="E216" s="1116" t="s">
        <v>4886</v>
      </c>
      <c r="F216" s="1117">
        <v>0.1</v>
      </c>
      <c r="G216" s="1109">
        <v>0.0</v>
      </c>
      <c r="H216" s="1116"/>
      <c r="I216" s="1118" t="str">
        <f t="shared" si="1"/>
        <v/>
      </c>
      <c r="J216" s="1110"/>
    </row>
    <row r="217" ht="18.75" customHeight="1">
      <c r="A217" s="1110"/>
      <c r="B217" s="1115" t="s">
        <v>4459</v>
      </c>
      <c r="C217" s="1108" t="s">
        <v>4496</v>
      </c>
      <c r="D217" s="1108" t="s">
        <v>4887</v>
      </c>
      <c r="E217" s="1116" t="s">
        <v>4888</v>
      </c>
      <c r="F217" s="1117">
        <v>0.1</v>
      </c>
      <c r="G217" s="1109">
        <v>0.0</v>
      </c>
      <c r="H217" s="1118">
        <v>120600.0</v>
      </c>
      <c r="I217" s="1118">
        <f t="shared" si="1"/>
        <v>109640</v>
      </c>
      <c r="J217" s="1110"/>
    </row>
    <row r="218" ht="18.75" customHeight="1">
      <c r="A218" s="1110"/>
      <c r="B218" s="1115" t="s">
        <v>4459</v>
      </c>
      <c r="C218" s="1108" t="s">
        <v>4496</v>
      </c>
      <c r="D218" s="1108" t="s">
        <v>4889</v>
      </c>
      <c r="E218" s="1116" t="s">
        <v>4890</v>
      </c>
      <c r="F218" s="1117">
        <v>0.1</v>
      </c>
      <c r="G218" s="1109">
        <v>0.0</v>
      </c>
      <c r="H218" s="1118">
        <v>136500.0</v>
      </c>
      <c r="I218" s="1118">
        <f t="shared" si="1"/>
        <v>124090</v>
      </c>
      <c r="J218" s="1110"/>
    </row>
    <row r="219" ht="18.75" customHeight="1">
      <c r="A219" s="1110"/>
      <c r="B219" s="1115" t="s">
        <v>4459</v>
      </c>
      <c r="C219" s="1108" t="s">
        <v>4496</v>
      </c>
      <c r="D219" s="1108" t="s">
        <v>4891</v>
      </c>
      <c r="E219" s="1116" t="s">
        <v>4892</v>
      </c>
      <c r="F219" s="1117">
        <v>0.1</v>
      </c>
      <c r="G219" s="1109">
        <v>0.0</v>
      </c>
      <c r="H219" s="1118">
        <v>150500.0</v>
      </c>
      <c r="I219" s="1118">
        <f t="shared" si="1"/>
        <v>136820</v>
      </c>
      <c r="J219" s="1110"/>
    </row>
    <row r="220" ht="18.75" customHeight="1">
      <c r="A220" s="1110"/>
      <c r="B220" s="1115" t="s">
        <v>4459</v>
      </c>
      <c r="C220" s="1108" t="s">
        <v>4496</v>
      </c>
      <c r="D220" s="1108" t="s">
        <v>4893</v>
      </c>
      <c r="E220" s="1116" t="s">
        <v>4894</v>
      </c>
      <c r="F220" s="1117">
        <v>0.1</v>
      </c>
      <c r="G220" s="1109">
        <v>0.0</v>
      </c>
      <c r="H220" s="1118">
        <v>157100.0</v>
      </c>
      <c r="I220" s="1118">
        <f t="shared" si="1"/>
        <v>142820</v>
      </c>
      <c r="J220" s="1110"/>
    </row>
    <row r="221" ht="18.75" customHeight="1">
      <c r="A221" s="1110"/>
      <c r="B221" s="1115" t="s">
        <v>4459</v>
      </c>
      <c r="C221" s="1108" t="s">
        <v>4460</v>
      </c>
      <c r="D221" s="1108" t="s">
        <v>4895</v>
      </c>
      <c r="E221" s="1116" t="s">
        <v>4896</v>
      </c>
      <c r="F221" s="1117">
        <v>0.1</v>
      </c>
      <c r="G221" s="1109">
        <v>0.0</v>
      </c>
      <c r="H221" s="1118">
        <v>162700.0</v>
      </c>
      <c r="I221" s="1118">
        <f t="shared" si="1"/>
        <v>147910</v>
      </c>
      <c r="J221" s="1110"/>
    </row>
    <row r="222" ht="18.75" customHeight="1">
      <c r="A222" s="1110"/>
      <c r="B222" s="1115" t="s">
        <v>4459</v>
      </c>
      <c r="C222" s="1108" t="s">
        <v>4496</v>
      </c>
      <c r="D222" s="1108" t="s">
        <v>4897</v>
      </c>
      <c r="E222" s="1116" t="s">
        <v>4898</v>
      </c>
      <c r="F222" s="1117">
        <v>0.1</v>
      </c>
      <c r="G222" s="1109">
        <v>0.0</v>
      </c>
      <c r="H222" s="1118">
        <v>182300.0</v>
      </c>
      <c r="I222" s="1118">
        <f t="shared" si="1"/>
        <v>165730</v>
      </c>
      <c r="J222" s="1110"/>
    </row>
    <row r="223" ht="18.75" customHeight="1">
      <c r="A223" s="1110"/>
      <c r="B223" s="1115" t="s">
        <v>4459</v>
      </c>
      <c r="C223" s="1108" t="s">
        <v>4496</v>
      </c>
      <c r="D223" s="1108" t="s">
        <v>4899</v>
      </c>
      <c r="E223" s="1116" t="s">
        <v>4900</v>
      </c>
      <c r="F223" s="1117">
        <v>0.1</v>
      </c>
      <c r="G223" s="1109">
        <v>0.0</v>
      </c>
      <c r="H223" s="1118">
        <v>190700.0</v>
      </c>
      <c r="I223" s="1118">
        <f t="shared" si="1"/>
        <v>173360</v>
      </c>
      <c r="J223" s="1110"/>
    </row>
    <row r="224" ht="18.75" customHeight="1">
      <c r="A224" s="1110"/>
      <c r="B224" s="1115" t="s">
        <v>4459</v>
      </c>
      <c r="C224" s="1108" t="s">
        <v>4496</v>
      </c>
      <c r="D224" s="1108" t="s">
        <v>4901</v>
      </c>
      <c r="E224" s="1116" t="s">
        <v>4902</v>
      </c>
      <c r="F224" s="1117">
        <v>0.1</v>
      </c>
      <c r="G224" s="1109">
        <v>0.0</v>
      </c>
      <c r="H224" s="1118">
        <v>203800.0</v>
      </c>
      <c r="I224" s="1118">
        <f t="shared" si="1"/>
        <v>185270</v>
      </c>
      <c r="J224" s="1110"/>
    </row>
    <row r="225" ht="18.75" customHeight="1">
      <c r="A225" s="1110"/>
      <c r="B225" s="1115" t="s">
        <v>4459</v>
      </c>
      <c r="C225" s="1108" t="s">
        <v>4496</v>
      </c>
      <c r="D225" s="1108" t="s">
        <v>4903</v>
      </c>
      <c r="E225" s="1116" t="s">
        <v>4904</v>
      </c>
      <c r="F225" s="1117">
        <v>0.1</v>
      </c>
      <c r="G225" s="1109">
        <v>0.0</v>
      </c>
      <c r="H225" s="1118">
        <v>216000.0</v>
      </c>
      <c r="I225" s="1118">
        <f t="shared" si="1"/>
        <v>196360</v>
      </c>
      <c r="J225" s="1110"/>
    </row>
    <row r="226" ht="18.75" customHeight="1">
      <c r="A226" s="1110"/>
      <c r="B226" s="1115" t="s">
        <v>4459</v>
      </c>
      <c r="C226" s="1108" t="s">
        <v>4496</v>
      </c>
      <c r="D226" s="1108" t="s">
        <v>4905</v>
      </c>
      <c r="E226" s="1116" t="s">
        <v>4906</v>
      </c>
      <c r="F226" s="1117">
        <v>0.1</v>
      </c>
      <c r="G226" s="1109">
        <v>0.0</v>
      </c>
      <c r="H226" s="1118">
        <v>245900.0</v>
      </c>
      <c r="I226" s="1118">
        <f t="shared" si="1"/>
        <v>223550</v>
      </c>
      <c r="J226" s="1110"/>
    </row>
    <row r="227" ht="18.75" customHeight="1">
      <c r="A227" s="1110"/>
      <c r="B227" s="1115" t="s">
        <v>4459</v>
      </c>
      <c r="C227" s="1108" t="s">
        <v>4496</v>
      </c>
      <c r="D227" s="1108" t="s">
        <v>4907</v>
      </c>
      <c r="E227" s="1116" t="s">
        <v>4908</v>
      </c>
      <c r="F227" s="1117">
        <v>0.1</v>
      </c>
      <c r="G227" s="1109">
        <v>0.0</v>
      </c>
      <c r="H227" s="1118">
        <v>275800.0</v>
      </c>
      <c r="I227" s="1118">
        <f t="shared" si="1"/>
        <v>250730</v>
      </c>
      <c r="J227" s="1110"/>
    </row>
    <row r="228" ht="18.75" customHeight="1">
      <c r="A228" s="1110"/>
      <c r="B228" s="1115" t="s">
        <v>4459</v>
      </c>
      <c r="C228" s="1108" t="s">
        <v>4496</v>
      </c>
      <c r="D228" s="1108" t="s">
        <v>4909</v>
      </c>
      <c r="E228" s="1116" t="s">
        <v>4910</v>
      </c>
      <c r="F228" s="1117">
        <v>0.1</v>
      </c>
      <c r="G228" s="1109">
        <v>0.0</v>
      </c>
      <c r="H228" s="1118">
        <v>294500.0</v>
      </c>
      <c r="I228" s="1118">
        <f t="shared" si="1"/>
        <v>267730</v>
      </c>
      <c r="J228" s="1110"/>
    </row>
    <row r="229" ht="18.75" customHeight="1">
      <c r="A229" s="1110"/>
      <c r="B229" s="1115" t="s">
        <v>4459</v>
      </c>
      <c r="C229" s="1108" t="s">
        <v>4496</v>
      </c>
      <c r="D229" s="1108" t="s">
        <v>4911</v>
      </c>
      <c r="E229" s="1116" t="s">
        <v>4912</v>
      </c>
      <c r="F229" s="1117">
        <v>0.1</v>
      </c>
      <c r="G229" s="1109">
        <v>0.0</v>
      </c>
      <c r="H229" s="1116"/>
      <c r="I229" s="1118" t="str">
        <f t="shared" si="1"/>
        <v/>
      </c>
      <c r="J229" s="1110"/>
    </row>
    <row r="230" ht="18.75" customHeight="1">
      <c r="A230" s="1110"/>
      <c r="B230" s="1115" t="s">
        <v>4459</v>
      </c>
      <c r="C230" s="1108" t="s">
        <v>4496</v>
      </c>
      <c r="D230" s="1108" t="s">
        <v>4913</v>
      </c>
      <c r="E230" s="1116" t="s">
        <v>4914</v>
      </c>
      <c r="F230" s="1117">
        <v>0.1</v>
      </c>
      <c r="G230" s="1109">
        <v>0.0</v>
      </c>
      <c r="H230" s="1118">
        <v>353400.0</v>
      </c>
      <c r="I230" s="1118">
        <f t="shared" si="1"/>
        <v>321270</v>
      </c>
      <c r="J230" s="1110"/>
    </row>
    <row r="231" ht="18.75" customHeight="1">
      <c r="A231" s="1110"/>
      <c r="B231" s="1115" t="s">
        <v>4459</v>
      </c>
      <c r="C231" s="1108" t="s">
        <v>4496</v>
      </c>
      <c r="D231" s="1108" t="s">
        <v>4915</v>
      </c>
      <c r="E231" s="1116" t="s">
        <v>4916</v>
      </c>
      <c r="F231" s="1117">
        <v>0.1</v>
      </c>
      <c r="G231" s="1109">
        <v>0.0</v>
      </c>
      <c r="H231" s="1116"/>
      <c r="I231" s="1118" t="str">
        <f t="shared" si="1"/>
        <v/>
      </c>
      <c r="J231" s="1110"/>
    </row>
    <row r="232" ht="18.75" customHeight="1">
      <c r="A232" s="1110"/>
      <c r="B232" s="1115" t="s">
        <v>4459</v>
      </c>
      <c r="C232" s="1108" t="s">
        <v>4496</v>
      </c>
      <c r="D232" s="1108" t="s">
        <v>4917</v>
      </c>
      <c r="E232" s="1116" t="s">
        <v>4918</v>
      </c>
      <c r="F232" s="1117">
        <v>0.1</v>
      </c>
      <c r="G232" s="1109">
        <v>0.0</v>
      </c>
      <c r="H232" s="1118">
        <v>400200.0</v>
      </c>
      <c r="I232" s="1118">
        <f t="shared" si="1"/>
        <v>363820</v>
      </c>
      <c r="J232" s="1110"/>
    </row>
    <row r="233" ht="18.75" customHeight="1">
      <c r="A233" s="1110"/>
      <c r="B233" s="1115" t="s">
        <v>4459</v>
      </c>
      <c r="C233" s="1108" t="s">
        <v>4496</v>
      </c>
      <c r="D233" s="1108" t="s">
        <v>4919</v>
      </c>
      <c r="E233" s="1116" t="s">
        <v>4920</v>
      </c>
      <c r="F233" s="1117">
        <v>0.1</v>
      </c>
      <c r="G233" s="1109">
        <v>0.0</v>
      </c>
      <c r="H233" s="1118">
        <v>418900.0</v>
      </c>
      <c r="I233" s="1118">
        <f t="shared" si="1"/>
        <v>380820</v>
      </c>
      <c r="J233" s="1110"/>
    </row>
    <row r="234" ht="18.75" customHeight="1">
      <c r="A234" s="1110"/>
      <c r="B234" s="1115" t="s">
        <v>4459</v>
      </c>
      <c r="C234" s="1108" t="s">
        <v>4496</v>
      </c>
      <c r="D234" s="1108" t="s">
        <v>4921</v>
      </c>
      <c r="E234" s="1116" t="s">
        <v>4922</v>
      </c>
      <c r="F234" s="1117">
        <v>0.1</v>
      </c>
      <c r="G234" s="1109">
        <v>0.0</v>
      </c>
      <c r="H234" s="1118">
        <v>437600.0</v>
      </c>
      <c r="I234" s="1118">
        <f t="shared" si="1"/>
        <v>397820</v>
      </c>
      <c r="J234" s="1110"/>
    </row>
    <row r="235" ht="18.75" customHeight="1">
      <c r="A235" s="1110"/>
      <c r="B235" s="1115" t="s">
        <v>4459</v>
      </c>
      <c r="C235" s="1108" t="s">
        <v>4496</v>
      </c>
      <c r="D235" s="1108" t="s">
        <v>4923</v>
      </c>
      <c r="E235" s="1116" t="s">
        <v>4924</v>
      </c>
      <c r="F235" s="1117">
        <v>0.1</v>
      </c>
      <c r="G235" s="1109">
        <v>0.0</v>
      </c>
      <c r="H235" s="1118">
        <v>446900.0</v>
      </c>
      <c r="I235" s="1118">
        <f t="shared" si="1"/>
        <v>406270</v>
      </c>
      <c r="J235" s="1110"/>
    </row>
    <row r="236" ht="18.75" customHeight="1">
      <c r="A236" s="1110"/>
      <c r="B236" s="1115" t="s">
        <v>4459</v>
      </c>
      <c r="C236" s="1108" t="s">
        <v>4496</v>
      </c>
      <c r="D236" s="1108" t="s">
        <v>4925</v>
      </c>
      <c r="E236" s="1116" t="s">
        <v>4926</v>
      </c>
      <c r="F236" s="1117">
        <v>0.1</v>
      </c>
      <c r="G236" s="1109">
        <v>0.0</v>
      </c>
      <c r="H236" s="1118">
        <v>512400.0</v>
      </c>
      <c r="I236" s="1118">
        <f t="shared" si="1"/>
        <v>465820</v>
      </c>
      <c r="J236" s="1110"/>
    </row>
    <row r="237" ht="18.75" customHeight="1">
      <c r="A237" s="1110"/>
      <c r="B237" s="1115" t="s">
        <v>4459</v>
      </c>
      <c r="C237" s="1108" t="s">
        <v>4496</v>
      </c>
      <c r="D237" s="1108" t="s">
        <v>4927</v>
      </c>
      <c r="E237" s="1116" t="s">
        <v>4928</v>
      </c>
      <c r="F237" s="1117">
        <v>0.1</v>
      </c>
      <c r="G237" s="1109">
        <v>0.0</v>
      </c>
      <c r="H237" s="1116"/>
      <c r="I237" s="1118" t="str">
        <f t="shared" si="1"/>
        <v/>
      </c>
      <c r="J237" s="1110"/>
    </row>
    <row r="238" ht="18.75" customHeight="1">
      <c r="A238" s="1110"/>
      <c r="B238" s="1115" t="s">
        <v>4459</v>
      </c>
      <c r="C238" s="1108" t="s">
        <v>4496</v>
      </c>
      <c r="D238" s="1108" t="s">
        <v>4929</v>
      </c>
      <c r="E238" s="1116" t="s">
        <v>4930</v>
      </c>
      <c r="F238" s="1117">
        <v>0.1</v>
      </c>
      <c r="G238" s="1109">
        <v>0.0</v>
      </c>
      <c r="H238" s="1116"/>
      <c r="I238" s="1118" t="str">
        <f t="shared" si="1"/>
        <v/>
      </c>
      <c r="J238" s="1110"/>
    </row>
    <row r="239" ht="18.75" customHeight="1">
      <c r="A239" s="1110"/>
      <c r="B239" s="1115" t="s">
        <v>4459</v>
      </c>
      <c r="C239" s="1108" t="s">
        <v>4496</v>
      </c>
      <c r="D239" s="1108" t="s">
        <v>4931</v>
      </c>
      <c r="E239" s="1116" t="s">
        <v>4932</v>
      </c>
      <c r="F239" s="1117">
        <v>0.1</v>
      </c>
      <c r="G239" s="1109">
        <v>0.0</v>
      </c>
      <c r="H239" s="1116"/>
      <c r="I239" s="1118" t="str">
        <f t="shared" si="1"/>
        <v/>
      </c>
      <c r="J239" s="1110"/>
    </row>
    <row r="240" ht="18.75" customHeight="1">
      <c r="A240" s="1110"/>
      <c r="B240" s="1115" t="s">
        <v>4459</v>
      </c>
      <c r="C240" s="1108" t="s">
        <v>4496</v>
      </c>
      <c r="D240" s="1108" t="s">
        <v>4933</v>
      </c>
      <c r="E240" s="1116" t="s">
        <v>4934</v>
      </c>
      <c r="F240" s="1117">
        <v>0.1</v>
      </c>
      <c r="G240" s="1109">
        <v>0.0</v>
      </c>
      <c r="H240" s="1118">
        <v>527300.0</v>
      </c>
      <c r="I240" s="1118">
        <f t="shared" si="1"/>
        <v>479360</v>
      </c>
      <c r="J240" s="1110"/>
    </row>
    <row r="241" ht="18.75" customHeight="1">
      <c r="A241" s="1110"/>
      <c r="B241" s="1115" t="s">
        <v>4459</v>
      </c>
      <c r="C241" s="1108" t="s">
        <v>4496</v>
      </c>
      <c r="D241" s="1108" t="s">
        <v>4935</v>
      </c>
      <c r="E241" s="1116" t="s">
        <v>4936</v>
      </c>
      <c r="F241" s="1117">
        <v>0.1</v>
      </c>
      <c r="G241" s="1109">
        <v>0.0</v>
      </c>
      <c r="H241" s="1116"/>
      <c r="I241" s="1118" t="str">
        <f t="shared" si="1"/>
        <v/>
      </c>
      <c r="J241" s="1110"/>
    </row>
    <row r="242" ht="18.75" customHeight="1">
      <c r="A242" s="1110"/>
      <c r="B242" s="1115" t="s">
        <v>4459</v>
      </c>
      <c r="C242" s="1108" t="s">
        <v>4496</v>
      </c>
      <c r="D242" s="1108" t="s">
        <v>4937</v>
      </c>
      <c r="E242" s="1116" t="s">
        <v>4938</v>
      </c>
      <c r="F242" s="1117">
        <v>0.1</v>
      </c>
      <c r="G242" s="1109">
        <v>0.0</v>
      </c>
      <c r="H242" s="1116"/>
      <c r="I242" s="1118" t="str">
        <f t="shared" si="1"/>
        <v/>
      </c>
      <c r="J242" s="1110"/>
    </row>
    <row r="243" ht="18.75" customHeight="1">
      <c r="A243" s="1110"/>
      <c r="B243" s="1115" t="s">
        <v>4459</v>
      </c>
      <c r="C243" s="1108" t="s">
        <v>4496</v>
      </c>
      <c r="D243" s="1108" t="s">
        <v>4939</v>
      </c>
      <c r="E243" s="1116" t="s">
        <v>4940</v>
      </c>
      <c r="F243" s="1117">
        <v>0.1</v>
      </c>
      <c r="G243" s="1109">
        <v>0.0</v>
      </c>
      <c r="H243" s="1116"/>
      <c r="I243" s="1118" t="str">
        <f t="shared" si="1"/>
        <v/>
      </c>
      <c r="J243" s="1110"/>
    </row>
    <row r="244" ht="18.75" customHeight="1">
      <c r="A244" s="1110"/>
      <c r="B244" s="1115" t="s">
        <v>4459</v>
      </c>
      <c r="C244" s="1108" t="s">
        <v>4496</v>
      </c>
      <c r="D244" s="1108" t="s">
        <v>4941</v>
      </c>
      <c r="E244" s="1116" t="s">
        <v>4942</v>
      </c>
      <c r="F244" s="1117">
        <v>0.1</v>
      </c>
      <c r="G244" s="1109">
        <v>0.0</v>
      </c>
      <c r="H244" s="1116"/>
      <c r="I244" s="1118" t="str">
        <f t="shared" si="1"/>
        <v/>
      </c>
      <c r="J244" s="1110"/>
    </row>
    <row r="245" ht="18.75" customHeight="1">
      <c r="A245" s="1110"/>
      <c r="B245" s="1115" t="s">
        <v>4459</v>
      </c>
      <c r="C245" s="1108" t="s">
        <v>4496</v>
      </c>
      <c r="D245" s="1108" t="s">
        <v>4943</v>
      </c>
      <c r="E245" s="1116" t="s">
        <v>4944</v>
      </c>
      <c r="F245" s="1117">
        <v>0.1</v>
      </c>
      <c r="G245" s="1109">
        <v>0.0</v>
      </c>
      <c r="H245" s="1116"/>
      <c r="I245" s="1118" t="str">
        <f t="shared" si="1"/>
        <v/>
      </c>
      <c r="J245" s="1110"/>
    </row>
    <row r="246" ht="18.75" customHeight="1">
      <c r="A246" s="1110"/>
      <c r="B246" s="1115" t="s">
        <v>4459</v>
      </c>
      <c r="C246" s="1108" t="s">
        <v>4496</v>
      </c>
      <c r="D246" s="1108" t="s">
        <v>4945</v>
      </c>
      <c r="E246" s="1116" t="s">
        <v>4946</v>
      </c>
      <c r="F246" s="1117">
        <v>0.1</v>
      </c>
      <c r="G246" s="1109">
        <v>0.0</v>
      </c>
      <c r="H246" s="1116"/>
      <c r="I246" s="1118" t="str">
        <f t="shared" si="1"/>
        <v/>
      </c>
      <c r="J246" s="1110"/>
    </row>
    <row r="247" ht="18.75" customHeight="1">
      <c r="A247" s="1110"/>
      <c r="B247" s="1115" t="s">
        <v>4459</v>
      </c>
      <c r="C247" s="1108" t="s">
        <v>4496</v>
      </c>
      <c r="D247" s="1108" t="s">
        <v>4947</v>
      </c>
      <c r="E247" s="1116" t="s">
        <v>4948</v>
      </c>
      <c r="F247" s="1117">
        <v>0.1</v>
      </c>
      <c r="G247" s="1109">
        <v>0.0</v>
      </c>
      <c r="H247" s="1118">
        <v>345000.0</v>
      </c>
      <c r="I247" s="1118">
        <f t="shared" si="1"/>
        <v>313640</v>
      </c>
      <c r="J247" s="1110"/>
    </row>
    <row r="248" ht="18.75" customHeight="1">
      <c r="A248" s="1110"/>
      <c r="B248" s="1115" t="s">
        <v>4459</v>
      </c>
      <c r="C248" s="1108" t="s">
        <v>4496</v>
      </c>
      <c r="D248" s="1108" t="s">
        <v>4949</v>
      </c>
      <c r="E248" s="1116" t="s">
        <v>4950</v>
      </c>
      <c r="F248" s="1117">
        <v>0.1</v>
      </c>
      <c r="G248" s="1109">
        <v>0.0</v>
      </c>
      <c r="H248" s="1118">
        <v>347800.0</v>
      </c>
      <c r="I248" s="1118">
        <f t="shared" si="1"/>
        <v>316180</v>
      </c>
      <c r="J248" s="1110"/>
    </row>
    <row r="249" ht="18.75" customHeight="1">
      <c r="A249" s="1110"/>
      <c r="B249" s="1115" t="s">
        <v>4459</v>
      </c>
      <c r="C249" s="1108" t="s">
        <v>4496</v>
      </c>
      <c r="D249" s="1108" t="s">
        <v>4951</v>
      </c>
      <c r="E249" s="1116" t="s">
        <v>4952</v>
      </c>
      <c r="F249" s="1117">
        <v>0.1</v>
      </c>
      <c r="G249" s="1109">
        <v>0.0</v>
      </c>
      <c r="H249" s="1118">
        <v>381500.0</v>
      </c>
      <c r="I249" s="1118">
        <f t="shared" si="1"/>
        <v>346820</v>
      </c>
      <c r="J249" s="1110"/>
    </row>
    <row r="250" ht="18.75" customHeight="1">
      <c r="A250" s="1110"/>
      <c r="B250" s="1115" t="s">
        <v>4459</v>
      </c>
      <c r="C250" s="1108" t="s">
        <v>4496</v>
      </c>
      <c r="D250" s="1108" t="s">
        <v>4953</v>
      </c>
      <c r="E250" s="1116" t="s">
        <v>4954</v>
      </c>
      <c r="F250" s="1117">
        <v>0.1</v>
      </c>
      <c r="G250" s="1109">
        <v>0.0</v>
      </c>
      <c r="H250" s="1118">
        <v>400200.0</v>
      </c>
      <c r="I250" s="1118">
        <f t="shared" si="1"/>
        <v>363820</v>
      </c>
      <c r="J250" s="1110"/>
    </row>
    <row r="251" ht="18.75" customHeight="1">
      <c r="A251" s="1110"/>
      <c r="B251" s="1115" t="s">
        <v>4459</v>
      </c>
      <c r="C251" s="1108" t="s">
        <v>4496</v>
      </c>
      <c r="D251" s="1108" t="s">
        <v>4955</v>
      </c>
      <c r="E251" s="1116" t="s">
        <v>4956</v>
      </c>
      <c r="F251" s="1117">
        <v>0.1</v>
      </c>
      <c r="G251" s="1109">
        <v>0.0</v>
      </c>
      <c r="H251" s="1118">
        <v>418900.0</v>
      </c>
      <c r="I251" s="1118">
        <f t="shared" si="1"/>
        <v>380820</v>
      </c>
      <c r="J251" s="1110"/>
    </row>
    <row r="252" ht="18.75" customHeight="1">
      <c r="A252" s="1110"/>
      <c r="B252" s="1115" t="s">
        <v>4459</v>
      </c>
      <c r="C252" s="1108" t="s">
        <v>4496</v>
      </c>
      <c r="D252" s="1108" t="s">
        <v>4957</v>
      </c>
      <c r="E252" s="1116" t="s">
        <v>4958</v>
      </c>
      <c r="F252" s="1117">
        <v>0.1</v>
      </c>
      <c r="G252" s="1109">
        <v>0.0</v>
      </c>
      <c r="H252" s="1118">
        <v>437600.0</v>
      </c>
      <c r="I252" s="1118">
        <f t="shared" si="1"/>
        <v>397820</v>
      </c>
      <c r="J252" s="1110"/>
    </row>
    <row r="253" ht="18.75" customHeight="1">
      <c r="A253" s="1110"/>
      <c r="B253" s="1115" t="s">
        <v>4459</v>
      </c>
      <c r="C253" s="1108" t="s">
        <v>4496</v>
      </c>
      <c r="D253" s="1108" t="s">
        <v>4959</v>
      </c>
      <c r="E253" s="1116" t="s">
        <v>4960</v>
      </c>
      <c r="F253" s="1117">
        <v>0.1</v>
      </c>
      <c r="G253" s="1109">
        <v>0.0</v>
      </c>
      <c r="H253" s="1118">
        <v>456300.0</v>
      </c>
      <c r="I253" s="1118">
        <f t="shared" si="1"/>
        <v>414820</v>
      </c>
      <c r="J253" s="1110"/>
    </row>
    <row r="254" ht="18.75" customHeight="1">
      <c r="A254" s="1110"/>
      <c r="B254" s="1115" t="s">
        <v>4459</v>
      </c>
      <c r="C254" s="1108" t="s">
        <v>4496</v>
      </c>
      <c r="D254" s="1108" t="s">
        <v>4961</v>
      </c>
      <c r="E254" s="1116" t="s">
        <v>4962</v>
      </c>
      <c r="F254" s="1117">
        <v>0.1</v>
      </c>
      <c r="G254" s="1109">
        <v>0.0</v>
      </c>
      <c r="H254" s="1118">
        <v>465600.0</v>
      </c>
      <c r="I254" s="1118">
        <f t="shared" si="1"/>
        <v>423270</v>
      </c>
      <c r="J254" s="1110"/>
    </row>
    <row r="255" ht="18.75" customHeight="1">
      <c r="A255" s="1110"/>
      <c r="B255" s="1115" t="s">
        <v>4459</v>
      </c>
      <c r="C255" s="1108" t="s">
        <v>4496</v>
      </c>
      <c r="D255" s="1108" t="s">
        <v>4963</v>
      </c>
      <c r="E255" s="1116" t="s">
        <v>4964</v>
      </c>
      <c r="F255" s="1117">
        <v>0.1</v>
      </c>
      <c r="G255" s="1109">
        <v>0.0</v>
      </c>
      <c r="H255" s="1118">
        <v>493700.0</v>
      </c>
      <c r="I255" s="1118">
        <f t="shared" si="1"/>
        <v>448820</v>
      </c>
      <c r="J255" s="1110"/>
    </row>
    <row r="256" ht="18.75" customHeight="1">
      <c r="A256" s="1110"/>
      <c r="B256" s="1115" t="s">
        <v>4459</v>
      </c>
      <c r="C256" s="1108" t="s">
        <v>4496</v>
      </c>
      <c r="D256" s="1108" t="s">
        <v>4965</v>
      </c>
      <c r="E256" s="1116" t="s">
        <v>4966</v>
      </c>
      <c r="F256" s="1117">
        <v>0.1</v>
      </c>
      <c r="G256" s="1109">
        <v>0.0</v>
      </c>
      <c r="H256" s="1118">
        <v>512400.0</v>
      </c>
      <c r="I256" s="1118">
        <f t="shared" si="1"/>
        <v>465820</v>
      </c>
      <c r="J256" s="1110"/>
    </row>
    <row r="257" ht="18.75" customHeight="1">
      <c r="A257" s="1110"/>
      <c r="B257" s="1115" t="s">
        <v>4459</v>
      </c>
      <c r="C257" s="1108" t="s">
        <v>4496</v>
      </c>
      <c r="D257" s="1108" t="s">
        <v>4967</v>
      </c>
      <c r="E257" s="1116" t="s">
        <v>4968</v>
      </c>
      <c r="F257" s="1117">
        <v>0.1</v>
      </c>
      <c r="G257" s="1109">
        <v>0.0</v>
      </c>
      <c r="H257" s="1118">
        <v>531100.0</v>
      </c>
      <c r="I257" s="1118">
        <f t="shared" si="1"/>
        <v>482820</v>
      </c>
      <c r="J257" s="1110"/>
    </row>
    <row r="258" ht="18.75" customHeight="1">
      <c r="A258" s="1110"/>
      <c r="B258" s="1115" t="s">
        <v>4459</v>
      </c>
      <c r="C258" s="1108" t="s">
        <v>4496</v>
      </c>
      <c r="D258" s="1108" t="s">
        <v>4969</v>
      </c>
      <c r="E258" s="1116" t="s">
        <v>4970</v>
      </c>
      <c r="F258" s="1117">
        <v>0.1</v>
      </c>
      <c r="G258" s="1109">
        <v>0.0</v>
      </c>
      <c r="H258" s="1118">
        <v>549800.0</v>
      </c>
      <c r="I258" s="1118">
        <f t="shared" si="1"/>
        <v>499820</v>
      </c>
      <c r="J258" s="1110"/>
    </row>
    <row r="259" ht="18.75" customHeight="1">
      <c r="A259" s="1110"/>
      <c r="B259" s="1115" t="s">
        <v>4459</v>
      </c>
      <c r="C259" s="1108" t="s">
        <v>4496</v>
      </c>
      <c r="D259" s="1108" t="s">
        <v>4971</v>
      </c>
      <c r="E259" s="1116" t="s">
        <v>4972</v>
      </c>
      <c r="F259" s="1117">
        <v>0.1</v>
      </c>
      <c r="G259" s="1109">
        <v>0.0</v>
      </c>
      <c r="H259" s="1116"/>
      <c r="I259" s="1118" t="str">
        <f t="shared" si="1"/>
        <v/>
      </c>
      <c r="J259" s="1110"/>
    </row>
    <row r="260" ht="18.75" customHeight="1">
      <c r="A260" s="1110"/>
      <c r="B260" s="1115" t="s">
        <v>4459</v>
      </c>
      <c r="C260" s="1108" t="s">
        <v>4496</v>
      </c>
      <c r="D260" s="1108" t="s">
        <v>4973</v>
      </c>
      <c r="E260" s="1116" t="s">
        <v>4974</v>
      </c>
      <c r="F260" s="1117">
        <v>0.1</v>
      </c>
      <c r="G260" s="1109">
        <v>0.0</v>
      </c>
      <c r="H260" s="1118">
        <v>577800.0</v>
      </c>
      <c r="I260" s="1118">
        <f t="shared" si="1"/>
        <v>525270</v>
      </c>
      <c r="J260" s="1110"/>
    </row>
    <row r="261" ht="18.75" customHeight="1">
      <c r="A261" s="1110"/>
      <c r="B261" s="1115" t="s">
        <v>4459</v>
      </c>
      <c r="C261" s="1108" t="s">
        <v>4496</v>
      </c>
      <c r="D261" s="1108" t="s">
        <v>4975</v>
      </c>
      <c r="E261" s="1116" t="s">
        <v>4976</v>
      </c>
      <c r="F261" s="1117">
        <v>0.1</v>
      </c>
      <c r="G261" s="1109">
        <v>0.0</v>
      </c>
      <c r="H261" s="1116"/>
      <c r="I261" s="1118" t="str">
        <f t="shared" si="1"/>
        <v/>
      </c>
      <c r="J261" s="1110"/>
    </row>
    <row r="262" ht="18.75" customHeight="1">
      <c r="A262" s="1110"/>
      <c r="B262" s="1115" t="s">
        <v>4459</v>
      </c>
      <c r="C262" s="1108" t="s">
        <v>4496</v>
      </c>
      <c r="D262" s="1108" t="s">
        <v>4977</v>
      </c>
      <c r="E262" s="1116" t="s">
        <v>4978</v>
      </c>
      <c r="F262" s="1117">
        <v>0.1</v>
      </c>
      <c r="G262" s="1109">
        <v>0.0</v>
      </c>
      <c r="H262" s="1118">
        <v>605900.0</v>
      </c>
      <c r="I262" s="1118">
        <f t="shared" si="1"/>
        <v>550820</v>
      </c>
      <c r="J262" s="1110"/>
    </row>
    <row r="263" ht="18.75" customHeight="1">
      <c r="A263" s="1110"/>
      <c r="B263" s="1115" t="s">
        <v>4459</v>
      </c>
      <c r="C263" s="1108" t="s">
        <v>4496</v>
      </c>
      <c r="D263" s="1108" t="s">
        <v>4979</v>
      </c>
      <c r="E263" s="1116" t="s">
        <v>4980</v>
      </c>
      <c r="F263" s="1117">
        <v>0.1</v>
      </c>
      <c r="G263" s="1109">
        <v>0.0</v>
      </c>
      <c r="H263" s="1116"/>
      <c r="I263" s="1118" t="str">
        <f t="shared" si="1"/>
        <v/>
      </c>
      <c r="J263" s="1110"/>
    </row>
    <row r="264" ht="18.75" customHeight="1">
      <c r="A264" s="1110"/>
      <c r="B264" s="1115" t="s">
        <v>4459</v>
      </c>
      <c r="C264" s="1108" t="s">
        <v>4496</v>
      </c>
      <c r="D264" s="1108" t="s">
        <v>4981</v>
      </c>
      <c r="E264" s="1116" t="s">
        <v>4982</v>
      </c>
      <c r="F264" s="1117">
        <v>0.1</v>
      </c>
      <c r="G264" s="1109">
        <v>0.0</v>
      </c>
      <c r="H264" s="1116"/>
      <c r="I264" s="1118" t="str">
        <f t="shared" si="1"/>
        <v/>
      </c>
      <c r="J264" s="1110"/>
    </row>
    <row r="265" ht="18.75" customHeight="1">
      <c r="A265" s="1110"/>
      <c r="B265" s="1115" t="s">
        <v>4459</v>
      </c>
      <c r="C265" s="1108" t="s">
        <v>4496</v>
      </c>
      <c r="D265" s="1108" t="s">
        <v>4983</v>
      </c>
      <c r="E265" s="1116" t="s">
        <v>4984</v>
      </c>
      <c r="F265" s="1117">
        <v>0.1</v>
      </c>
      <c r="G265" s="1109">
        <v>0.0</v>
      </c>
      <c r="H265" s="1116"/>
      <c r="I265" s="1118" t="str">
        <f t="shared" si="1"/>
        <v/>
      </c>
      <c r="J265" s="1110"/>
    </row>
    <row r="266" ht="18.75" customHeight="1">
      <c r="A266" s="1110"/>
      <c r="B266" s="1115" t="s">
        <v>4459</v>
      </c>
      <c r="C266" s="1108" t="s">
        <v>4496</v>
      </c>
      <c r="D266" s="1108" t="s">
        <v>4985</v>
      </c>
      <c r="E266" s="1116" t="s">
        <v>4986</v>
      </c>
      <c r="F266" s="1117">
        <v>0.1</v>
      </c>
      <c r="G266" s="1109">
        <v>0.0</v>
      </c>
      <c r="H266" s="1116"/>
      <c r="I266" s="1118" t="str">
        <f t="shared" si="1"/>
        <v/>
      </c>
      <c r="J266" s="1110"/>
    </row>
    <row r="267" ht="18.75" customHeight="1">
      <c r="A267" s="1110"/>
      <c r="B267" s="1115" t="s">
        <v>4459</v>
      </c>
      <c r="C267" s="1108" t="s">
        <v>4496</v>
      </c>
      <c r="D267" s="1108" t="s">
        <v>4987</v>
      </c>
      <c r="E267" s="1116" t="s">
        <v>4988</v>
      </c>
      <c r="F267" s="1117">
        <v>0.1</v>
      </c>
      <c r="G267" s="1109">
        <v>0.0</v>
      </c>
      <c r="H267" s="1116"/>
      <c r="I267" s="1118" t="str">
        <f t="shared" si="1"/>
        <v/>
      </c>
      <c r="J267" s="1110"/>
    </row>
    <row r="268" ht="18.75" customHeight="1">
      <c r="A268" s="1110"/>
      <c r="B268" s="1115" t="s">
        <v>4459</v>
      </c>
      <c r="C268" s="1108" t="s">
        <v>4496</v>
      </c>
      <c r="D268" s="1108" t="s">
        <v>4989</v>
      </c>
      <c r="E268" s="1116" t="s">
        <v>4990</v>
      </c>
      <c r="F268" s="1117">
        <v>0.1</v>
      </c>
      <c r="G268" s="1109">
        <v>0.0</v>
      </c>
      <c r="H268" s="1116"/>
      <c r="I268" s="1118" t="str">
        <f t="shared" si="1"/>
        <v/>
      </c>
      <c r="J268" s="1110"/>
    </row>
    <row r="269" ht="18.75" customHeight="1">
      <c r="A269" s="1110"/>
      <c r="B269" s="1115" t="s">
        <v>4459</v>
      </c>
      <c r="C269" s="1108" t="s">
        <v>4496</v>
      </c>
      <c r="D269" s="1108" t="s">
        <v>4991</v>
      </c>
      <c r="E269" s="1116" t="s">
        <v>4992</v>
      </c>
      <c r="F269" s="1117">
        <v>0.1</v>
      </c>
      <c r="G269" s="1109">
        <v>0.0</v>
      </c>
      <c r="H269" s="1116"/>
      <c r="I269" s="1118" t="str">
        <f t="shared" si="1"/>
        <v/>
      </c>
      <c r="J269" s="1110"/>
    </row>
    <row r="270" ht="18.75" customHeight="1">
      <c r="A270" s="1110"/>
      <c r="B270" s="1115" t="s">
        <v>4459</v>
      </c>
      <c r="C270" s="1108" t="s">
        <v>4496</v>
      </c>
      <c r="D270" s="1108" t="s">
        <v>4993</v>
      </c>
      <c r="E270" s="1116" t="s">
        <v>4994</v>
      </c>
      <c r="F270" s="1117">
        <v>0.1</v>
      </c>
      <c r="G270" s="1109">
        <v>0.0</v>
      </c>
      <c r="H270" s="1116"/>
      <c r="I270" s="1118" t="str">
        <f t="shared" si="1"/>
        <v/>
      </c>
      <c r="J270" s="1110"/>
    </row>
    <row r="271" ht="18.75" customHeight="1">
      <c r="A271" s="1110"/>
      <c r="B271" s="1115" t="s">
        <v>4459</v>
      </c>
      <c r="C271" s="1108" t="s">
        <v>4496</v>
      </c>
      <c r="D271" s="1108" t="s">
        <v>4995</v>
      </c>
      <c r="E271" s="1116" t="s">
        <v>4996</v>
      </c>
      <c r="F271" s="1117">
        <v>0.1</v>
      </c>
      <c r="G271" s="1109">
        <v>0.0</v>
      </c>
      <c r="H271" s="1116"/>
      <c r="I271" s="1118" t="str">
        <f t="shared" si="1"/>
        <v/>
      </c>
      <c r="J271" s="1110"/>
    </row>
    <row r="272" ht="18.75" customHeight="1">
      <c r="A272" s="1110"/>
      <c r="B272" s="1115" t="s">
        <v>4997</v>
      </c>
      <c r="C272" s="1108" t="s">
        <v>4460</v>
      </c>
      <c r="D272" s="1108" t="s">
        <v>4998</v>
      </c>
      <c r="E272" s="1116" t="s">
        <v>4462</v>
      </c>
      <c r="F272" s="1117">
        <v>0.1</v>
      </c>
      <c r="G272" s="1109">
        <v>0.0</v>
      </c>
      <c r="H272" s="1116"/>
      <c r="I272" s="1118" t="str">
        <f t="shared" si="1"/>
        <v/>
      </c>
      <c r="J272" s="1110"/>
    </row>
    <row r="273" ht="18.75" customHeight="1">
      <c r="A273" s="1110"/>
      <c r="B273" s="1115" t="s">
        <v>4997</v>
      </c>
      <c r="C273" s="1108" t="s">
        <v>4460</v>
      </c>
      <c r="D273" s="1108" t="s">
        <v>4999</v>
      </c>
      <c r="E273" s="1116" t="s">
        <v>4464</v>
      </c>
      <c r="F273" s="1117">
        <v>0.1</v>
      </c>
      <c r="G273" s="1109">
        <v>0.0</v>
      </c>
      <c r="H273" s="1116"/>
      <c r="I273" s="1118" t="str">
        <f t="shared" si="1"/>
        <v/>
      </c>
      <c r="J273" s="1110"/>
    </row>
    <row r="274" ht="18.75" customHeight="1">
      <c r="A274" s="1110"/>
      <c r="B274" s="1115" t="s">
        <v>4997</v>
      </c>
      <c r="C274" s="1108" t="s">
        <v>4460</v>
      </c>
      <c r="D274" s="1108" t="s">
        <v>5000</v>
      </c>
      <c r="E274" s="1116" t="s">
        <v>4466</v>
      </c>
      <c r="F274" s="1117">
        <v>0.1</v>
      </c>
      <c r="G274" s="1109">
        <v>0.0</v>
      </c>
      <c r="H274" s="1116"/>
      <c r="I274" s="1118" t="str">
        <f t="shared" si="1"/>
        <v/>
      </c>
      <c r="J274" s="1110"/>
    </row>
    <row r="275" ht="18.75" customHeight="1">
      <c r="A275" s="1110"/>
      <c r="B275" s="1115" t="s">
        <v>4997</v>
      </c>
      <c r="C275" s="1108" t="s">
        <v>4460</v>
      </c>
      <c r="D275" s="1108" t="s">
        <v>5001</v>
      </c>
      <c r="E275" s="1116" t="s">
        <v>4468</v>
      </c>
      <c r="F275" s="1117">
        <v>0.1</v>
      </c>
      <c r="G275" s="1109">
        <v>0.0</v>
      </c>
      <c r="H275" s="1118">
        <v>15000.0</v>
      </c>
      <c r="I275" s="1118">
        <f t="shared" si="1"/>
        <v>13640</v>
      </c>
      <c r="J275" s="1110"/>
    </row>
    <row r="276" ht="18.75" customHeight="1">
      <c r="A276" s="1110"/>
      <c r="B276" s="1115" t="s">
        <v>4997</v>
      </c>
      <c r="C276" s="1108" t="s">
        <v>4460</v>
      </c>
      <c r="D276" s="1108" t="s">
        <v>5002</v>
      </c>
      <c r="E276" s="1116" t="s">
        <v>4470</v>
      </c>
      <c r="F276" s="1117">
        <v>0.1</v>
      </c>
      <c r="G276" s="1109">
        <v>0.0</v>
      </c>
      <c r="H276" s="1116"/>
      <c r="I276" s="1118" t="str">
        <f t="shared" si="1"/>
        <v/>
      </c>
      <c r="J276" s="1110"/>
    </row>
    <row r="277" ht="18.75" customHeight="1">
      <c r="A277" s="1110"/>
      <c r="B277" s="1115" t="s">
        <v>4997</v>
      </c>
      <c r="C277" s="1108" t="s">
        <v>4460</v>
      </c>
      <c r="D277" s="1108" t="s">
        <v>5003</v>
      </c>
      <c r="E277" s="1116" t="s">
        <v>4472</v>
      </c>
      <c r="F277" s="1117">
        <v>0.1</v>
      </c>
      <c r="G277" s="1109">
        <v>0.0</v>
      </c>
      <c r="H277" s="1116"/>
      <c r="I277" s="1118" t="str">
        <f t="shared" si="1"/>
        <v/>
      </c>
      <c r="J277" s="1110"/>
    </row>
    <row r="278" ht="18.75" customHeight="1">
      <c r="A278" s="1110"/>
      <c r="B278" s="1115" t="s">
        <v>4997</v>
      </c>
      <c r="C278" s="1108" t="s">
        <v>4460</v>
      </c>
      <c r="D278" s="1108" t="s">
        <v>5004</v>
      </c>
      <c r="E278" s="1116" t="s">
        <v>4474</v>
      </c>
      <c r="F278" s="1117">
        <v>0.1</v>
      </c>
      <c r="G278" s="1109">
        <v>0.0</v>
      </c>
      <c r="H278" s="1116"/>
      <c r="I278" s="1118" t="str">
        <f t="shared" si="1"/>
        <v/>
      </c>
      <c r="J278" s="1110"/>
    </row>
    <row r="279" ht="18.75" customHeight="1">
      <c r="A279" s="1110"/>
      <c r="B279" s="1115" t="s">
        <v>4997</v>
      </c>
      <c r="C279" s="1108" t="s">
        <v>4460</v>
      </c>
      <c r="D279" s="1108" t="s">
        <v>5005</v>
      </c>
      <c r="E279" s="1116" t="s">
        <v>4476</v>
      </c>
      <c r="F279" s="1117">
        <v>0.1</v>
      </c>
      <c r="G279" s="1109">
        <v>0.0</v>
      </c>
      <c r="H279" s="1116"/>
      <c r="I279" s="1118" t="str">
        <f t="shared" si="1"/>
        <v/>
      </c>
      <c r="J279" s="1110"/>
    </row>
    <row r="280" ht="18.75" customHeight="1">
      <c r="A280" s="1110"/>
      <c r="B280" s="1115" t="s">
        <v>4997</v>
      </c>
      <c r="C280" s="1108" t="s">
        <v>4460</v>
      </c>
      <c r="D280" s="1108" t="s">
        <v>5006</v>
      </c>
      <c r="E280" s="1116" t="s">
        <v>4478</v>
      </c>
      <c r="F280" s="1117">
        <v>0.1</v>
      </c>
      <c r="G280" s="1109">
        <v>0.0</v>
      </c>
      <c r="H280" s="1116"/>
      <c r="I280" s="1118" t="str">
        <f t="shared" si="1"/>
        <v/>
      </c>
      <c r="J280" s="1110"/>
    </row>
    <row r="281" ht="18.75" customHeight="1">
      <c r="A281" s="1110"/>
      <c r="B281" s="1115" t="s">
        <v>4997</v>
      </c>
      <c r="C281" s="1108" t="s">
        <v>4460</v>
      </c>
      <c r="D281" s="1108" t="s">
        <v>5007</v>
      </c>
      <c r="E281" s="1116" t="s">
        <v>4480</v>
      </c>
      <c r="F281" s="1117">
        <v>0.1</v>
      </c>
      <c r="G281" s="1109">
        <v>0.0</v>
      </c>
      <c r="H281" s="1116"/>
      <c r="I281" s="1118" t="str">
        <f t="shared" si="1"/>
        <v/>
      </c>
      <c r="J281" s="1110"/>
    </row>
    <row r="282" ht="18.75" customHeight="1">
      <c r="A282" s="1110"/>
      <c r="B282" s="1115" t="s">
        <v>4997</v>
      </c>
      <c r="C282" s="1108" t="s">
        <v>4460</v>
      </c>
      <c r="D282" s="1108" t="s">
        <v>5008</v>
      </c>
      <c r="E282" s="1116" t="s">
        <v>4482</v>
      </c>
      <c r="F282" s="1117">
        <v>0.1</v>
      </c>
      <c r="G282" s="1109">
        <v>0.0</v>
      </c>
      <c r="H282" s="1116"/>
      <c r="I282" s="1118" t="str">
        <f t="shared" si="1"/>
        <v/>
      </c>
      <c r="J282" s="1110"/>
    </row>
    <row r="283" ht="18.75" customHeight="1">
      <c r="A283" s="1110"/>
      <c r="B283" s="1115" t="s">
        <v>4997</v>
      </c>
      <c r="C283" s="1108" t="s">
        <v>4460</v>
      </c>
      <c r="D283" s="1108" t="s">
        <v>5009</v>
      </c>
      <c r="E283" s="1116" t="s">
        <v>4484</v>
      </c>
      <c r="F283" s="1117">
        <v>0.1</v>
      </c>
      <c r="G283" s="1109">
        <v>0.0</v>
      </c>
      <c r="H283" s="1118">
        <v>7000.0</v>
      </c>
      <c r="I283" s="1118">
        <f t="shared" si="1"/>
        <v>6360</v>
      </c>
      <c r="J283" s="1110"/>
    </row>
    <row r="284" ht="18.75" customHeight="1">
      <c r="A284" s="1110"/>
      <c r="B284" s="1115" t="s">
        <v>4997</v>
      </c>
      <c r="C284" s="1108" t="s">
        <v>4460</v>
      </c>
      <c r="D284" s="1108" t="s">
        <v>5010</v>
      </c>
      <c r="E284" s="1116" t="s">
        <v>4486</v>
      </c>
      <c r="F284" s="1117">
        <v>0.1</v>
      </c>
      <c r="G284" s="1109">
        <v>0.0</v>
      </c>
      <c r="H284" s="1118">
        <v>7000.0</v>
      </c>
      <c r="I284" s="1118">
        <f t="shared" si="1"/>
        <v>6360</v>
      </c>
      <c r="J284" s="1110"/>
    </row>
    <row r="285" ht="18.75" customHeight="1">
      <c r="A285" s="1110"/>
      <c r="B285" s="1115" t="s">
        <v>4997</v>
      </c>
      <c r="C285" s="1108" t="s">
        <v>4460</v>
      </c>
      <c r="D285" s="1108" t="s">
        <v>5011</v>
      </c>
      <c r="E285" s="1116" t="s">
        <v>4488</v>
      </c>
      <c r="F285" s="1117">
        <v>0.1</v>
      </c>
      <c r="G285" s="1109">
        <v>0.0</v>
      </c>
      <c r="H285" s="1118">
        <v>7500.0</v>
      </c>
      <c r="I285" s="1118">
        <f t="shared" si="1"/>
        <v>6820</v>
      </c>
      <c r="J285" s="1110"/>
    </row>
    <row r="286" ht="18.75" customHeight="1">
      <c r="A286" s="1110"/>
      <c r="B286" s="1115" t="s">
        <v>4997</v>
      </c>
      <c r="C286" s="1108" t="s">
        <v>4460</v>
      </c>
      <c r="D286" s="1108" t="s">
        <v>5012</v>
      </c>
      <c r="E286" s="1116" t="s">
        <v>4490</v>
      </c>
      <c r="F286" s="1117">
        <v>0.1</v>
      </c>
      <c r="G286" s="1109">
        <v>0.0</v>
      </c>
      <c r="H286" s="1118">
        <v>7500.0</v>
      </c>
      <c r="I286" s="1118">
        <f t="shared" si="1"/>
        <v>6820</v>
      </c>
      <c r="J286" s="1110"/>
    </row>
    <row r="287" ht="18.75" customHeight="1">
      <c r="A287" s="1110"/>
      <c r="B287" s="1115" t="s">
        <v>4997</v>
      </c>
      <c r="C287" s="1108" t="s">
        <v>4491</v>
      </c>
      <c r="D287" s="1108" t="s">
        <v>5013</v>
      </c>
      <c r="E287" s="1116" t="s">
        <v>4493</v>
      </c>
      <c r="F287" s="1117">
        <v>0.1</v>
      </c>
      <c r="G287" s="1109">
        <v>0.0</v>
      </c>
      <c r="H287" s="1118">
        <v>8900.0</v>
      </c>
      <c r="I287" s="1118">
        <f t="shared" si="1"/>
        <v>8090</v>
      </c>
      <c r="J287" s="1110"/>
    </row>
    <row r="288" ht="18.75" customHeight="1">
      <c r="A288" s="1110"/>
      <c r="B288" s="1115" t="s">
        <v>4997</v>
      </c>
      <c r="C288" s="1108" t="s">
        <v>4491</v>
      </c>
      <c r="D288" s="1108" t="s">
        <v>5014</v>
      </c>
      <c r="E288" s="1116" t="s">
        <v>4495</v>
      </c>
      <c r="F288" s="1117">
        <v>0.1</v>
      </c>
      <c r="G288" s="1109">
        <v>0.0</v>
      </c>
      <c r="H288" s="1118">
        <v>8900.0</v>
      </c>
      <c r="I288" s="1118">
        <f t="shared" si="1"/>
        <v>8090</v>
      </c>
      <c r="J288" s="1110"/>
    </row>
    <row r="289" ht="18.75" customHeight="1">
      <c r="A289" s="1110"/>
      <c r="B289" s="1115" t="s">
        <v>4997</v>
      </c>
      <c r="C289" s="1108" t="s">
        <v>4496</v>
      </c>
      <c r="D289" s="1108" t="s">
        <v>5015</v>
      </c>
      <c r="E289" s="1116" t="s">
        <v>4498</v>
      </c>
      <c r="F289" s="1117">
        <v>0.1</v>
      </c>
      <c r="G289" s="1109">
        <v>0.0</v>
      </c>
      <c r="H289" s="1118">
        <v>8900.0</v>
      </c>
      <c r="I289" s="1118">
        <f t="shared" si="1"/>
        <v>8090</v>
      </c>
      <c r="J289" s="1110"/>
    </row>
    <row r="290" ht="18.75" customHeight="1">
      <c r="A290" s="1110"/>
      <c r="B290" s="1115" t="s">
        <v>4997</v>
      </c>
      <c r="C290" s="1108" t="s">
        <v>4460</v>
      </c>
      <c r="D290" s="1108" t="s">
        <v>5016</v>
      </c>
      <c r="E290" s="1116" t="s">
        <v>4500</v>
      </c>
      <c r="F290" s="1117">
        <v>0.1</v>
      </c>
      <c r="G290" s="1109">
        <v>0.0</v>
      </c>
      <c r="H290" s="1118">
        <v>8900.0</v>
      </c>
      <c r="I290" s="1118">
        <f t="shared" si="1"/>
        <v>8090</v>
      </c>
      <c r="J290" s="1110"/>
    </row>
    <row r="291" ht="18.75" customHeight="1">
      <c r="A291" s="1110"/>
      <c r="B291" s="1115" t="s">
        <v>4997</v>
      </c>
      <c r="C291" s="1108" t="s">
        <v>4460</v>
      </c>
      <c r="D291" s="1108" t="s">
        <v>5017</v>
      </c>
      <c r="E291" s="1116" t="s">
        <v>4502</v>
      </c>
      <c r="F291" s="1117">
        <v>0.1</v>
      </c>
      <c r="G291" s="1109">
        <v>0.0</v>
      </c>
      <c r="H291" s="1118">
        <v>8900.0</v>
      </c>
      <c r="I291" s="1118">
        <f t="shared" si="1"/>
        <v>8090</v>
      </c>
      <c r="J291" s="1110"/>
    </row>
    <row r="292" ht="18.75" customHeight="1">
      <c r="A292" s="1110"/>
      <c r="B292" s="1115" t="s">
        <v>4997</v>
      </c>
      <c r="C292" s="1108" t="s">
        <v>4460</v>
      </c>
      <c r="D292" s="1108" t="s">
        <v>5018</v>
      </c>
      <c r="E292" s="1116" t="s">
        <v>4504</v>
      </c>
      <c r="F292" s="1117">
        <v>0.1</v>
      </c>
      <c r="G292" s="1109">
        <v>0.0</v>
      </c>
      <c r="H292" s="1118">
        <v>9400.0</v>
      </c>
      <c r="I292" s="1118">
        <f t="shared" si="1"/>
        <v>8550</v>
      </c>
      <c r="J292" s="1110"/>
    </row>
    <row r="293" ht="18.75" customHeight="1">
      <c r="A293" s="1110"/>
      <c r="B293" s="1115" t="s">
        <v>4997</v>
      </c>
      <c r="C293" s="1108" t="s">
        <v>4460</v>
      </c>
      <c r="D293" s="1108" t="s">
        <v>5019</v>
      </c>
      <c r="E293" s="1116" t="s">
        <v>4506</v>
      </c>
      <c r="F293" s="1117">
        <v>0.1</v>
      </c>
      <c r="G293" s="1109">
        <v>0.0</v>
      </c>
      <c r="H293" s="1118">
        <v>9400.0</v>
      </c>
      <c r="I293" s="1118">
        <f t="shared" si="1"/>
        <v>8550</v>
      </c>
      <c r="J293" s="1110"/>
    </row>
    <row r="294" ht="18.75" customHeight="1">
      <c r="A294" s="1110"/>
      <c r="B294" s="1115" t="s">
        <v>4997</v>
      </c>
      <c r="C294" s="1108" t="s">
        <v>4460</v>
      </c>
      <c r="D294" s="1108" t="s">
        <v>5020</v>
      </c>
      <c r="E294" s="1116" t="s">
        <v>4508</v>
      </c>
      <c r="F294" s="1117">
        <v>0.1</v>
      </c>
      <c r="G294" s="1109">
        <v>0.0</v>
      </c>
      <c r="H294" s="1118">
        <v>11200.0</v>
      </c>
      <c r="I294" s="1118">
        <f t="shared" si="1"/>
        <v>10180</v>
      </c>
      <c r="J294" s="1110"/>
    </row>
    <row r="295" ht="18.75" customHeight="1">
      <c r="A295" s="1110"/>
      <c r="B295" s="1115" t="s">
        <v>4997</v>
      </c>
      <c r="C295" s="1108" t="s">
        <v>4460</v>
      </c>
      <c r="D295" s="1108" t="s">
        <v>5021</v>
      </c>
      <c r="E295" s="1116" t="s">
        <v>4510</v>
      </c>
      <c r="F295" s="1117">
        <v>0.1</v>
      </c>
      <c r="G295" s="1109">
        <v>0.0</v>
      </c>
      <c r="H295" s="1118">
        <v>11200.0</v>
      </c>
      <c r="I295" s="1118">
        <f t="shared" si="1"/>
        <v>10180</v>
      </c>
      <c r="J295" s="1110"/>
    </row>
    <row r="296" ht="18.75" customHeight="1">
      <c r="A296" s="1110"/>
      <c r="B296" s="1115" t="s">
        <v>4997</v>
      </c>
      <c r="C296" s="1108" t="s">
        <v>4491</v>
      </c>
      <c r="D296" s="1108" t="s">
        <v>5022</v>
      </c>
      <c r="E296" s="1116" t="s">
        <v>4512</v>
      </c>
      <c r="F296" s="1117">
        <v>0.1</v>
      </c>
      <c r="G296" s="1109">
        <v>0.0</v>
      </c>
      <c r="H296" s="1118">
        <v>11200.0</v>
      </c>
      <c r="I296" s="1118">
        <f t="shared" si="1"/>
        <v>10180</v>
      </c>
      <c r="J296" s="1110"/>
    </row>
    <row r="297" ht="18.75" customHeight="1">
      <c r="A297" s="1110"/>
      <c r="B297" s="1115" t="s">
        <v>4997</v>
      </c>
      <c r="C297" s="1108" t="s">
        <v>4491</v>
      </c>
      <c r="D297" s="1108" t="s">
        <v>5023</v>
      </c>
      <c r="E297" s="1116" t="s">
        <v>4514</v>
      </c>
      <c r="F297" s="1117">
        <v>0.1</v>
      </c>
      <c r="G297" s="1109">
        <v>0.0</v>
      </c>
      <c r="H297" s="1118">
        <v>14000.0</v>
      </c>
      <c r="I297" s="1118">
        <f t="shared" si="1"/>
        <v>12730</v>
      </c>
      <c r="J297" s="1110"/>
    </row>
    <row r="298" ht="18.75" customHeight="1">
      <c r="A298" s="1110"/>
      <c r="B298" s="1115" t="s">
        <v>4997</v>
      </c>
      <c r="C298" s="1108" t="s">
        <v>4491</v>
      </c>
      <c r="D298" s="1108" t="s">
        <v>5024</v>
      </c>
      <c r="E298" s="1116" t="s">
        <v>4516</v>
      </c>
      <c r="F298" s="1117">
        <v>0.1</v>
      </c>
      <c r="G298" s="1109">
        <v>0.0</v>
      </c>
      <c r="H298" s="1118">
        <v>14000.0</v>
      </c>
      <c r="I298" s="1118">
        <f t="shared" si="1"/>
        <v>12730</v>
      </c>
      <c r="J298" s="1110"/>
    </row>
    <row r="299" ht="18.75" customHeight="1">
      <c r="A299" s="1110"/>
      <c r="B299" s="1115" t="s">
        <v>4997</v>
      </c>
      <c r="C299" s="1108" t="s">
        <v>4460</v>
      </c>
      <c r="D299" s="1108" t="s">
        <v>5025</v>
      </c>
      <c r="E299" s="1116" t="s">
        <v>4518</v>
      </c>
      <c r="F299" s="1117">
        <v>0.1</v>
      </c>
      <c r="G299" s="1109">
        <v>0.0</v>
      </c>
      <c r="H299" s="1118">
        <v>15000.0</v>
      </c>
      <c r="I299" s="1118">
        <f t="shared" si="1"/>
        <v>13640</v>
      </c>
      <c r="J299" s="1110"/>
    </row>
    <row r="300" ht="18.75" customHeight="1">
      <c r="A300" s="1110"/>
      <c r="B300" s="1115" t="s">
        <v>4997</v>
      </c>
      <c r="C300" s="1108" t="s">
        <v>4491</v>
      </c>
      <c r="D300" s="1108" t="s">
        <v>5026</v>
      </c>
      <c r="E300" s="1116" t="s">
        <v>4520</v>
      </c>
      <c r="F300" s="1117">
        <v>0.1</v>
      </c>
      <c r="G300" s="1109">
        <v>0.0</v>
      </c>
      <c r="H300" s="1118">
        <v>15900.0</v>
      </c>
      <c r="I300" s="1118">
        <f t="shared" si="1"/>
        <v>14450</v>
      </c>
      <c r="J300" s="1110"/>
    </row>
    <row r="301" ht="18.75" customHeight="1">
      <c r="A301" s="1110"/>
      <c r="B301" s="1115" t="s">
        <v>4997</v>
      </c>
      <c r="C301" s="1108" t="s">
        <v>4460</v>
      </c>
      <c r="D301" s="1108" t="s">
        <v>5027</v>
      </c>
      <c r="E301" s="1116" t="s">
        <v>4522</v>
      </c>
      <c r="F301" s="1117">
        <v>0.1</v>
      </c>
      <c r="G301" s="1109">
        <v>0.0</v>
      </c>
      <c r="H301" s="1118">
        <v>17800.0</v>
      </c>
      <c r="I301" s="1118">
        <f t="shared" si="1"/>
        <v>16180</v>
      </c>
      <c r="J301" s="1110"/>
    </row>
    <row r="302" ht="18.75" customHeight="1">
      <c r="A302" s="1110"/>
      <c r="B302" s="1115" t="s">
        <v>4997</v>
      </c>
      <c r="C302" s="1108" t="s">
        <v>4496</v>
      </c>
      <c r="D302" s="1108" t="s">
        <v>5028</v>
      </c>
      <c r="E302" s="1116" t="s">
        <v>4524</v>
      </c>
      <c r="F302" s="1117">
        <v>0.1</v>
      </c>
      <c r="G302" s="1109">
        <v>0.0</v>
      </c>
      <c r="H302" s="1118">
        <v>18700.0</v>
      </c>
      <c r="I302" s="1118">
        <f t="shared" si="1"/>
        <v>17000</v>
      </c>
      <c r="J302" s="1110"/>
    </row>
    <row r="303" ht="18.75" customHeight="1">
      <c r="A303" s="1110"/>
      <c r="B303" s="1115" t="s">
        <v>4997</v>
      </c>
      <c r="C303" s="1108" t="s">
        <v>4491</v>
      </c>
      <c r="D303" s="1108" t="s">
        <v>5029</v>
      </c>
      <c r="E303" s="1116" t="s">
        <v>4526</v>
      </c>
      <c r="F303" s="1117">
        <v>0.1</v>
      </c>
      <c r="G303" s="1109">
        <v>0.0</v>
      </c>
      <c r="H303" s="1118">
        <v>21500.0</v>
      </c>
      <c r="I303" s="1118">
        <f t="shared" si="1"/>
        <v>19550</v>
      </c>
      <c r="J303" s="1110"/>
    </row>
    <row r="304" ht="18.75" customHeight="1">
      <c r="A304" s="1110"/>
      <c r="B304" s="1115" t="s">
        <v>4997</v>
      </c>
      <c r="C304" s="1108" t="s">
        <v>4491</v>
      </c>
      <c r="D304" s="1108" t="s">
        <v>5030</v>
      </c>
      <c r="E304" s="1116" t="s">
        <v>4528</v>
      </c>
      <c r="F304" s="1117">
        <v>0.1</v>
      </c>
      <c r="G304" s="1109">
        <v>0.0</v>
      </c>
      <c r="H304" s="1118">
        <v>24300.0</v>
      </c>
      <c r="I304" s="1118">
        <f t="shared" si="1"/>
        <v>22090</v>
      </c>
      <c r="J304" s="1110"/>
    </row>
    <row r="305" ht="18.75" customHeight="1">
      <c r="A305" s="1110"/>
      <c r="B305" s="1115" t="s">
        <v>4997</v>
      </c>
      <c r="C305" s="1108" t="s">
        <v>4496</v>
      </c>
      <c r="D305" s="1108" t="s">
        <v>5031</v>
      </c>
      <c r="E305" s="1116" t="s">
        <v>4530</v>
      </c>
      <c r="F305" s="1117">
        <v>0.1</v>
      </c>
      <c r="G305" s="1109">
        <v>0.0</v>
      </c>
      <c r="H305" s="1118">
        <v>26200.0</v>
      </c>
      <c r="I305" s="1118">
        <f t="shared" si="1"/>
        <v>23820</v>
      </c>
      <c r="J305" s="1110"/>
    </row>
    <row r="306" ht="18.75" customHeight="1">
      <c r="A306" s="1110"/>
      <c r="B306" s="1115" t="s">
        <v>4997</v>
      </c>
      <c r="C306" s="1108" t="s">
        <v>4496</v>
      </c>
      <c r="D306" s="1108" t="s">
        <v>5032</v>
      </c>
      <c r="E306" s="1116" t="s">
        <v>4532</v>
      </c>
      <c r="F306" s="1117">
        <v>0.1</v>
      </c>
      <c r="G306" s="1109">
        <v>0.0</v>
      </c>
      <c r="H306" s="1118">
        <v>28100.0</v>
      </c>
      <c r="I306" s="1118">
        <f t="shared" si="1"/>
        <v>25550</v>
      </c>
      <c r="J306" s="1110"/>
    </row>
    <row r="307" ht="18.75" customHeight="1">
      <c r="A307" s="1110"/>
      <c r="B307" s="1115" t="s">
        <v>4997</v>
      </c>
      <c r="C307" s="1108" t="s">
        <v>4496</v>
      </c>
      <c r="D307" s="1108" t="s">
        <v>5033</v>
      </c>
      <c r="E307" s="1116" t="s">
        <v>4534</v>
      </c>
      <c r="F307" s="1117">
        <v>0.1</v>
      </c>
      <c r="G307" s="1109">
        <v>0.0</v>
      </c>
      <c r="H307" s="1118">
        <v>28100.0</v>
      </c>
      <c r="I307" s="1118">
        <f t="shared" si="1"/>
        <v>25550</v>
      </c>
      <c r="J307" s="1110"/>
    </row>
    <row r="308" ht="18.75" customHeight="1">
      <c r="A308" s="1110"/>
      <c r="B308" s="1115" t="s">
        <v>4997</v>
      </c>
      <c r="C308" s="1108" t="s">
        <v>4496</v>
      </c>
      <c r="D308" s="1108" t="s">
        <v>5034</v>
      </c>
      <c r="E308" s="1116" t="s">
        <v>4536</v>
      </c>
      <c r="F308" s="1117">
        <v>0.1</v>
      </c>
      <c r="G308" s="1109">
        <v>0.0</v>
      </c>
      <c r="H308" s="1116"/>
      <c r="I308" s="1118" t="str">
        <f t="shared" si="1"/>
        <v/>
      </c>
      <c r="J308" s="1110"/>
    </row>
    <row r="309" ht="18.75" customHeight="1">
      <c r="A309" s="1110"/>
      <c r="B309" s="1115" t="s">
        <v>4997</v>
      </c>
      <c r="C309" s="1108" t="s">
        <v>4491</v>
      </c>
      <c r="D309" s="1108" t="s">
        <v>5035</v>
      </c>
      <c r="E309" s="1116" t="s">
        <v>4538</v>
      </c>
      <c r="F309" s="1117">
        <v>0.1</v>
      </c>
      <c r="G309" s="1109">
        <v>0.0</v>
      </c>
      <c r="H309" s="1118">
        <v>30900.0</v>
      </c>
      <c r="I309" s="1118">
        <f t="shared" si="1"/>
        <v>28090</v>
      </c>
      <c r="J309" s="1110"/>
    </row>
    <row r="310" ht="18.75" customHeight="1">
      <c r="A310" s="1110"/>
      <c r="B310" s="1115" t="s">
        <v>4997</v>
      </c>
      <c r="C310" s="1108" t="s">
        <v>4491</v>
      </c>
      <c r="D310" s="1108" t="s">
        <v>5036</v>
      </c>
      <c r="E310" s="1116" t="s">
        <v>4540</v>
      </c>
      <c r="F310" s="1117">
        <v>0.1</v>
      </c>
      <c r="G310" s="1109">
        <v>0.0</v>
      </c>
      <c r="H310" s="1116"/>
      <c r="I310" s="1118" t="str">
        <f t="shared" si="1"/>
        <v/>
      </c>
      <c r="J310" s="1110"/>
    </row>
    <row r="311" ht="18.75" customHeight="1">
      <c r="A311" s="1110"/>
      <c r="B311" s="1115" t="s">
        <v>4997</v>
      </c>
      <c r="C311" s="1108" t="s">
        <v>4496</v>
      </c>
      <c r="D311" s="1108" t="s">
        <v>5037</v>
      </c>
      <c r="E311" s="1116" t="s">
        <v>4542</v>
      </c>
      <c r="F311" s="1117">
        <v>0.1</v>
      </c>
      <c r="G311" s="1109">
        <v>0.0</v>
      </c>
      <c r="H311" s="1118">
        <v>36500.0</v>
      </c>
      <c r="I311" s="1118">
        <f t="shared" si="1"/>
        <v>33180</v>
      </c>
      <c r="J311" s="1110"/>
    </row>
    <row r="312" ht="18.75" customHeight="1">
      <c r="A312" s="1110"/>
      <c r="B312" s="1115" t="s">
        <v>4997</v>
      </c>
      <c r="C312" s="1108" t="s">
        <v>4496</v>
      </c>
      <c r="D312" s="1108" t="s">
        <v>5038</v>
      </c>
      <c r="E312" s="1116" t="s">
        <v>4544</v>
      </c>
      <c r="F312" s="1117">
        <v>0.1</v>
      </c>
      <c r="G312" s="1109">
        <v>0.0</v>
      </c>
      <c r="H312" s="1118">
        <v>36500.0</v>
      </c>
      <c r="I312" s="1118">
        <f t="shared" si="1"/>
        <v>33180</v>
      </c>
      <c r="J312" s="1110"/>
    </row>
    <row r="313" ht="18.75" customHeight="1">
      <c r="A313" s="1110"/>
      <c r="B313" s="1115" t="s">
        <v>4997</v>
      </c>
      <c r="C313" s="1108" t="s">
        <v>4496</v>
      </c>
      <c r="D313" s="1108" t="s">
        <v>5039</v>
      </c>
      <c r="E313" s="1116" t="s">
        <v>4546</v>
      </c>
      <c r="F313" s="1117">
        <v>0.1</v>
      </c>
      <c r="G313" s="1109">
        <v>0.0</v>
      </c>
      <c r="H313" s="1118">
        <v>39300.0</v>
      </c>
      <c r="I313" s="1118">
        <f t="shared" si="1"/>
        <v>35730</v>
      </c>
      <c r="J313" s="1110"/>
    </row>
    <row r="314" ht="18.75" customHeight="1">
      <c r="A314" s="1110"/>
      <c r="B314" s="1115" t="s">
        <v>4997</v>
      </c>
      <c r="C314" s="1108" t="s">
        <v>4496</v>
      </c>
      <c r="D314" s="1108" t="s">
        <v>5040</v>
      </c>
      <c r="E314" s="1116" t="s">
        <v>4548</v>
      </c>
      <c r="F314" s="1117">
        <v>0.1</v>
      </c>
      <c r="G314" s="1109">
        <v>0.0</v>
      </c>
      <c r="H314" s="1118">
        <v>41100.0</v>
      </c>
      <c r="I314" s="1118">
        <f t="shared" si="1"/>
        <v>37360</v>
      </c>
      <c r="J314" s="1110"/>
    </row>
    <row r="315" ht="18.75" customHeight="1">
      <c r="A315" s="1110"/>
      <c r="B315" s="1115" t="s">
        <v>4997</v>
      </c>
      <c r="C315" s="1108" t="s">
        <v>4496</v>
      </c>
      <c r="D315" s="1108" t="s">
        <v>5041</v>
      </c>
      <c r="E315" s="1116" t="s">
        <v>4550</v>
      </c>
      <c r="F315" s="1117">
        <v>0.1</v>
      </c>
      <c r="G315" s="1109">
        <v>0.0</v>
      </c>
      <c r="H315" s="1118">
        <v>43000.0</v>
      </c>
      <c r="I315" s="1118">
        <f t="shared" si="1"/>
        <v>39090</v>
      </c>
      <c r="J315" s="1110"/>
    </row>
    <row r="316" ht="18.75" customHeight="1">
      <c r="A316" s="1110"/>
      <c r="B316" s="1115" t="s">
        <v>4997</v>
      </c>
      <c r="C316" s="1108" t="s">
        <v>4496</v>
      </c>
      <c r="D316" s="1108" t="s">
        <v>5042</v>
      </c>
      <c r="E316" s="1116" t="s">
        <v>4552</v>
      </c>
      <c r="F316" s="1117">
        <v>0.1</v>
      </c>
      <c r="G316" s="1109">
        <v>0.0</v>
      </c>
      <c r="H316" s="1118">
        <v>95400.0</v>
      </c>
      <c r="I316" s="1118">
        <f t="shared" si="1"/>
        <v>86730</v>
      </c>
      <c r="J316" s="1110"/>
    </row>
    <row r="317" ht="18.75" customHeight="1">
      <c r="A317" s="1110"/>
      <c r="B317" s="1115" t="s">
        <v>4997</v>
      </c>
      <c r="C317" s="1108" t="s">
        <v>4496</v>
      </c>
      <c r="D317" s="1108" t="s">
        <v>5043</v>
      </c>
      <c r="E317" s="1116" t="s">
        <v>4554</v>
      </c>
      <c r="F317" s="1117">
        <v>0.1</v>
      </c>
      <c r="G317" s="1109">
        <v>0.0</v>
      </c>
      <c r="H317" s="1118">
        <v>101000.0</v>
      </c>
      <c r="I317" s="1118">
        <f t="shared" si="1"/>
        <v>91820</v>
      </c>
      <c r="J317" s="1110"/>
    </row>
    <row r="318" ht="18.75" customHeight="1">
      <c r="A318" s="1110"/>
      <c r="B318" s="1115" t="s">
        <v>4997</v>
      </c>
      <c r="C318" s="1108" t="s">
        <v>4496</v>
      </c>
      <c r="D318" s="1108" t="s">
        <v>5044</v>
      </c>
      <c r="E318" s="1116" t="s">
        <v>4556</v>
      </c>
      <c r="F318" s="1117">
        <v>0.1</v>
      </c>
      <c r="G318" s="1109">
        <v>0.0</v>
      </c>
      <c r="H318" s="1118">
        <v>102900.0</v>
      </c>
      <c r="I318" s="1118">
        <f t="shared" si="1"/>
        <v>93550</v>
      </c>
      <c r="J318" s="1110"/>
    </row>
    <row r="319" ht="18.75" customHeight="1">
      <c r="A319" s="1110"/>
      <c r="B319" s="1115" t="s">
        <v>4997</v>
      </c>
      <c r="C319" s="1108" t="s">
        <v>4496</v>
      </c>
      <c r="D319" s="1108" t="s">
        <v>5045</v>
      </c>
      <c r="E319" s="1116" t="s">
        <v>4558</v>
      </c>
      <c r="F319" s="1117">
        <v>0.1</v>
      </c>
      <c r="G319" s="1109">
        <v>0.0</v>
      </c>
      <c r="H319" s="1118">
        <v>108500.0</v>
      </c>
      <c r="I319" s="1118">
        <f t="shared" si="1"/>
        <v>98640</v>
      </c>
      <c r="J319" s="1110"/>
    </row>
    <row r="320" ht="18.75" customHeight="1">
      <c r="A320" s="1110"/>
      <c r="B320" s="1115" t="s">
        <v>4997</v>
      </c>
      <c r="C320" s="1108" t="s">
        <v>4496</v>
      </c>
      <c r="D320" s="1108" t="s">
        <v>5046</v>
      </c>
      <c r="E320" s="1116" t="s">
        <v>4560</v>
      </c>
      <c r="F320" s="1117">
        <v>0.1</v>
      </c>
      <c r="G320" s="1109">
        <v>0.0</v>
      </c>
      <c r="H320" s="1118">
        <v>119700.0</v>
      </c>
      <c r="I320" s="1118">
        <f t="shared" si="1"/>
        <v>108820</v>
      </c>
      <c r="J320" s="1110"/>
    </row>
    <row r="321" ht="18.75" customHeight="1">
      <c r="A321" s="1110"/>
      <c r="B321" s="1115" t="s">
        <v>4997</v>
      </c>
      <c r="C321" s="1108" t="s">
        <v>4496</v>
      </c>
      <c r="D321" s="1108" t="s">
        <v>5047</v>
      </c>
      <c r="E321" s="1116" t="s">
        <v>4562</v>
      </c>
      <c r="F321" s="1117">
        <v>0.1</v>
      </c>
      <c r="G321" s="1109">
        <v>0.0</v>
      </c>
      <c r="H321" s="1118">
        <v>119700.0</v>
      </c>
      <c r="I321" s="1118">
        <f t="shared" si="1"/>
        <v>108820</v>
      </c>
      <c r="J321" s="1110"/>
    </row>
    <row r="322" ht="18.75" customHeight="1">
      <c r="A322" s="1110"/>
      <c r="B322" s="1115" t="s">
        <v>4997</v>
      </c>
      <c r="C322" s="1108" t="s">
        <v>4496</v>
      </c>
      <c r="D322" s="1108" t="s">
        <v>5048</v>
      </c>
      <c r="E322" s="1116" t="s">
        <v>4564</v>
      </c>
      <c r="F322" s="1117">
        <v>0.1</v>
      </c>
      <c r="G322" s="1109">
        <v>0.0</v>
      </c>
      <c r="H322" s="1118">
        <v>122500.0</v>
      </c>
      <c r="I322" s="1118">
        <f t="shared" si="1"/>
        <v>111360</v>
      </c>
      <c r="J322" s="1110"/>
    </row>
    <row r="323" ht="18.75" customHeight="1">
      <c r="A323" s="1110"/>
      <c r="B323" s="1115" t="s">
        <v>4997</v>
      </c>
      <c r="C323" s="1108" t="s">
        <v>4496</v>
      </c>
      <c r="D323" s="1108" t="s">
        <v>5049</v>
      </c>
      <c r="E323" s="1116" t="s">
        <v>4566</v>
      </c>
      <c r="F323" s="1117">
        <v>0.1</v>
      </c>
      <c r="G323" s="1109">
        <v>0.0</v>
      </c>
      <c r="H323" s="1118">
        <v>125300.0</v>
      </c>
      <c r="I323" s="1118">
        <f t="shared" si="1"/>
        <v>113910</v>
      </c>
      <c r="J323" s="1110"/>
    </row>
    <row r="324" ht="18.75" customHeight="1">
      <c r="A324" s="1110"/>
      <c r="B324" s="1115" t="s">
        <v>4997</v>
      </c>
      <c r="C324" s="1108" t="s">
        <v>4496</v>
      </c>
      <c r="D324" s="1108" t="s">
        <v>5050</v>
      </c>
      <c r="E324" s="1116" t="s">
        <v>4568</v>
      </c>
      <c r="F324" s="1117">
        <v>0.1</v>
      </c>
      <c r="G324" s="1109">
        <v>0.0</v>
      </c>
      <c r="H324" s="1118">
        <v>130900.0</v>
      </c>
      <c r="I324" s="1118">
        <f t="shared" si="1"/>
        <v>119000</v>
      </c>
      <c r="J324" s="1110"/>
    </row>
    <row r="325" ht="18.75" customHeight="1">
      <c r="A325" s="1110"/>
      <c r="B325" s="1115" t="s">
        <v>4997</v>
      </c>
      <c r="C325" s="1108" t="s">
        <v>4496</v>
      </c>
      <c r="D325" s="1108" t="s">
        <v>5051</v>
      </c>
      <c r="E325" s="1116" t="s">
        <v>4570</v>
      </c>
      <c r="F325" s="1117">
        <v>0.1</v>
      </c>
      <c r="G325" s="1109">
        <v>0.0</v>
      </c>
      <c r="H325" s="1116"/>
      <c r="I325" s="1118" t="str">
        <f t="shared" si="1"/>
        <v/>
      </c>
      <c r="J325" s="1110"/>
    </row>
    <row r="326" ht="18.75" customHeight="1">
      <c r="A326" s="1110"/>
      <c r="B326" s="1115" t="s">
        <v>4997</v>
      </c>
      <c r="C326" s="1108" t="s">
        <v>4496</v>
      </c>
      <c r="D326" s="1108" t="s">
        <v>5052</v>
      </c>
      <c r="E326" s="1116" t="s">
        <v>4572</v>
      </c>
      <c r="F326" s="1117">
        <v>0.1</v>
      </c>
      <c r="G326" s="1109">
        <v>0.0</v>
      </c>
      <c r="H326" s="1116"/>
      <c r="I326" s="1118" t="str">
        <f t="shared" si="1"/>
        <v/>
      </c>
      <c r="J326" s="1110"/>
    </row>
    <row r="327" ht="18.75" customHeight="1">
      <c r="A327" s="1110"/>
      <c r="B327" s="1115" t="s">
        <v>4997</v>
      </c>
      <c r="C327" s="1108" t="s">
        <v>4496</v>
      </c>
      <c r="D327" s="1108" t="s">
        <v>5053</v>
      </c>
      <c r="E327" s="1116" t="s">
        <v>4574</v>
      </c>
      <c r="F327" s="1117">
        <v>0.1</v>
      </c>
      <c r="G327" s="1109">
        <v>0.0</v>
      </c>
      <c r="H327" s="1116"/>
      <c r="I327" s="1118" t="str">
        <f t="shared" si="1"/>
        <v/>
      </c>
      <c r="J327" s="1110"/>
    </row>
    <row r="328" ht="18.75" customHeight="1">
      <c r="A328" s="1110"/>
      <c r="B328" s="1115" t="s">
        <v>4997</v>
      </c>
      <c r="C328" s="1108" t="s">
        <v>4460</v>
      </c>
      <c r="D328" s="1108" t="s">
        <v>5054</v>
      </c>
      <c r="E328" s="1116" t="s">
        <v>4576</v>
      </c>
      <c r="F328" s="1117">
        <v>0.1</v>
      </c>
      <c r="G328" s="1109">
        <v>0.0</v>
      </c>
      <c r="H328" s="1118">
        <v>8400.0</v>
      </c>
      <c r="I328" s="1118">
        <f t="shared" si="1"/>
        <v>7640</v>
      </c>
      <c r="J328" s="1110"/>
    </row>
    <row r="329" ht="18.75" customHeight="1">
      <c r="A329" s="1110"/>
      <c r="B329" s="1115" t="s">
        <v>4997</v>
      </c>
      <c r="C329" s="1108" t="s">
        <v>4460</v>
      </c>
      <c r="D329" s="1108" t="s">
        <v>5055</v>
      </c>
      <c r="E329" s="1116" t="s">
        <v>4578</v>
      </c>
      <c r="F329" s="1117">
        <v>0.1</v>
      </c>
      <c r="G329" s="1109">
        <v>0.0</v>
      </c>
      <c r="H329" s="1118">
        <v>8400.0</v>
      </c>
      <c r="I329" s="1118">
        <f t="shared" si="1"/>
        <v>7640</v>
      </c>
      <c r="J329" s="1110"/>
    </row>
    <row r="330" ht="18.75" customHeight="1">
      <c r="A330" s="1110"/>
      <c r="B330" s="1115" t="s">
        <v>4997</v>
      </c>
      <c r="C330" s="1108" t="s">
        <v>4460</v>
      </c>
      <c r="D330" s="1108" t="s">
        <v>5056</v>
      </c>
      <c r="E330" s="1116" t="s">
        <v>4580</v>
      </c>
      <c r="F330" s="1117">
        <v>0.1</v>
      </c>
      <c r="G330" s="1109">
        <v>0.0</v>
      </c>
      <c r="H330" s="1118">
        <v>9800.0</v>
      </c>
      <c r="I330" s="1118">
        <f t="shared" si="1"/>
        <v>8910</v>
      </c>
      <c r="J330" s="1110"/>
    </row>
    <row r="331" ht="18.75" customHeight="1">
      <c r="A331" s="1110"/>
      <c r="B331" s="1115" t="s">
        <v>4997</v>
      </c>
      <c r="C331" s="1108" t="s">
        <v>4460</v>
      </c>
      <c r="D331" s="1108" t="s">
        <v>5057</v>
      </c>
      <c r="E331" s="1116" t="s">
        <v>4582</v>
      </c>
      <c r="F331" s="1117">
        <v>0.1</v>
      </c>
      <c r="G331" s="1109">
        <v>0.0</v>
      </c>
      <c r="H331" s="1118">
        <v>9800.0</v>
      </c>
      <c r="I331" s="1118">
        <f t="shared" si="1"/>
        <v>8910</v>
      </c>
      <c r="J331" s="1110"/>
    </row>
    <row r="332" ht="18.75" customHeight="1">
      <c r="A332" s="1110"/>
      <c r="B332" s="1115" t="s">
        <v>4997</v>
      </c>
      <c r="C332" s="1108" t="s">
        <v>4460</v>
      </c>
      <c r="D332" s="1108" t="s">
        <v>5058</v>
      </c>
      <c r="E332" s="1116" t="s">
        <v>4584</v>
      </c>
      <c r="F332" s="1117">
        <v>0.1</v>
      </c>
      <c r="G332" s="1109">
        <v>0.0</v>
      </c>
      <c r="H332" s="1118">
        <v>12200.0</v>
      </c>
      <c r="I332" s="1118">
        <f t="shared" si="1"/>
        <v>11090</v>
      </c>
      <c r="J332" s="1110"/>
    </row>
    <row r="333" ht="18.75" customHeight="1">
      <c r="A333" s="1110"/>
      <c r="B333" s="1115" t="s">
        <v>4997</v>
      </c>
      <c r="C333" s="1108" t="s">
        <v>4460</v>
      </c>
      <c r="D333" s="1108" t="s">
        <v>5059</v>
      </c>
      <c r="E333" s="1116" t="s">
        <v>4586</v>
      </c>
      <c r="F333" s="1117">
        <v>0.1</v>
      </c>
      <c r="G333" s="1109">
        <v>0.0</v>
      </c>
      <c r="H333" s="1118">
        <v>12200.0</v>
      </c>
      <c r="I333" s="1118">
        <f t="shared" si="1"/>
        <v>11090</v>
      </c>
      <c r="J333" s="1110"/>
    </row>
    <row r="334" ht="18.75" customHeight="1">
      <c r="A334" s="1110"/>
      <c r="B334" s="1115" t="s">
        <v>4997</v>
      </c>
      <c r="C334" s="1108" t="s">
        <v>4460</v>
      </c>
      <c r="D334" s="1108" t="s">
        <v>5060</v>
      </c>
      <c r="E334" s="1116" t="s">
        <v>4588</v>
      </c>
      <c r="F334" s="1117">
        <v>0.1</v>
      </c>
      <c r="G334" s="1109">
        <v>0.0</v>
      </c>
      <c r="H334" s="1118">
        <v>15000.0</v>
      </c>
      <c r="I334" s="1118">
        <f t="shared" si="1"/>
        <v>13640</v>
      </c>
      <c r="J334" s="1110"/>
    </row>
    <row r="335" ht="18.75" customHeight="1">
      <c r="A335" s="1110"/>
      <c r="B335" s="1115" t="s">
        <v>4997</v>
      </c>
      <c r="C335" s="1108" t="s">
        <v>4460</v>
      </c>
      <c r="D335" s="1108" t="s">
        <v>5061</v>
      </c>
      <c r="E335" s="1116" t="s">
        <v>4590</v>
      </c>
      <c r="F335" s="1117">
        <v>0.1</v>
      </c>
      <c r="G335" s="1109">
        <v>0.0</v>
      </c>
      <c r="H335" s="1118">
        <v>15000.0</v>
      </c>
      <c r="I335" s="1118">
        <f t="shared" si="1"/>
        <v>13640</v>
      </c>
      <c r="J335" s="1110"/>
    </row>
    <row r="336" ht="18.75" customHeight="1">
      <c r="A336" s="1110"/>
      <c r="B336" s="1115" t="s">
        <v>4997</v>
      </c>
      <c r="C336" s="1108" t="s">
        <v>4460</v>
      </c>
      <c r="D336" s="1108" t="s">
        <v>5062</v>
      </c>
      <c r="E336" s="1116" t="s">
        <v>4592</v>
      </c>
      <c r="F336" s="1117">
        <v>0.1</v>
      </c>
      <c r="G336" s="1109">
        <v>0.0</v>
      </c>
      <c r="H336" s="1118">
        <v>16800.0</v>
      </c>
      <c r="I336" s="1118">
        <f t="shared" si="1"/>
        <v>15270</v>
      </c>
      <c r="J336" s="1110"/>
    </row>
    <row r="337" ht="18.75" customHeight="1">
      <c r="A337" s="1110"/>
      <c r="B337" s="1115" t="s">
        <v>4997</v>
      </c>
      <c r="C337" s="1108" t="s">
        <v>4460</v>
      </c>
      <c r="D337" s="1108" t="s">
        <v>5063</v>
      </c>
      <c r="E337" s="1116" t="s">
        <v>4594</v>
      </c>
      <c r="F337" s="1117">
        <v>0.1</v>
      </c>
      <c r="G337" s="1109">
        <v>0.0</v>
      </c>
      <c r="H337" s="1118">
        <v>16800.0</v>
      </c>
      <c r="I337" s="1118">
        <f t="shared" si="1"/>
        <v>15270</v>
      </c>
      <c r="J337" s="1110"/>
    </row>
    <row r="338" ht="18.75" customHeight="1">
      <c r="A338" s="1110"/>
      <c r="B338" s="1115" t="s">
        <v>4997</v>
      </c>
      <c r="C338" s="1108" t="s">
        <v>4491</v>
      </c>
      <c r="D338" s="1108" t="s">
        <v>5064</v>
      </c>
      <c r="E338" s="1116" t="s">
        <v>4596</v>
      </c>
      <c r="F338" s="1117">
        <v>0.1</v>
      </c>
      <c r="G338" s="1109">
        <v>0.0</v>
      </c>
      <c r="H338" s="1118">
        <v>19600.0</v>
      </c>
      <c r="I338" s="1118">
        <f t="shared" si="1"/>
        <v>17820</v>
      </c>
      <c r="J338" s="1110"/>
    </row>
    <row r="339" ht="18.75" customHeight="1">
      <c r="A339" s="1110"/>
      <c r="B339" s="1115" t="s">
        <v>4997</v>
      </c>
      <c r="C339" s="1108" t="s">
        <v>4491</v>
      </c>
      <c r="D339" s="1108" t="s">
        <v>5065</v>
      </c>
      <c r="E339" s="1116" t="s">
        <v>4598</v>
      </c>
      <c r="F339" s="1117">
        <v>0.1</v>
      </c>
      <c r="G339" s="1109">
        <v>0.0</v>
      </c>
      <c r="H339" s="1118">
        <v>19600.0</v>
      </c>
      <c r="I339" s="1118">
        <f t="shared" si="1"/>
        <v>17820</v>
      </c>
      <c r="J339" s="1110"/>
    </row>
    <row r="340" ht="18.75" customHeight="1">
      <c r="A340" s="1110"/>
      <c r="B340" s="1115" t="s">
        <v>4997</v>
      </c>
      <c r="C340" s="1108" t="s">
        <v>4491</v>
      </c>
      <c r="D340" s="1108" t="s">
        <v>5066</v>
      </c>
      <c r="E340" s="1116" t="s">
        <v>4600</v>
      </c>
      <c r="F340" s="1117">
        <v>0.1</v>
      </c>
      <c r="G340" s="1109">
        <v>0.0</v>
      </c>
      <c r="H340" s="1118">
        <v>21500.0</v>
      </c>
      <c r="I340" s="1118">
        <f t="shared" si="1"/>
        <v>19550</v>
      </c>
      <c r="J340" s="1110"/>
    </row>
    <row r="341" ht="18.75" customHeight="1">
      <c r="A341" s="1110"/>
      <c r="B341" s="1115" t="s">
        <v>4997</v>
      </c>
      <c r="C341" s="1108" t="s">
        <v>4491</v>
      </c>
      <c r="D341" s="1108" t="s">
        <v>5067</v>
      </c>
      <c r="E341" s="1116" t="s">
        <v>4602</v>
      </c>
      <c r="F341" s="1117">
        <v>0.1</v>
      </c>
      <c r="G341" s="1109">
        <v>0.0</v>
      </c>
      <c r="H341" s="1118">
        <v>23400.0</v>
      </c>
      <c r="I341" s="1118">
        <f t="shared" si="1"/>
        <v>21270</v>
      </c>
      <c r="J341" s="1110"/>
    </row>
    <row r="342" ht="18.75" customHeight="1">
      <c r="A342" s="1110"/>
      <c r="B342" s="1115" t="s">
        <v>4997</v>
      </c>
      <c r="C342" s="1108" t="s">
        <v>4496</v>
      </c>
      <c r="D342" s="1108" t="s">
        <v>5068</v>
      </c>
      <c r="E342" s="1116" t="s">
        <v>4604</v>
      </c>
      <c r="F342" s="1117">
        <v>0.1</v>
      </c>
      <c r="G342" s="1109">
        <v>0.0</v>
      </c>
      <c r="H342" s="1118">
        <v>26200.0</v>
      </c>
      <c r="I342" s="1118">
        <f t="shared" si="1"/>
        <v>23820</v>
      </c>
      <c r="J342" s="1110"/>
    </row>
    <row r="343" ht="18.75" customHeight="1">
      <c r="A343" s="1110"/>
      <c r="B343" s="1115" t="s">
        <v>4997</v>
      </c>
      <c r="C343" s="1108" t="s">
        <v>4491</v>
      </c>
      <c r="D343" s="1108" t="s">
        <v>5069</v>
      </c>
      <c r="E343" s="1116" t="s">
        <v>4606</v>
      </c>
      <c r="F343" s="1117">
        <v>0.1</v>
      </c>
      <c r="G343" s="1109">
        <v>0.0</v>
      </c>
      <c r="H343" s="1118">
        <v>27100.0</v>
      </c>
      <c r="I343" s="1118">
        <f t="shared" si="1"/>
        <v>24640</v>
      </c>
      <c r="J343" s="1110"/>
    </row>
    <row r="344" ht="18.75" customHeight="1">
      <c r="A344" s="1110"/>
      <c r="B344" s="1115" t="s">
        <v>4997</v>
      </c>
      <c r="C344" s="1108" t="s">
        <v>4496</v>
      </c>
      <c r="D344" s="1108" t="s">
        <v>5070</v>
      </c>
      <c r="E344" s="1116" t="s">
        <v>4608</v>
      </c>
      <c r="F344" s="1117">
        <v>0.1</v>
      </c>
      <c r="G344" s="1109">
        <v>0.0</v>
      </c>
      <c r="H344" s="1118">
        <v>29900.0</v>
      </c>
      <c r="I344" s="1118">
        <f t="shared" si="1"/>
        <v>27180</v>
      </c>
      <c r="J344" s="1110"/>
    </row>
    <row r="345" ht="18.75" customHeight="1">
      <c r="A345" s="1110"/>
      <c r="B345" s="1115" t="s">
        <v>4997</v>
      </c>
      <c r="C345" s="1108" t="s">
        <v>4496</v>
      </c>
      <c r="D345" s="1108" t="s">
        <v>5071</v>
      </c>
      <c r="E345" s="1116" t="s">
        <v>4610</v>
      </c>
      <c r="F345" s="1117">
        <v>0.1</v>
      </c>
      <c r="G345" s="1109">
        <v>0.0</v>
      </c>
      <c r="H345" s="1118">
        <v>29900.0</v>
      </c>
      <c r="I345" s="1118">
        <f t="shared" si="1"/>
        <v>27180</v>
      </c>
      <c r="J345" s="1110"/>
    </row>
    <row r="346" ht="18.75" customHeight="1">
      <c r="A346" s="1110"/>
      <c r="B346" s="1115" t="s">
        <v>4997</v>
      </c>
      <c r="C346" s="1108" t="s">
        <v>4491</v>
      </c>
      <c r="D346" s="1108" t="s">
        <v>5072</v>
      </c>
      <c r="E346" s="1116" t="s">
        <v>4612</v>
      </c>
      <c r="F346" s="1117">
        <v>0.1</v>
      </c>
      <c r="G346" s="1109">
        <v>0.0</v>
      </c>
      <c r="H346" s="1118">
        <v>31800.0</v>
      </c>
      <c r="I346" s="1118">
        <f t="shared" si="1"/>
        <v>28910</v>
      </c>
      <c r="J346" s="1110"/>
    </row>
    <row r="347" ht="18.75" customHeight="1">
      <c r="A347" s="1110"/>
      <c r="B347" s="1115" t="s">
        <v>4997</v>
      </c>
      <c r="C347" s="1108" t="s">
        <v>4491</v>
      </c>
      <c r="D347" s="1108" t="s">
        <v>5073</v>
      </c>
      <c r="E347" s="1116" t="s">
        <v>4614</v>
      </c>
      <c r="F347" s="1117">
        <v>0.1</v>
      </c>
      <c r="G347" s="1109">
        <v>0.0</v>
      </c>
      <c r="H347" s="1118">
        <v>37400.0</v>
      </c>
      <c r="I347" s="1118">
        <f t="shared" si="1"/>
        <v>34000</v>
      </c>
      <c r="J347" s="1110"/>
    </row>
    <row r="348" ht="18.75" customHeight="1">
      <c r="A348" s="1110"/>
      <c r="B348" s="1115" t="s">
        <v>4997</v>
      </c>
      <c r="C348" s="1108" t="s">
        <v>4496</v>
      </c>
      <c r="D348" s="1108" t="s">
        <v>5074</v>
      </c>
      <c r="E348" s="1116" t="s">
        <v>4616</v>
      </c>
      <c r="F348" s="1117">
        <v>0.1</v>
      </c>
      <c r="G348" s="1109">
        <v>0.0</v>
      </c>
      <c r="H348" s="1118">
        <v>39300.0</v>
      </c>
      <c r="I348" s="1118">
        <f t="shared" si="1"/>
        <v>35730</v>
      </c>
      <c r="J348" s="1110"/>
    </row>
    <row r="349" ht="18.75" customHeight="1">
      <c r="A349" s="1110"/>
      <c r="B349" s="1115" t="s">
        <v>4997</v>
      </c>
      <c r="C349" s="1108" t="s">
        <v>4496</v>
      </c>
      <c r="D349" s="1108" t="s">
        <v>5075</v>
      </c>
      <c r="E349" s="1116" t="s">
        <v>4618</v>
      </c>
      <c r="F349" s="1117">
        <v>0.1</v>
      </c>
      <c r="G349" s="1109">
        <v>0.0</v>
      </c>
      <c r="H349" s="1118">
        <v>42100.0</v>
      </c>
      <c r="I349" s="1118">
        <f t="shared" si="1"/>
        <v>38270</v>
      </c>
      <c r="J349" s="1110"/>
    </row>
    <row r="350" ht="18.75" customHeight="1">
      <c r="A350" s="1110"/>
      <c r="B350" s="1115" t="s">
        <v>4997</v>
      </c>
      <c r="C350" s="1108" t="s">
        <v>4496</v>
      </c>
      <c r="D350" s="1108" t="s">
        <v>5076</v>
      </c>
      <c r="E350" s="1116" t="s">
        <v>4620</v>
      </c>
      <c r="F350" s="1117">
        <v>0.1</v>
      </c>
      <c r="G350" s="1109">
        <v>0.0</v>
      </c>
      <c r="H350" s="1116"/>
      <c r="I350" s="1118" t="str">
        <f t="shared" si="1"/>
        <v/>
      </c>
      <c r="J350" s="1110"/>
    </row>
    <row r="351" ht="18.75" customHeight="1">
      <c r="A351" s="1110"/>
      <c r="B351" s="1115" t="s">
        <v>4997</v>
      </c>
      <c r="C351" s="1108" t="s">
        <v>4491</v>
      </c>
      <c r="D351" s="1108" t="s">
        <v>5077</v>
      </c>
      <c r="E351" s="1116" t="s">
        <v>4622</v>
      </c>
      <c r="F351" s="1117">
        <v>0.1</v>
      </c>
      <c r="G351" s="1109">
        <v>0.0</v>
      </c>
      <c r="H351" s="1118">
        <v>46800.0</v>
      </c>
      <c r="I351" s="1118">
        <f t="shared" si="1"/>
        <v>42550</v>
      </c>
      <c r="J351" s="1110"/>
    </row>
    <row r="352" ht="18.75" customHeight="1">
      <c r="A352" s="1110"/>
      <c r="B352" s="1115" t="s">
        <v>4997</v>
      </c>
      <c r="C352" s="1108" t="s">
        <v>4491</v>
      </c>
      <c r="D352" s="1108" t="s">
        <v>5078</v>
      </c>
      <c r="E352" s="1116" t="s">
        <v>4624</v>
      </c>
      <c r="F352" s="1117">
        <v>0.1</v>
      </c>
      <c r="G352" s="1109">
        <v>0.0</v>
      </c>
      <c r="H352" s="1116"/>
      <c r="I352" s="1118" t="str">
        <f t="shared" si="1"/>
        <v/>
      </c>
      <c r="J352" s="1110"/>
    </row>
    <row r="353" ht="18.75" customHeight="1">
      <c r="A353" s="1110"/>
      <c r="B353" s="1115" t="s">
        <v>4997</v>
      </c>
      <c r="C353" s="1108" t="s">
        <v>4496</v>
      </c>
      <c r="D353" s="1108" t="s">
        <v>5079</v>
      </c>
      <c r="E353" s="1116" t="s">
        <v>4626</v>
      </c>
      <c r="F353" s="1117">
        <v>0.1</v>
      </c>
      <c r="G353" s="1109">
        <v>0.0</v>
      </c>
      <c r="H353" s="1118">
        <v>54200.0</v>
      </c>
      <c r="I353" s="1118">
        <f t="shared" si="1"/>
        <v>49270</v>
      </c>
      <c r="J353" s="1110"/>
    </row>
    <row r="354" ht="18.75" customHeight="1">
      <c r="A354" s="1110"/>
      <c r="B354" s="1115" t="s">
        <v>4997</v>
      </c>
      <c r="C354" s="1108" t="s">
        <v>4496</v>
      </c>
      <c r="D354" s="1108" t="s">
        <v>5080</v>
      </c>
      <c r="E354" s="1116" t="s">
        <v>4628</v>
      </c>
      <c r="F354" s="1117">
        <v>0.1</v>
      </c>
      <c r="G354" s="1109">
        <v>0.0</v>
      </c>
      <c r="H354" s="1118">
        <v>59800.0</v>
      </c>
      <c r="I354" s="1118">
        <f t="shared" si="1"/>
        <v>54360</v>
      </c>
      <c r="J354" s="1110"/>
    </row>
    <row r="355" ht="18.75" customHeight="1">
      <c r="A355" s="1110"/>
      <c r="B355" s="1115" t="s">
        <v>4997</v>
      </c>
      <c r="C355" s="1108" t="s">
        <v>4496</v>
      </c>
      <c r="D355" s="1108" t="s">
        <v>5081</v>
      </c>
      <c r="E355" s="1116" t="s">
        <v>4630</v>
      </c>
      <c r="F355" s="1117">
        <v>0.1</v>
      </c>
      <c r="G355" s="1109">
        <v>0.0</v>
      </c>
      <c r="H355" s="1118">
        <v>59800.0</v>
      </c>
      <c r="I355" s="1118">
        <f t="shared" si="1"/>
        <v>54360</v>
      </c>
      <c r="J355" s="1110"/>
    </row>
    <row r="356" ht="18.75" customHeight="1">
      <c r="A356" s="1110"/>
      <c r="B356" s="1115" t="s">
        <v>4997</v>
      </c>
      <c r="C356" s="1108" t="s">
        <v>4491</v>
      </c>
      <c r="D356" s="1108" t="s">
        <v>5082</v>
      </c>
      <c r="E356" s="1116" t="s">
        <v>4632</v>
      </c>
      <c r="F356" s="1117">
        <v>0.1</v>
      </c>
      <c r="G356" s="1109">
        <v>0.0</v>
      </c>
      <c r="H356" s="1118">
        <v>60800.0</v>
      </c>
      <c r="I356" s="1118">
        <f t="shared" si="1"/>
        <v>55270</v>
      </c>
      <c r="J356" s="1110"/>
    </row>
    <row r="357" ht="18.75" customHeight="1">
      <c r="A357" s="1110"/>
      <c r="B357" s="1115" t="s">
        <v>4997</v>
      </c>
      <c r="C357" s="1108" t="s">
        <v>4491</v>
      </c>
      <c r="D357" s="1108" t="s">
        <v>5083</v>
      </c>
      <c r="E357" s="1116" t="s">
        <v>4634</v>
      </c>
      <c r="F357" s="1117">
        <v>0.1</v>
      </c>
      <c r="G357" s="1109">
        <v>0.0</v>
      </c>
      <c r="H357" s="1118">
        <v>60800.0</v>
      </c>
      <c r="I357" s="1118">
        <f t="shared" si="1"/>
        <v>55270</v>
      </c>
      <c r="J357" s="1110"/>
    </row>
    <row r="358" ht="18.75" customHeight="1">
      <c r="A358" s="1110"/>
      <c r="B358" s="1115" t="s">
        <v>4997</v>
      </c>
      <c r="C358" s="1108" t="s">
        <v>4496</v>
      </c>
      <c r="D358" s="1108" t="s">
        <v>5084</v>
      </c>
      <c r="E358" s="1116" t="s">
        <v>4636</v>
      </c>
      <c r="F358" s="1117">
        <v>0.1</v>
      </c>
      <c r="G358" s="1109">
        <v>0.0</v>
      </c>
      <c r="H358" s="1118">
        <v>63600.0</v>
      </c>
      <c r="I358" s="1118">
        <f t="shared" si="1"/>
        <v>57820</v>
      </c>
      <c r="J358" s="1110"/>
    </row>
    <row r="359" ht="18.75" customHeight="1">
      <c r="A359" s="1110"/>
      <c r="B359" s="1115" t="s">
        <v>4997</v>
      </c>
      <c r="C359" s="1108" t="s">
        <v>4496</v>
      </c>
      <c r="D359" s="1108" t="s">
        <v>5085</v>
      </c>
      <c r="E359" s="1116" t="s">
        <v>4638</v>
      </c>
      <c r="F359" s="1117">
        <v>0.1</v>
      </c>
      <c r="G359" s="1109">
        <v>0.0</v>
      </c>
      <c r="H359" s="1118">
        <v>71100.0</v>
      </c>
      <c r="I359" s="1118">
        <f t="shared" si="1"/>
        <v>64640</v>
      </c>
      <c r="J359" s="1110"/>
    </row>
    <row r="360" ht="18.75" customHeight="1">
      <c r="A360" s="1110"/>
      <c r="B360" s="1115" t="s">
        <v>4997</v>
      </c>
      <c r="C360" s="1108" t="s">
        <v>4496</v>
      </c>
      <c r="D360" s="1108" t="s">
        <v>5086</v>
      </c>
      <c r="E360" s="1116" t="s">
        <v>4640</v>
      </c>
      <c r="F360" s="1117">
        <v>0.1</v>
      </c>
      <c r="G360" s="1109">
        <v>0.0</v>
      </c>
      <c r="H360" s="1118">
        <v>132800.0</v>
      </c>
      <c r="I360" s="1118">
        <f t="shared" si="1"/>
        <v>120730</v>
      </c>
      <c r="J360" s="1110"/>
    </row>
    <row r="361" ht="18.75" customHeight="1">
      <c r="A361" s="1110"/>
      <c r="B361" s="1115" t="s">
        <v>4997</v>
      </c>
      <c r="C361" s="1108" t="s">
        <v>4496</v>
      </c>
      <c r="D361" s="1108" t="s">
        <v>5087</v>
      </c>
      <c r="E361" s="1116" t="s">
        <v>4642</v>
      </c>
      <c r="F361" s="1117">
        <v>0.1</v>
      </c>
      <c r="G361" s="1109">
        <v>0.0</v>
      </c>
      <c r="H361" s="1118">
        <v>136500.0</v>
      </c>
      <c r="I361" s="1118">
        <f t="shared" si="1"/>
        <v>124090</v>
      </c>
      <c r="J361" s="1110"/>
    </row>
    <row r="362" ht="18.75" customHeight="1">
      <c r="A362" s="1110"/>
      <c r="B362" s="1115" t="s">
        <v>4997</v>
      </c>
      <c r="C362" s="1108" t="s">
        <v>4496</v>
      </c>
      <c r="D362" s="1108" t="s">
        <v>5088</v>
      </c>
      <c r="E362" s="1116" t="s">
        <v>4644</v>
      </c>
      <c r="F362" s="1117">
        <v>0.1</v>
      </c>
      <c r="G362" s="1109">
        <v>0.0</v>
      </c>
      <c r="H362" s="1118">
        <v>140300.0</v>
      </c>
      <c r="I362" s="1118">
        <f t="shared" si="1"/>
        <v>127550</v>
      </c>
      <c r="J362" s="1110"/>
    </row>
    <row r="363" ht="18.75" customHeight="1">
      <c r="A363" s="1110"/>
      <c r="B363" s="1115" t="s">
        <v>4997</v>
      </c>
      <c r="C363" s="1108" t="s">
        <v>4491</v>
      </c>
      <c r="D363" s="1108" t="s">
        <v>5089</v>
      </c>
      <c r="E363" s="1116" t="s">
        <v>4646</v>
      </c>
      <c r="F363" s="1117">
        <v>0.1</v>
      </c>
      <c r="G363" s="1109">
        <v>0.0</v>
      </c>
      <c r="H363" s="1118">
        <v>146800.0</v>
      </c>
      <c r="I363" s="1118">
        <f t="shared" si="1"/>
        <v>133450</v>
      </c>
      <c r="J363" s="1110"/>
    </row>
    <row r="364" ht="18.75" customHeight="1">
      <c r="A364" s="1110"/>
      <c r="B364" s="1115" t="s">
        <v>4997</v>
      </c>
      <c r="C364" s="1108" t="s">
        <v>4496</v>
      </c>
      <c r="D364" s="1108" t="s">
        <v>5090</v>
      </c>
      <c r="E364" s="1116" t="s">
        <v>4648</v>
      </c>
      <c r="F364" s="1117">
        <v>0.1</v>
      </c>
      <c r="G364" s="1109">
        <v>0.0</v>
      </c>
      <c r="H364" s="1118">
        <v>161800.0</v>
      </c>
      <c r="I364" s="1118">
        <f t="shared" si="1"/>
        <v>147090</v>
      </c>
      <c r="J364" s="1110"/>
    </row>
    <row r="365" ht="18.75" customHeight="1">
      <c r="A365" s="1110"/>
      <c r="B365" s="1115" t="s">
        <v>4997</v>
      </c>
      <c r="C365" s="1108" t="s">
        <v>4496</v>
      </c>
      <c r="D365" s="1108" t="s">
        <v>5091</v>
      </c>
      <c r="E365" s="1116" t="s">
        <v>4650</v>
      </c>
      <c r="F365" s="1117">
        <v>0.1</v>
      </c>
      <c r="G365" s="1109">
        <v>0.0</v>
      </c>
      <c r="H365" s="1118">
        <v>165500.0</v>
      </c>
      <c r="I365" s="1118">
        <f t="shared" si="1"/>
        <v>150450</v>
      </c>
      <c r="J365" s="1110"/>
    </row>
    <row r="366" ht="18.75" customHeight="1">
      <c r="A366" s="1110"/>
      <c r="B366" s="1115" t="s">
        <v>4997</v>
      </c>
      <c r="C366" s="1108" t="s">
        <v>4496</v>
      </c>
      <c r="D366" s="1108" t="s">
        <v>5092</v>
      </c>
      <c r="E366" s="1116" t="s">
        <v>4652</v>
      </c>
      <c r="F366" s="1117">
        <v>0.1</v>
      </c>
      <c r="G366" s="1109">
        <v>0.0</v>
      </c>
      <c r="H366" s="1118">
        <v>169200.0</v>
      </c>
      <c r="I366" s="1118">
        <f t="shared" si="1"/>
        <v>153820</v>
      </c>
      <c r="J366" s="1110"/>
    </row>
    <row r="367" ht="18.75" customHeight="1">
      <c r="A367" s="1110"/>
      <c r="B367" s="1115" t="s">
        <v>4997</v>
      </c>
      <c r="C367" s="1108" t="s">
        <v>4496</v>
      </c>
      <c r="D367" s="1108" t="s">
        <v>5093</v>
      </c>
      <c r="E367" s="1116" t="s">
        <v>4654</v>
      </c>
      <c r="F367" s="1117">
        <v>0.1</v>
      </c>
      <c r="G367" s="1109">
        <v>0.0</v>
      </c>
      <c r="H367" s="1118">
        <v>176700.0</v>
      </c>
      <c r="I367" s="1118">
        <f t="shared" si="1"/>
        <v>160640</v>
      </c>
      <c r="J367" s="1110"/>
    </row>
    <row r="368" ht="18.75" customHeight="1">
      <c r="A368" s="1110"/>
      <c r="B368" s="1115" t="s">
        <v>4997</v>
      </c>
      <c r="C368" s="1108" t="s">
        <v>4496</v>
      </c>
      <c r="D368" s="1108" t="s">
        <v>5094</v>
      </c>
      <c r="E368" s="1116" t="s">
        <v>4656</v>
      </c>
      <c r="F368" s="1117">
        <v>0.1</v>
      </c>
      <c r="G368" s="1109">
        <v>0.0</v>
      </c>
      <c r="H368" s="1116"/>
      <c r="I368" s="1118" t="str">
        <f t="shared" si="1"/>
        <v/>
      </c>
      <c r="J368" s="1110"/>
    </row>
    <row r="369" ht="18.75" customHeight="1">
      <c r="A369" s="1110"/>
      <c r="B369" s="1115" t="s">
        <v>4997</v>
      </c>
      <c r="C369" s="1108" t="s">
        <v>4496</v>
      </c>
      <c r="D369" s="1108" t="s">
        <v>5095</v>
      </c>
      <c r="E369" s="1116" t="s">
        <v>4658</v>
      </c>
      <c r="F369" s="1117">
        <v>0.1</v>
      </c>
      <c r="G369" s="1109">
        <v>0.0</v>
      </c>
      <c r="H369" s="1116"/>
      <c r="I369" s="1118" t="str">
        <f t="shared" si="1"/>
        <v/>
      </c>
      <c r="J369" s="1110"/>
    </row>
    <row r="370" ht="18.75" customHeight="1">
      <c r="A370" s="1110"/>
      <c r="B370" s="1115" t="s">
        <v>4997</v>
      </c>
      <c r="C370" s="1108" t="s">
        <v>4496</v>
      </c>
      <c r="D370" s="1108" t="s">
        <v>5096</v>
      </c>
      <c r="E370" s="1116" t="s">
        <v>4660</v>
      </c>
      <c r="F370" s="1117">
        <v>0.1</v>
      </c>
      <c r="G370" s="1109">
        <v>0.0</v>
      </c>
      <c r="H370" s="1116"/>
      <c r="I370" s="1118" t="str">
        <f t="shared" si="1"/>
        <v/>
      </c>
      <c r="J370" s="1110"/>
    </row>
    <row r="371" ht="18.75" customHeight="1">
      <c r="A371" s="1110"/>
      <c r="B371" s="1115" t="s">
        <v>4997</v>
      </c>
      <c r="C371" s="1108" t="s">
        <v>4460</v>
      </c>
      <c r="D371" s="1108" t="s">
        <v>5097</v>
      </c>
      <c r="E371" s="1116" t="s">
        <v>4662</v>
      </c>
      <c r="F371" s="1117">
        <v>0.1</v>
      </c>
      <c r="G371" s="1109">
        <v>0.0</v>
      </c>
      <c r="H371" s="1118">
        <v>15900.0</v>
      </c>
      <c r="I371" s="1118">
        <f t="shared" si="1"/>
        <v>14450</v>
      </c>
      <c r="J371" s="1110"/>
    </row>
    <row r="372" ht="18.75" customHeight="1">
      <c r="A372" s="1110"/>
      <c r="B372" s="1115" t="s">
        <v>4997</v>
      </c>
      <c r="C372" s="1108" t="s">
        <v>4460</v>
      </c>
      <c r="D372" s="1108" t="s">
        <v>5098</v>
      </c>
      <c r="E372" s="1116" t="s">
        <v>4664</v>
      </c>
      <c r="F372" s="1117">
        <v>0.1</v>
      </c>
      <c r="G372" s="1109">
        <v>0.0</v>
      </c>
      <c r="H372" s="1118">
        <v>18700.0</v>
      </c>
      <c r="I372" s="1118">
        <f t="shared" si="1"/>
        <v>17000</v>
      </c>
      <c r="J372" s="1110"/>
    </row>
    <row r="373" ht="18.75" customHeight="1">
      <c r="A373" s="1110"/>
      <c r="B373" s="1115" t="s">
        <v>4997</v>
      </c>
      <c r="C373" s="1108" t="s">
        <v>4460</v>
      </c>
      <c r="D373" s="1108" t="s">
        <v>5099</v>
      </c>
      <c r="E373" s="1116" t="s">
        <v>4666</v>
      </c>
      <c r="F373" s="1117">
        <v>0.1</v>
      </c>
      <c r="G373" s="1109">
        <v>0.0</v>
      </c>
      <c r="H373" s="1118">
        <v>22400.0</v>
      </c>
      <c r="I373" s="1118">
        <f t="shared" si="1"/>
        <v>20360</v>
      </c>
      <c r="J373" s="1110"/>
    </row>
    <row r="374" ht="18.75" customHeight="1">
      <c r="A374" s="1110"/>
      <c r="B374" s="1115" t="s">
        <v>4997</v>
      </c>
      <c r="C374" s="1108" t="s">
        <v>4460</v>
      </c>
      <c r="D374" s="1108" t="s">
        <v>5100</v>
      </c>
      <c r="E374" s="1116" t="s">
        <v>4668</v>
      </c>
      <c r="F374" s="1117">
        <v>0.1</v>
      </c>
      <c r="G374" s="1109">
        <v>0.0</v>
      </c>
      <c r="H374" s="1118">
        <v>25200.0</v>
      </c>
      <c r="I374" s="1118">
        <f t="shared" si="1"/>
        <v>22910</v>
      </c>
      <c r="J374" s="1110"/>
    </row>
    <row r="375" ht="18.75" customHeight="1">
      <c r="A375" s="1110"/>
      <c r="B375" s="1115" t="s">
        <v>4997</v>
      </c>
      <c r="C375" s="1108" t="s">
        <v>4460</v>
      </c>
      <c r="D375" s="1108" t="s">
        <v>5101</v>
      </c>
      <c r="E375" s="1116" t="s">
        <v>4670</v>
      </c>
      <c r="F375" s="1117">
        <v>0.1</v>
      </c>
      <c r="G375" s="1109">
        <v>0.0</v>
      </c>
      <c r="H375" s="1118">
        <v>28100.0</v>
      </c>
      <c r="I375" s="1118">
        <f t="shared" si="1"/>
        <v>25550</v>
      </c>
      <c r="J375" s="1110"/>
    </row>
    <row r="376" ht="18.75" customHeight="1">
      <c r="A376" s="1110"/>
      <c r="B376" s="1115" t="s">
        <v>4997</v>
      </c>
      <c r="C376" s="1108" t="s">
        <v>4491</v>
      </c>
      <c r="D376" s="1108" t="s">
        <v>5102</v>
      </c>
      <c r="E376" s="1116" t="s">
        <v>4672</v>
      </c>
      <c r="F376" s="1117">
        <v>0.1</v>
      </c>
      <c r="G376" s="1109">
        <v>0.0</v>
      </c>
      <c r="H376" s="1118">
        <v>30900.0</v>
      </c>
      <c r="I376" s="1118">
        <f t="shared" si="1"/>
        <v>28090</v>
      </c>
      <c r="J376" s="1110"/>
    </row>
    <row r="377" ht="18.75" customHeight="1">
      <c r="A377" s="1110"/>
      <c r="B377" s="1115" t="s">
        <v>4997</v>
      </c>
      <c r="C377" s="1108" t="s">
        <v>4460</v>
      </c>
      <c r="D377" s="1108" t="s">
        <v>5103</v>
      </c>
      <c r="E377" s="1116" t="s">
        <v>4674</v>
      </c>
      <c r="F377" s="1117">
        <v>0.1</v>
      </c>
      <c r="G377" s="1109">
        <v>0.0</v>
      </c>
      <c r="H377" s="1118">
        <v>30900.0</v>
      </c>
      <c r="I377" s="1118">
        <f t="shared" si="1"/>
        <v>28090</v>
      </c>
      <c r="J377" s="1110"/>
    </row>
    <row r="378" ht="18.75" customHeight="1">
      <c r="A378" s="1110"/>
      <c r="B378" s="1115" t="s">
        <v>4997</v>
      </c>
      <c r="C378" s="1108" t="s">
        <v>4491</v>
      </c>
      <c r="D378" s="1108" t="s">
        <v>5104</v>
      </c>
      <c r="E378" s="1116" t="s">
        <v>4676</v>
      </c>
      <c r="F378" s="1117">
        <v>0.1</v>
      </c>
      <c r="G378" s="1109">
        <v>0.0</v>
      </c>
      <c r="H378" s="1118">
        <v>35500.0</v>
      </c>
      <c r="I378" s="1118">
        <f t="shared" si="1"/>
        <v>32270</v>
      </c>
      <c r="J378" s="1110"/>
    </row>
    <row r="379" ht="18.75" customHeight="1">
      <c r="A379" s="1110"/>
      <c r="B379" s="1115" t="s">
        <v>4997</v>
      </c>
      <c r="C379" s="1108" t="s">
        <v>4491</v>
      </c>
      <c r="D379" s="1108" t="s">
        <v>5105</v>
      </c>
      <c r="E379" s="1116" t="s">
        <v>4678</v>
      </c>
      <c r="F379" s="1117">
        <v>0.1</v>
      </c>
      <c r="G379" s="1109">
        <v>0.0</v>
      </c>
      <c r="H379" s="1118">
        <v>35500.0</v>
      </c>
      <c r="I379" s="1118">
        <f t="shared" si="1"/>
        <v>32270</v>
      </c>
      <c r="J379" s="1110"/>
    </row>
    <row r="380" ht="18.75" customHeight="1">
      <c r="A380" s="1110"/>
      <c r="B380" s="1115" t="s">
        <v>4997</v>
      </c>
      <c r="C380" s="1108" t="s">
        <v>4491</v>
      </c>
      <c r="D380" s="1108" t="s">
        <v>5106</v>
      </c>
      <c r="E380" s="1116" t="s">
        <v>4680</v>
      </c>
      <c r="F380" s="1117">
        <v>0.1</v>
      </c>
      <c r="G380" s="1109">
        <v>0.0</v>
      </c>
      <c r="H380" s="1118">
        <v>38300.0</v>
      </c>
      <c r="I380" s="1118">
        <f t="shared" si="1"/>
        <v>34820</v>
      </c>
      <c r="J380" s="1110"/>
    </row>
    <row r="381" ht="18.75" customHeight="1">
      <c r="A381" s="1110"/>
      <c r="B381" s="1115" t="s">
        <v>4997</v>
      </c>
      <c r="C381" s="1108" t="s">
        <v>4496</v>
      </c>
      <c r="D381" s="1108" t="s">
        <v>5107</v>
      </c>
      <c r="E381" s="1116" t="s">
        <v>4682</v>
      </c>
      <c r="F381" s="1117">
        <v>0.1</v>
      </c>
      <c r="G381" s="1109">
        <v>0.0</v>
      </c>
      <c r="H381" s="1118">
        <v>38300.0</v>
      </c>
      <c r="I381" s="1118">
        <f t="shared" si="1"/>
        <v>34820</v>
      </c>
      <c r="J381" s="1110"/>
    </row>
    <row r="382" ht="18.75" customHeight="1">
      <c r="A382" s="1110"/>
      <c r="B382" s="1115" t="s">
        <v>4997</v>
      </c>
      <c r="C382" s="1108" t="s">
        <v>4491</v>
      </c>
      <c r="D382" s="1108" t="s">
        <v>5108</v>
      </c>
      <c r="E382" s="1116" t="s">
        <v>4684</v>
      </c>
      <c r="F382" s="1117">
        <v>0.1</v>
      </c>
      <c r="G382" s="1109">
        <v>0.0</v>
      </c>
      <c r="H382" s="1118">
        <v>41100.0</v>
      </c>
      <c r="I382" s="1118">
        <f t="shared" si="1"/>
        <v>37360</v>
      </c>
      <c r="J382" s="1110"/>
    </row>
    <row r="383" ht="18.75" customHeight="1">
      <c r="A383" s="1110"/>
      <c r="B383" s="1115" t="s">
        <v>4997</v>
      </c>
      <c r="C383" s="1108" t="s">
        <v>4491</v>
      </c>
      <c r="D383" s="1108" t="s">
        <v>5109</v>
      </c>
      <c r="E383" s="1116" t="s">
        <v>4686</v>
      </c>
      <c r="F383" s="1117">
        <v>0.1</v>
      </c>
      <c r="G383" s="1109">
        <v>0.0</v>
      </c>
      <c r="H383" s="1118">
        <v>44900.0</v>
      </c>
      <c r="I383" s="1118">
        <f t="shared" si="1"/>
        <v>40820</v>
      </c>
      <c r="J383" s="1110"/>
    </row>
    <row r="384" ht="18.75" customHeight="1">
      <c r="A384" s="1110"/>
      <c r="B384" s="1115" t="s">
        <v>4997</v>
      </c>
      <c r="C384" s="1108" t="s">
        <v>4491</v>
      </c>
      <c r="D384" s="1108" t="s">
        <v>5110</v>
      </c>
      <c r="E384" s="1116" t="s">
        <v>4688</v>
      </c>
      <c r="F384" s="1117">
        <v>0.1</v>
      </c>
      <c r="G384" s="1109">
        <v>0.0</v>
      </c>
      <c r="H384" s="1118">
        <v>48600.0</v>
      </c>
      <c r="I384" s="1118">
        <f t="shared" si="1"/>
        <v>44180</v>
      </c>
      <c r="J384" s="1110"/>
    </row>
    <row r="385" ht="18.75" customHeight="1">
      <c r="A385" s="1110"/>
      <c r="B385" s="1115" t="s">
        <v>4997</v>
      </c>
      <c r="C385" s="1108" t="s">
        <v>4491</v>
      </c>
      <c r="D385" s="1108" t="s">
        <v>5111</v>
      </c>
      <c r="E385" s="1116" t="s">
        <v>4690</v>
      </c>
      <c r="F385" s="1117">
        <v>0.1</v>
      </c>
      <c r="G385" s="1109">
        <v>0.0</v>
      </c>
      <c r="H385" s="1118">
        <v>50500.0</v>
      </c>
      <c r="I385" s="1118">
        <f t="shared" si="1"/>
        <v>45910</v>
      </c>
      <c r="J385" s="1110"/>
    </row>
    <row r="386" ht="18.75" customHeight="1">
      <c r="A386" s="1110"/>
      <c r="B386" s="1115" t="s">
        <v>4997</v>
      </c>
      <c r="C386" s="1108" t="s">
        <v>4491</v>
      </c>
      <c r="D386" s="1108" t="s">
        <v>5112</v>
      </c>
      <c r="E386" s="1116" t="s">
        <v>4692</v>
      </c>
      <c r="F386" s="1117">
        <v>0.1</v>
      </c>
      <c r="G386" s="1109">
        <v>0.0</v>
      </c>
      <c r="H386" s="1118">
        <v>56100.0</v>
      </c>
      <c r="I386" s="1118">
        <f t="shared" si="1"/>
        <v>51000</v>
      </c>
      <c r="J386" s="1110"/>
    </row>
    <row r="387" ht="18.75" customHeight="1">
      <c r="A387" s="1110"/>
      <c r="B387" s="1115" t="s">
        <v>4997</v>
      </c>
      <c r="C387" s="1108" t="s">
        <v>4496</v>
      </c>
      <c r="D387" s="1108" t="s">
        <v>5113</v>
      </c>
      <c r="E387" s="1116" t="s">
        <v>4694</v>
      </c>
      <c r="F387" s="1117">
        <v>0.1</v>
      </c>
      <c r="G387" s="1109">
        <v>0.0</v>
      </c>
      <c r="H387" s="1118">
        <v>58000.0</v>
      </c>
      <c r="I387" s="1118">
        <f t="shared" si="1"/>
        <v>52730</v>
      </c>
      <c r="J387" s="1110"/>
    </row>
    <row r="388" ht="18.75" customHeight="1">
      <c r="A388" s="1110"/>
      <c r="B388" s="1115" t="s">
        <v>4997</v>
      </c>
      <c r="C388" s="1108" t="s">
        <v>4491</v>
      </c>
      <c r="D388" s="1108" t="s">
        <v>5114</v>
      </c>
      <c r="E388" s="1116" t="s">
        <v>4696</v>
      </c>
      <c r="F388" s="1117">
        <v>0.1</v>
      </c>
      <c r="G388" s="1109">
        <v>0.0</v>
      </c>
      <c r="H388" s="1118">
        <v>59800.0</v>
      </c>
      <c r="I388" s="1118">
        <f t="shared" si="1"/>
        <v>54360</v>
      </c>
      <c r="J388" s="1110"/>
    </row>
    <row r="389" ht="18.75" customHeight="1">
      <c r="A389" s="1110"/>
      <c r="B389" s="1115" t="s">
        <v>4997</v>
      </c>
      <c r="C389" s="1108" t="s">
        <v>4491</v>
      </c>
      <c r="D389" s="1108" t="s">
        <v>5115</v>
      </c>
      <c r="E389" s="1116" t="s">
        <v>4698</v>
      </c>
      <c r="F389" s="1117">
        <v>0.1</v>
      </c>
      <c r="G389" s="1109">
        <v>0.0</v>
      </c>
      <c r="H389" s="1116"/>
      <c r="I389" s="1118" t="str">
        <f t="shared" si="1"/>
        <v/>
      </c>
      <c r="J389" s="1110"/>
    </row>
    <row r="390" ht="18.75" customHeight="1">
      <c r="A390" s="1110"/>
      <c r="B390" s="1115" t="s">
        <v>4997</v>
      </c>
      <c r="C390" s="1108" t="s">
        <v>4491</v>
      </c>
      <c r="D390" s="1108" t="s">
        <v>5116</v>
      </c>
      <c r="E390" s="1116" t="s">
        <v>4700</v>
      </c>
      <c r="F390" s="1117">
        <v>0.1</v>
      </c>
      <c r="G390" s="1109">
        <v>0.0</v>
      </c>
      <c r="H390" s="1118">
        <v>89800.0</v>
      </c>
      <c r="I390" s="1118">
        <f t="shared" si="1"/>
        <v>81640</v>
      </c>
      <c r="J390" s="1110"/>
    </row>
    <row r="391" ht="18.75" customHeight="1">
      <c r="A391" s="1110"/>
      <c r="B391" s="1115" t="s">
        <v>4997</v>
      </c>
      <c r="C391" s="1108" t="s">
        <v>4496</v>
      </c>
      <c r="D391" s="1108" t="s">
        <v>5117</v>
      </c>
      <c r="E391" s="1116" t="s">
        <v>4702</v>
      </c>
      <c r="F391" s="1117">
        <v>0.1</v>
      </c>
      <c r="G391" s="1109">
        <v>0.0</v>
      </c>
      <c r="H391" s="1116"/>
      <c r="I391" s="1118" t="str">
        <f t="shared" si="1"/>
        <v/>
      </c>
      <c r="J391" s="1110"/>
    </row>
    <row r="392" ht="18.75" customHeight="1">
      <c r="A392" s="1110"/>
      <c r="B392" s="1115" t="s">
        <v>4997</v>
      </c>
      <c r="C392" s="1108" t="s">
        <v>4496</v>
      </c>
      <c r="D392" s="1108" t="s">
        <v>5118</v>
      </c>
      <c r="E392" s="1116" t="s">
        <v>4704</v>
      </c>
      <c r="F392" s="1117">
        <v>0.1</v>
      </c>
      <c r="G392" s="1109">
        <v>0.0</v>
      </c>
      <c r="H392" s="1118">
        <v>95400.0</v>
      </c>
      <c r="I392" s="1118">
        <f t="shared" si="1"/>
        <v>86730</v>
      </c>
      <c r="J392" s="1110"/>
    </row>
    <row r="393" ht="18.75" customHeight="1">
      <c r="A393" s="1110"/>
      <c r="B393" s="1115" t="s">
        <v>4997</v>
      </c>
      <c r="C393" s="1108" t="s">
        <v>4496</v>
      </c>
      <c r="D393" s="1108" t="s">
        <v>5119</v>
      </c>
      <c r="E393" s="1116" t="s">
        <v>4706</v>
      </c>
      <c r="F393" s="1117">
        <v>0.1</v>
      </c>
      <c r="G393" s="1109">
        <v>0.0</v>
      </c>
      <c r="H393" s="1118">
        <v>98200.0</v>
      </c>
      <c r="I393" s="1118">
        <f t="shared" si="1"/>
        <v>89270</v>
      </c>
      <c r="J393" s="1110"/>
    </row>
    <row r="394" ht="18.75" customHeight="1">
      <c r="A394" s="1110"/>
      <c r="B394" s="1115" t="s">
        <v>4997</v>
      </c>
      <c r="C394" s="1108" t="s">
        <v>4496</v>
      </c>
      <c r="D394" s="1108" t="s">
        <v>5120</v>
      </c>
      <c r="E394" s="1116" t="s">
        <v>4708</v>
      </c>
      <c r="F394" s="1117">
        <v>0.1</v>
      </c>
      <c r="G394" s="1109">
        <v>0.0</v>
      </c>
      <c r="H394" s="1118">
        <v>102900.0</v>
      </c>
      <c r="I394" s="1118">
        <f t="shared" si="1"/>
        <v>93550</v>
      </c>
      <c r="J394" s="1110"/>
    </row>
    <row r="395" ht="18.75" customHeight="1">
      <c r="A395" s="1110"/>
      <c r="B395" s="1115" t="s">
        <v>4997</v>
      </c>
      <c r="C395" s="1108" t="s">
        <v>4496</v>
      </c>
      <c r="D395" s="1108" t="s">
        <v>5121</v>
      </c>
      <c r="E395" s="1116" t="s">
        <v>4710</v>
      </c>
      <c r="F395" s="1117">
        <v>0.1</v>
      </c>
      <c r="G395" s="1109">
        <v>0.0</v>
      </c>
      <c r="H395" s="1118">
        <v>116900.0</v>
      </c>
      <c r="I395" s="1118">
        <f t="shared" si="1"/>
        <v>106270</v>
      </c>
      <c r="J395" s="1110"/>
    </row>
    <row r="396" ht="18.75" customHeight="1">
      <c r="A396" s="1110"/>
      <c r="B396" s="1115" t="s">
        <v>4997</v>
      </c>
      <c r="C396" s="1108" t="s">
        <v>4496</v>
      </c>
      <c r="D396" s="1108" t="s">
        <v>5122</v>
      </c>
      <c r="E396" s="1116" t="s">
        <v>4712</v>
      </c>
      <c r="F396" s="1117">
        <v>0.1</v>
      </c>
      <c r="G396" s="1109">
        <v>0.0</v>
      </c>
      <c r="H396" s="1118">
        <v>126200.0</v>
      </c>
      <c r="I396" s="1118">
        <f t="shared" si="1"/>
        <v>114730</v>
      </c>
      <c r="J396" s="1110"/>
    </row>
    <row r="397" ht="18.75" customHeight="1">
      <c r="A397" s="1110"/>
      <c r="B397" s="1115" t="s">
        <v>4997</v>
      </c>
      <c r="C397" s="1108" t="s">
        <v>4496</v>
      </c>
      <c r="D397" s="1108" t="s">
        <v>5123</v>
      </c>
      <c r="E397" s="1116" t="s">
        <v>4714</v>
      </c>
      <c r="F397" s="1117">
        <v>0.1</v>
      </c>
      <c r="G397" s="1109">
        <v>0.0</v>
      </c>
      <c r="H397" s="1118">
        <v>207600.0</v>
      </c>
      <c r="I397" s="1118">
        <f t="shared" si="1"/>
        <v>188730</v>
      </c>
      <c r="J397" s="1110"/>
    </row>
    <row r="398" ht="18.75" customHeight="1">
      <c r="A398" s="1110"/>
      <c r="B398" s="1115" t="s">
        <v>4997</v>
      </c>
      <c r="C398" s="1108" t="s">
        <v>4496</v>
      </c>
      <c r="D398" s="1108" t="s">
        <v>5124</v>
      </c>
      <c r="E398" s="1116" t="s">
        <v>4716</v>
      </c>
      <c r="F398" s="1117">
        <v>0.1</v>
      </c>
      <c r="G398" s="1109">
        <v>0.0</v>
      </c>
      <c r="H398" s="1118">
        <v>213200.0</v>
      </c>
      <c r="I398" s="1118">
        <f t="shared" si="1"/>
        <v>193820</v>
      </c>
      <c r="J398" s="1110"/>
    </row>
    <row r="399" ht="18.75" customHeight="1">
      <c r="A399" s="1110"/>
      <c r="B399" s="1115" t="s">
        <v>4997</v>
      </c>
      <c r="C399" s="1108" t="s">
        <v>4496</v>
      </c>
      <c r="D399" s="1108" t="s">
        <v>5125</v>
      </c>
      <c r="E399" s="1116" t="s">
        <v>4718</v>
      </c>
      <c r="F399" s="1117">
        <v>0.1</v>
      </c>
      <c r="G399" s="1109">
        <v>0.0</v>
      </c>
      <c r="H399" s="1118">
        <v>218800.0</v>
      </c>
      <c r="I399" s="1118">
        <f t="shared" si="1"/>
        <v>198910</v>
      </c>
      <c r="J399" s="1110"/>
    </row>
    <row r="400" ht="18.75" customHeight="1">
      <c r="A400" s="1110"/>
      <c r="B400" s="1115" t="s">
        <v>4997</v>
      </c>
      <c r="C400" s="1108" t="s">
        <v>4496</v>
      </c>
      <c r="D400" s="1108" t="s">
        <v>5126</v>
      </c>
      <c r="E400" s="1116" t="s">
        <v>4720</v>
      </c>
      <c r="F400" s="1117">
        <v>0.1</v>
      </c>
      <c r="G400" s="1109">
        <v>0.0</v>
      </c>
      <c r="H400" s="1118">
        <v>234700.0</v>
      </c>
      <c r="I400" s="1118">
        <f t="shared" si="1"/>
        <v>213360</v>
      </c>
      <c r="J400" s="1110"/>
    </row>
    <row r="401" ht="18.75" customHeight="1">
      <c r="A401" s="1110"/>
      <c r="B401" s="1115" t="s">
        <v>4997</v>
      </c>
      <c r="C401" s="1108" t="s">
        <v>4496</v>
      </c>
      <c r="D401" s="1108" t="s">
        <v>5127</v>
      </c>
      <c r="E401" s="1116" t="s">
        <v>4722</v>
      </c>
      <c r="F401" s="1117">
        <v>0.1</v>
      </c>
      <c r="G401" s="1109">
        <v>0.0</v>
      </c>
      <c r="H401" s="1118">
        <v>251500.0</v>
      </c>
      <c r="I401" s="1118">
        <f t="shared" si="1"/>
        <v>228640</v>
      </c>
      <c r="J401" s="1110"/>
    </row>
    <row r="402" ht="18.75" customHeight="1">
      <c r="A402" s="1110"/>
      <c r="B402" s="1115" t="s">
        <v>4997</v>
      </c>
      <c r="C402" s="1108" t="s">
        <v>4496</v>
      </c>
      <c r="D402" s="1108" t="s">
        <v>5128</v>
      </c>
      <c r="E402" s="1116" t="s">
        <v>4724</v>
      </c>
      <c r="F402" s="1117">
        <v>0.1</v>
      </c>
      <c r="G402" s="1109">
        <v>0.0</v>
      </c>
      <c r="H402" s="1118">
        <v>256200.0</v>
      </c>
      <c r="I402" s="1118">
        <f t="shared" si="1"/>
        <v>232910</v>
      </c>
      <c r="J402" s="1110"/>
    </row>
    <row r="403" ht="18.75" customHeight="1">
      <c r="A403" s="1110"/>
      <c r="B403" s="1115" t="s">
        <v>4997</v>
      </c>
      <c r="C403" s="1108" t="s">
        <v>4496</v>
      </c>
      <c r="D403" s="1108" t="s">
        <v>5129</v>
      </c>
      <c r="E403" s="1116" t="s">
        <v>4726</v>
      </c>
      <c r="F403" s="1117">
        <v>0.1</v>
      </c>
      <c r="G403" s="1109">
        <v>0.0</v>
      </c>
      <c r="H403" s="1118">
        <v>256200.0</v>
      </c>
      <c r="I403" s="1118">
        <f t="shared" si="1"/>
        <v>232910</v>
      </c>
      <c r="J403" s="1110"/>
    </row>
    <row r="404" ht="18.75" customHeight="1">
      <c r="A404" s="1110"/>
      <c r="B404" s="1115" t="s">
        <v>4997</v>
      </c>
      <c r="C404" s="1108" t="s">
        <v>4496</v>
      </c>
      <c r="D404" s="1108" t="s">
        <v>5130</v>
      </c>
      <c r="E404" s="1116" t="s">
        <v>4728</v>
      </c>
      <c r="F404" s="1117">
        <v>0.1</v>
      </c>
      <c r="G404" s="1109">
        <v>0.0</v>
      </c>
      <c r="H404" s="1118">
        <v>273000.0</v>
      </c>
      <c r="I404" s="1118">
        <f t="shared" si="1"/>
        <v>248180</v>
      </c>
      <c r="J404" s="1110"/>
    </row>
    <row r="405" ht="18.75" customHeight="1">
      <c r="A405" s="1110"/>
      <c r="B405" s="1115" t="s">
        <v>4997</v>
      </c>
      <c r="C405" s="1108" t="s">
        <v>4496</v>
      </c>
      <c r="D405" s="1108" t="s">
        <v>5131</v>
      </c>
      <c r="E405" s="1116" t="s">
        <v>4730</v>
      </c>
      <c r="F405" s="1117">
        <v>0.1</v>
      </c>
      <c r="G405" s="1109">
        <v>0.0</v>
      </c>
      <c r="H405" s="1118">
        <v>294500.0</v>
      </c>
      <c r="I405" s="1118">
        <f t="shared" si="1"/>
        <v>267730</v>
      </c>
      <c r="J405" s="1110"/>
    </row>
    <row r="406" ht="18.75" customHeight="1">
      <c r="A406" s="1110"/>
      <c r="B406" s="1115" t="s">
        <v>4997</v>
      </c>
      <c r="C406" s="1108" t="s">
        <v>4496</v>
      </c>
      <c r="D406" s="1108" t="s">
        <v>5132</v>
      </c>
      <c r="E406" s="1116" t="s">
        <v>4732</v>
      </c>
      <c r="F406" s="1117">
        <v>0.1</v>
      </c>
      <c r="G406" s="1109">
        <v>0.0</v>
      </c>
      <c r="H406" s="1116"/>
      <c r="I406" s="1118" t="str">
        <f t="shared" si="1"/>
        <v/>
      </c>
      <c r="J406" s="1110"/>
    </row>
    <row r="407" ht="18.75" customHeight="1">
      <c r="A407" s="1110"/>
      <c r="B407" s="1115" t="s">
        <v>4997</v>
      </c>
      <c r="C407" s="1108" t="s">
        <v>4496</v>
      </c>
      <c r="D407" s="1108" t="s">
        <v>5133</v>
      </c>
      <c r="E407" s="1116" t="s">
        <v>4734</v>
      </c>
      <c r="F407" s="1117">
        <v>0.1</v>
      </c>
      <c r="G407" s="1109">
        <v>0.0</v>
      </c>
      <c r="H407" s="1116"/>
      <c r="I407" s="1118" t="str">
        <f t="shared" si="1"/>
        <v/>
      </c>
      <c r="J407" s="1110"/>
    </row>
    <row r="408" ht="18.75" customHeight="1">
      <c r="A408" s="1110"/>
      <c r="B408" s="1115" t="s">
        <v>4997</v>
      </c>
      <c r="C408" s="1108" t="s">
        <v>4496</v>
      </c>
      <c r="D408" s="1108" t="s">
        <v>5134</v>
      </c>
      <c r="E408" s="1116" t="s">
        <v>4736</v>
      </c>
      <c r="F408" s="1117">
        <v>0.1</v>
      </c>
      <c r="G408" s="1109">
        <v>0.0</v>
      </c>
      <c r="H408" s="1118">
        <v>28100.0</v>
      </c>
      <c r="I408" s="1118">
        <f t="shared" si="1"/>
        <v>25550</v>
      </c>
      <c r="J408" s="1110"/>
    </row>
    <row r="409" ht="18.75" customHeight="1">
      <c r="A409" s="1110"/>
      <c r="B409" s="1115" t="s">
        <v>4997</v>
      </c>
      <c r="C409" s="1108" t="s">
        <v>4496</v>
      </c>
      <c r="D409" s="1108" t="s">
        <v>5135</v>
      </c>
      <c r="E409" s="1116" t="s">
        <v>4738</v>
      </c>
      <c r="F409" s="1117">
        <v>0.1</v>
      </c>
      <c r="G409" s="1109">
        <v>0.0</v>
      </c>
      <c r="H409" s="1118">
        <v>28100.0</v>
      </c>
      <c r="I409" s="1118">
        <f t="shared" si="1"/>
        <v>25550</v>
      </c>
      <c r="J409" s="1110"/>
    </row>
    <row r="410" ht="18.75" customHeight="1">
      <c r="A410" s="1110"/>
      <c r="B410" s="1115" t="s">
        <v>4997</v>
      </c>
      <c r="C410" s="1108" t="s">
        <v>4496</v>
      </c>
      <c r="D410" s="1108" t="s">
        <v>5136</v>
      </c>
      <c r="E410" s="1116" t="s">
        <v>4740</v>
      </c>
      <c r="F410" s="1117">
        <v>0.1</v>
      </c>
      <c r="G410" s="1109">
        <v>0.0</v>
      </c>
      <c r="H410" s="1118">
        <v>29900.0</v>
      </c>
      <c r="I410" s="1118">
        <f t="shared" si="1"/>
        <v>27180</v>
      </c>
      <c r="J410" s="1110"/>
    </row>
    <row r="411" ht="18.75" customHeight="1">
      <c r="A411" s="1110"/>
      <c r="B411" s="1115" t="s">
        <v>4997</v>
      </c>
      <c r="C411" s="1108" t="s">
        <v>4491</v>
      </c>
      <c r="D411" s="1108" t="s">
        <v>5137</v>
      </c>
      <c r="E411" s="1116" t="s">
        <v>4742</v>
      </c>
      <c r="F411" s="1117">
        <v>0.1</v>
      </c>
      <c r="G411" s="1109">
        <v>0.0</v>
      </c>
      <c r="H411" s="1118">
        <v>35500.0</v>
      </c>
      <c r="I411" s="1118">
        <f t="shared" si="1"/>
        <v>32270</v>
      </c>
      <c r="J411" s="1110"/>
    </row>
    <row r="412" ht="18.75" customHeight="1">
      <c r="A412" s="1110"/>
      <c r="B412" s="1115" t="s">
        <v>4997</v>
      </c>
      <c r="C412" s="1108" t="s">
        <v>4491</v>
      </c>
      <c r="D412" s="1108" t="s">
        <v>5138</v>
      </c>
      <c r="E412" s="1116" t="s">
        <v>4744</v>
      </c>
      <c r="F412" s="1117">
        <v>0.1</v>
      </c>
      <c r="G412" s="1109">
        <v>0.0</v>
      </c>
      <c r="H412" s="1118">
        <v>35500.0</v>
      </c>
      <c r="I412" s="1118">
        <f t="shared" si="1"/>
        <v>32270</v>
      </c>
      <c r="J412" s="1110"/>
    </row>
    <row r="413" ht="18.75" customHeight="1">
      <c r="A413" s="1110"/>
      <c r="B413" s="1115" t="s">
        <v>4997</v>
      </c>
      <c r="C413" s="1108" t="s">
        <v>4491</v>
      </c>
      <c r="D413" s="1108" t="s">
        <v>5139</v>
      </c>
      <c r="E413" s="1116" t="s">
        <v>4746</v>
      </c>
      <c r="F413" s="1117">
        <v>0.1</v>
      </c>
      <c r="G413" s="1109">
        <v>0.0</v>
      </c>
      <c r="H413" s="1118">
        <v>43000.0</v>
      </c>
      <c r="I413" s="1118">
        <f t="shared" si="1"/>
        <v>39090</v>
      </c>
      <c r="J413" s="1110"/>
    </row>
    <row r="414" ht="18.75" customHeight="1">
      <c r="A414" s="1110"/>
      <c r="B414" s="1115" t="s">
        <v>4997</v>
      </c>
      <c r="C414" s="1108" t="s">
        <v>4491</v>
      </c>
      <c r="D414" s="1108" t="s">
        <v>5140</v>
      </c>
      <c r="E414" s="1116" t="s">
        <v>4748</v>
      </c>
      <c r="F414" s="1117">
        <v>0.1</v>
      </c>
      <c r="G414" s="1109">
        <v>0.0</v>
      </c>
      <c r="H414" s="1118">
        <v>43000.0</v>
      </c>
      <c r="I414" s="1118">
        <f t="shared" si="1"/>
        <v>39090</v>
      </c>
      <c r="J414" s="1110"/>
    </row>
    <row r="415" ht="18.75" customHeight="1">
      <c r="A415" s="1110"/>
      <c r="B415" s="1115" t="s">
        <v>4997</v>
      </c>
      <c r="C415" s="1108" t="s">
        <v>4491</v>
      </c>
      <c r="D415" s="1108" t="s">
        <v>5141</v>
      </c>
      <c r="E415" s="1116" t="s">
        <v>4750</v>
      </c>
      <c r="F415" s="1117">
        <v>0.1</v>
      </c>
      <c r="G415" s="1109">
        <v>0.0</v>
      </c>
      <c r="H415" s="1118">
        <v>46800.0</v>
      </c>
      <c r="I415" s="1118">
        <f t="shared" si="1"/>
        <v>42550</v>
      </c>
      <c r="J415" s="1110"/>
    </row>
    <row r="416" ht="18.75" customHeight="1">
      <c r="A416" s="1110"/>
      <c r="B416" s="1115" t="s">
        <v>4997</v>
      </c>
      <c r="C416" s="1108" t="s">
        <v>4491</v>
      </c>
      <c r="D416" s="1108" t="s">
        <v>5142</v>
      </c>
      <c r="E416" s="1116" t="s">
        <v>4752</v>
      </c>
      <c r="F416" s="1117">
        <v>0.1</v>
      </c>
      <c r="G416" s="1109">
        <v>0.0</v>
      </c>
      <c r="H416" s="1118">
        <v>51400.0</v>
      </c>
      <c r="I416" s="1118">
        <f t="shared" si="1"/>
        <v>46730</v>
      </c>
      <c r="J416" s="1110"/>
    </row>
    <row r="417" ht="18.75" customHeight="1">
      <c r="A417" s="1110"/>
      <c r="B417" s="1115" t="s">
        <v>4997</v>
      </c>
      <c r="C417" s="1108" t="s">
        <v>4491</v>
      </c>
      <c r="D417" s="1108" t="s">
        <v>5143</v>
      </c>
      <c r="E417" s="1116" t="s">
        <v>4754</v>
      </c>
      <c r="F417" s="1117">
        <v>0.1</v>
      </c>
      <c r="G417" s="1109">
        <v>0.0</v>
      </c>
      <c r="H417" s="1118">
        <v>54200.0</v>
      </c>
      <c r="I417" s="1118">
        <f t="shared" si="1"/>
        <v>49270</v>
      </c>
      <c r="J417" s="1110"/>
    </row>
    <row r="418" ht="18.75" customHeight="1">
      <c r="A418" s="1110"/>
      <c r="B418" s="1115" t="s">
        <v>4997</v>
      </c>
      <c r="C418" s="1108" t="s">
        <v>4491</v>
      </c>
      <c r="D418" s="1108" t="s">
        <v>5144</v>
      </c>
      <c r="E418" s="1116" t="s">
        <v>4756</v>
      </c>
      <c r="F418" s="1117">
        <v>0.1</v>
      </c>
      <c r="G418" s="1109">
        <v>0.0</v>
      </c>
      <c r="H418" s="1118">
        <v>54200.0</v>
      </c>
      <c r="I418" s="1118">
        <f t="shared" si="1"/>
        <v>49270</v>
      </c>
      <c r="J418" s="1110"/>
    </row>
    <row r="419" ht="18.75" customHeight="1">
      <c r="A419" s="1110"/>
      <c r="B419" s="1115" t="s">
        <v>4997</v>
      </c>
      <c r="C419" s="1108" t="s">
        <v>4491</v>
      </c>
      <c r="D419" s="1108" t="s">
        <v>5145</v>
      </c>
      <c r="E419" s="1116" t="s">
        <v>4758</v>
      </c>
      <c r="F419" s="1117">
        <v>0.1</v>
      </c>
      <c r="G419" s="1109">
        <v>0.0</v>
      </c>
      <c r="H419" s="1118">
        <v>56100.0</v>
      </c>
      <c r="I419" s="1118">
        <f t="shared" si="1"/>
        <v>51000</v>
      </c>
      <c r="J419" s="1110"/>
    </row>
    <row r="420" ht="18.75" customHeight="1">
      <c r="A420" s="1110"/>
      <c r="B420" s="1115" t="s">
        <v>4997</v>
      </c>
      <c r="C420" s="1108" t="s">
        <v>4491</v>
      </c>
      <c r="D420" s="1108" t="s">
        <v>5146</v>
      </c>
      <c r="E420" s="1116" t="s">
        <v>4760</v>
      </c>
      <c r="F420" s="1117">
        <v>0.1</v>
      </c>
      <c r="G420" s="1109">
        <v>0.0</v>
      </c>
      <c r="H420" s="1118">
        <v>63600.0</v>
      </c>
      <c r="I420" s="1118">
        <f t="shared" si="1"/>
        <v>57820</v>
      </c>
      <c r="J420" s="1110"/>
    </row>
    <row r="421" ht="18.75" customHeight="1">
      <c r="A421" s="1110"/>
      <c r="B421" s="1115" t="s">
        <v>4997</v>
      </c>
      <c r="C421" s="1108" t="s">
        <v>4491</v>
      </c>
      <c r="D421" s="1108" t="s">
        <v>5147</v>
      </c>
      <c r="E421" s="1116" t="s">
        <v>4762</v>
      </c>
      <c r="F421" s="1117">
        <v>0.1</v>
      </c>
      <c r="G421" s="1109">
        <v>0.0</v>
      </c>
      <c r="H421" s="1118">
        <v>63600.0</v>
      </c>
      <c r="I421" s="1118">
        <f t="shared" si="1"/>
        <v>57820</v>
      </c>
      <c r="J421" s="1110"/>
    </row>
    <row r="422" ht="18.75" customHeight="1">
      <c r="A422" s="1110"/>
      <c r="B422" s="1115" t="s">
        <v>4997</v>
      </c>
      <c r="C422" s="1108" t="s">
        <v>4491</v>
      </c>
      <c r="D422" s="1108" t="s">
        <v>5148</v>
      </c>
      <c r="E422" s="1116" t="s">
        <v>4764</v>
      </c>
      <c r="F422" s="1117">
        <v>0.1</v>
      </c>
      <c r="G422" s="1109">
        <v>0.0</v>
      </c>
      <c r="H422" s="1118">
        <v>66400.0</v>
      </c>
      <c r="I422" s="1118">
        <f t="shared" si="1"/>
        <v>60360</v>
      </c>
      <c r="J422" s="1110"/>
    </row>
    <row r="423" ht="18.75" customHeight="1">
      <c r="A423" s="1110"/>
      <c r="B423" s="1115" t="s">
        <v>4997</v>
      </c>
      <c r="C423" s="1108" t="s">
        <v>4491</v>
      </c>
      <c r="D423" s="1108" t="s">
        <v>5149</v>
      </c>
      <c r="E423" s="1116" t="s">
        <v>4766</v>
      </c>
      <c r="F423" s="1117">
        <v>0.1</v>
      </c>
      <c r="G423" s="1109">
        <v>0.0</v>
      </c>
      <c r="H423" s="1118">
        <v>71100.0</v>
      </c>
      <c r="I423" s="1118">
        <f t="shared" si="1"/>
        <v>64640</v>
      </c>
      <c r="J423" s="1110"/>
    </row>
    <row r="424" ht="18.75" customHeight="1">
      <c r="A424" s="1110"/>
      <c r="B424" s="1115" t="s">
        <v>4997</v>
      </c>
      <c r="C424" s="1108" t="s">
        <v>4491</v>
      </c>
      <c r="D424" s="1108" t="s">
        <v>5150</v>
      </c>
      <c r="E424" s="1116" t="s">
        <v>4768</v>
      </c>
      <c r="F424" s="1117">
        <v>0.1</v>
      </c>
      <c r="G424" s="1109">
        <v>0.0</v>
      </c>
      <c r="H424" s="1118">
        <v>73900.0</v>
      </c>
      <c r="I424" s="1118">
        <f t="shared" si="1"/>
        <v>67180</v>
      </c>
      <c r="J424" s="1110"/>
    </row>
    <row r="425" ht="18.75" customHeight="1">
      <c r="A425" s="1110"/>
      <c r="B425" s="1115" t="s">
        <v>4997</v>
      </c>
      <c r="C425" s="1108" t="s">
        <v>4491</v>
      </c>
      <c r="D425" s="1108" t="s">
        <v>5151</v>
      </c>
      <c r="E425" s="1116" t="s">
        <v>4770</v>
      </c>
      <c r="F425" s="1117">
        <v>0.1</v>
      </c>
      <c r="G425" s="1109">
        <v>0.0</v>
      </c>
      <c r="H425" s="1118">
        <v>84200.0</v>
      </c>
      <c r="I425" s="1118">
        <f t="shared" si="1"/>
        <v>76550</v>
      </c>
      <c r="J425" s="1110"/>
    </row>
    <row r="426" ht="18.75" customHeight="1">
      <c r="A426" s="1110"/>
      <c r="B426" s="1115" t="s">
        <v>4997</v>
      </c>
      <c r="C426" s="1108" t="s">
        <v>4496</v>
      </c>
      <c r="D426" s="1108" t="s">
        <v>5152</v>
      </c>
      <c r="E426" s="1116" t="s">
        <v>4772</v>
      </c>
      <c r="F426" s="1117">
        <v>0.1</v>
      </c>
      <c r="G426" s="1109">
        <v>0.0</v>
      </c>
      <c r="H426" s="1118">
        <v>93500.0</v>
      </c>
      <c r="I426" s="1118">
        <f t="shared" si="1"/>
        <v>85000</v>
      </c>
      <c r="J426" s="1110"/>
    </row>
    <row r="427" ht="18.75" customHeight="1">
      <c r="A427" s="1110"/>
      <c r="B427" s="1115" t="s">
        <v>4997</v>
      </c>
      <c r="C427" s="1108" t="s">
        <v>4491</v>
      </c>
      <c r="D427" s="1108" t="s">
        <v>5153</v>
      </c>
      <c r="E427" s="1116" t="s">
        <v>4774</v>
      </c>
      <c r="F427" s="1117">
        <v>0.1</v>
      </c>
      <c r="G427" s="1109">
        <v>0.0</v>
      </c>
      <c r="H427" s="1118">
        <v>100000.0</v>
      </c>
      <c r="I427" s="1118">
        <f t="shared" si="1"/>
        <v>90910</v>
      </c>
      <c r="J427" s="1110"/>
    </row>
    <row r="428" ht="18.75" customHeight="1">
      <c r="A428" s="1110"/>
      <c r="B428" s="1115" t="s">
        <v>4997</v>
      </c>
      <c r="C428" s="1108" t="s">
        <v>4491</v>
      </c>
      <c r="D428" s="1108" t="s">
        <v>5154</v>
      </c>
      <c r="E428" s="1116" t="s">
        <v>4776</v>
      </c>
      <c r="F428" s="1117">
        <v>0.1</v>
      </c>
      <c r="G428" s="1109">
        <v>0.0</v>
      </c>
      <c r="H428" s="1116"/>
      <c r="I428" s="1118" t="str">
        <f t="shared" si="1"/>
        <v/>
      </c>
      <c r="J428" s="1110"/>
    </row>
    <row r="429" ht="18.75" customHeight="1">
      <c r="A429" s="1110"/>
      <c r="B429" s="1115" t="s">
        <v>4997</v>
      </c>
      <c r="C429" s="1108" t="s">
        <v>4496</v>
      </c>
      <c r="D429" s="1108" t="s">
        <v>5155</v>
      </c>
      <c r="E429" s="1116" t="s">
        <v>4778</v>
      </c>
      <c r="F429" s="1117">
        <v>0.1</v>
      </c>
      <c r="G429" s="1109">
        <v>0.0</v>
      </c>
      <c r="H429" s="1118">
        <v>102900.0</v>
      </c>
      <c r="I429" s="1118">
        <f t="shared" si="1"/>
        <v>93550</v>
      </c>
      <c r="J429" s="1110"/>
    </row>
    <row r="430" ht="18.75" customHeight="1">
      <c r="A430" s="1110"/>
      <c r="B430" s="1115" t="s">
        <v>4997</v>
      </c>
      <c r="C430" s="1108" t="s">
        <v>4496</v>
      </c>
      <c r="D430" s="1108" t="s">
        <v>5156</v>
      </c>
      <c r="E430" s="1116" t="s">
        <v>4780</v>
      </c>
      <c r="F430" s="1117">
        <v>0.1</v>
      </c>
      <c r="G430" s="1109">
        <v>0.0</v>
      </c>
      <c r="H430" s="1116"/>
      <c r="I430" s="1118" t="str">
        <f t="shared" si="1"/>
        <v/>
      </c>
      <c r="J430" s="1110"/>
    </row>
    <row r="431" ht="18.75" customHeight="1">
      <c r="A431" s="1110"/>
      <c r="B431" s="1115" t="s">
        <v>4997</v>
      </c>
      <c r="C431" s="1108" t="s">
        <v>4496</v>
      </c>
      <c r="D431" s="1108" t="s">
        <v>5157</v>
      </c>
      <c r="E431" s="1116" t="s">
        <v>4782</v>
      </c>
      <c r="F431" s="1117">
        <v>0.1</v>
      </c>
      <c r="G431" s="1109">
        <v>0.0</v>
      </c>
      <c r="H431" s="1118">
        <v>111300.0</v>
      </c>
      <c r="I431" s="1118">
        <f t="shared" si="1"/>
        <v>101180</v>
      </c>
      <c r="J431" s="1110"/>
    </row>
    <row r="432" ht="18.75" customHeight="1">
      <c r="A432" s="1110"/>
      <c r="B432" s="1115" t="s">
        <v>4997</v>
      </c>
      <c r="C432" s="1108" t="s">
        <v>4496</v>
      </c>
      <c r="D432" s="1108" t="s">
        <v>5158</v>
      </c>
      <c r="E432" s="1116" t="s">
        <v>4784</v>
      </c>
      <c r="F432" s="1117">
        <v>0.1</v>
      </c>
      <c r="G432" s="1109">
        <v>0.0</v>
      </c>
      <c r="H432" s="1118">
        <v>123400.0</v>
      </c>
      <c r="I432" s="1118">
        <f t="shared" si="1"/>
        <v>112180</v>
      </c>
      <c r="J432" s="1110"/>
    </row>
    <row r="433" ht="18.75" customHeight="1">
      <c r="A433" s="1110"/>
      <c r="B433" s="1115" t="s">
        <v>4997</v>
      </c>
      <c r="C433" s="1108" t="s">
        <v>4496</v>
      </c>
      <c r="D433" s="1108" t="s">
        <v>5159</v>
      </c>
      <c r="E433" s="1116" t="s">
        <v>4786</v>
      </c>
      <c r="F433" s="1117">
        <v>0.1</v>
      </c>
      <c r="G433" s="1109">
        <v>0.0</v>
      </c>
      <c r="H433" s="1118">
        <v>125300.0</v>
      </c>
      <c r="I433" s="1118">
        <f t="shared" si="1"/>
        <v>113910</v>
      </c>
      <c r="J433" s="1110"/>
    </row>
    <row r="434" ht="18.75" customHeight="1">
      <c r="A434" s="1110"/>
      <c r="B434" s="1115" t="s">
        <v>4997</v>
      </c>
      <c r="C434" s="1108" t="s">
        <v>4496</v>
      </c>
      <c r="D434" s="1108" t="s">
        <v>5160</v>
      </c>
      <c r="E434" s="1116" t="s">
        <v>4788</v>
      </c>
      <c r="F434" s="1117">
        <v>0.1</v>
      </c>
      <c r="G434" s="1109">
        <v>0.0</v>
      </c>
      <c r="H434" s="1118">
        <v>145900.0</v>
      </c>
      <c r="I434" s="1118">
        <f t="shared" si="1"/>
        <v>132640</v>
      </c>
      <c r="J434" s="1110"/>
    </row>
    <row r="435" ht="18.75" customHeight="1">
      <c r="A435" s="1110"/>
      <c r="B435" s="1115" t="s">
        <v>4997</v>
      </c>
      <c r="C435" s="1108" t="s">
        <v>4496</v>
      </c>
      <c r="D435" s="1108" t="s">
        <v>5161</v>
      </c>
      <c r="E435" s="1116" t="s">
        <v>4790</v>
      </c>
      <c r="F435" s="1117">
        <v>0.1</v>
      </c>
      <c r="G435" s="1109">
        <v>0.0</v>
      </c>
      <c r="H435" s="1118">
        <v>149600.0</v>
      </c>
      <c r="I435" s="1118">
        <f t="shared" si="1"/>
        <v>136000</v>
      </c>
      <c r="J435" s="1110"/>
    </row>
    <row r="436" ht="18.75" customHeight="1">
      <c r="A436" s="1110"/>
      <c r="B436" s="1115" t="s">
        <v>4997</v>
      </c>
      <c r="C436" s="1108" t="s">
        <v>4496</v>
      </c>
      <c r="D436" s="1108" t="s">
        <v>5162</v>
      </c>
      <c r="E436" s="1116" t="s">
        <v>4792</v>
      </c>
      <c r="F436" s="1117">
        <v>0.1</v>
      </c>
      <c r="G436" s="1109">
        <v>0.0</v>
      </c>
      <c r="H436" s="1118">
        <v>288000.0</v>
      </c>
      <c r="I436" s="1118">
        <f t="shared" si="1"/>
        <v>261820</v>
      </c>
      <c r="J436" s="1110"/>
    </row>
    <row r="437" ht="18.75" customHeight="1">
      <c r="A437" s="1110"/>
      <c r="B437" s="1115" t="s">
        <v>4997</v>
      </c>
      <c r="C437" s="1108" t="s">
        <v>4496</v>
      </c>
      <c r="D437" s="1108" t="s">
        <v>5163</v>
      </c>
      <c r="E437" s="1116" t="s">
        <v>4794</v>
      </c>
      <c r="F437" s="1117">
        <v>0.1</v>
      </c>
      <c r="G437" s="1109">
        <v>0.0</v>
      </c>
      <c r="H437" s="1118">
        <v>295500.0</v>
      </c>
      <c r="I437" s="1118">
        <f t="shared" si="1"/>
        <v>268640</v>
      </c>
      <c r="J437" s="1110"/>
    </row>
    <row r="438" ht="18.75" customHeight="1">
      <c r="A438" s="1110"/>
      <c r="B438" s="1115" t="s">
        <v>4997</v>
      </c>
      <c r="C438" s="1108" t="s">
        <v>4496</v>
      </c>
      <c r="D438" s="1108" t="s">
        <v>5164</v>
      </c>
      <c r="E438" s="1116" t="s">
        <v>4796</v>
      </c>
      <c r="F438" s="1117">
        <v>0.1</v>
      </c>
      <c r="G438" s="1109">
        <v>0.0</v>
      </c>
      <c r="H438" s="1118">
        <v>302900.0</v>
      </c>
      <c r="I438" s="1118">
        <f t="shared" si="1"/>
        <v>275360</v>
      </c>
      <c r="J438" s="1110"/>
    </row>
    <row r="439" ht="18.75" customHeight="1">
      <c r="A439" s="1110"/>
      <c r="B439" s="1115" t="s">
        <v>4997</v>
      </c>
      <c r="C439" s="1108" t="s">
        <v>4496</v>
      </c>
      <c r="D439" s="1108" t="s">
        <v>5165</v>
      </c>
      <c r="E439" s="1116" t="s">
        <v>4798</v>
      </c>
      <c r="F439" s="1117">
        <v>0.1</v>
      </c>
      <c r="G439" s="1109">
        <v>0.0</v>
      </c>
      <c r="H439" s="1118">
        <v>317000.0</v>
      </c>
      <c r="I439" s="1118">
        <f t="shared" si="1"/>
        <v>288180</v>
      </c>
      <c r="J439" s="1110"/>
    </row>
    <row r="440" ht="18.75" customHeight="1">
      <c r="A440" s="1110"/>
      <c r="B440" s="1115" t="s">
        <v>4997</v>
      </c>
      <c r="C440" s="1108" t="s">
        <v>4496</v>
      </c>
      <c r="D440" s="1108" t="s">
        <v>5166</v>
      </c>
      <c r="E440" s="1116" t="s">
        <v>4800</v>
      </c>
      <c r="F440" s="1117">
        <v>0.1</v>
      </c>
      <c r="G440" s="1109">
        <v>0.0</v>
      </c>
      <c r="H440" s="1118">
        <v>345000.0</v>
      </c>
      <c r="I440" s="1118">
        <f t="shared" si="1"/>
        <v>313640</v>
      </c>
      <c r="J440" s="1110"/>
    </row>
    <row r="441" ht="18.75" customHeight="1">
      <c r="A441" s="1110"/>
      <c r="B441" s="1115" t="s">
        <v>4997</v>
      </c>
      <c r="C441" s="1108" t="s">
        <v>4496</v>
      </c>
      <c r="D441" s="1108" t="s">
        <v>5167</v>
      </c>
      <c r="E441" s="1116" t="s">
        <v>4802</v>
      </c>
      <c r="F441" s="1117">
        <v>0.1</v>
      </c>
      <c r="G441" s="1109">
        <v>0.0</v>
      </c>
      <c r="H441" s="1118">
        <v>352500.0</v>
      </c>
      <c r="I441" s="1118">
        <f t="shared" si="1"/>
        <v>320450</v>
      </c>
      <c r="J441" s="1110"/>
    </row>
    <row r="442" ht="18.75" customHeight="1">
      <c r="A442" s="1110"/>
      <c r="B442" s="1115" t="s">
        <v>4997</v>
      </c>
      <c r="C442" s="1108" t="s">
        <v>4496</v>
      </c>
      <c r="D442" s="1108" t="s">
        <v>5168</v>
      </c>
      <c r="E442" s="1116" t="s">
        <v>4804</v>
      </c>
      <c r="F442" s="1117">
        <v>0.1</v>
      </c>
      <c r="G442" s="1109">
        <v>0.0</v>
      </c>
      <c r="H442" s="1118">
        <v>360000.0</v>
      </c>
      <c r="I442" s="1118">
        <f t="shared" si="1"/>
        <v>327270</v>
      </c>
      <c r="J442" s="1110"/>
    </row>
    <row r="443" ht="18.75" customHeight="1">
      <c r="A443" s="1110"/>
      <c r="B443" s="1115" t="s">
        <v>4997</v>
      </c>
      <c r="C443" s="1108" t="s">
        <v>4496</v>
      </c>
      <c r="D443" s="1108" t="s">
        <v>5169</v>
      </c>
      <c r="E443" s="1116" t="s">
        <v>4806</v>
      </c>
      <c r="F443" s="1117">
        <v>0.1</v>
      </c>
      <c r="G443" s="1109">
        <v>0.0</v>
      </c>
      <c r="H443" s="1118">
        <v>374000.0</v>
      </c>
      <c r="I443" s="1118">
        <f t="shared" si="1"/>
        <v>340000</v>
      </c>
      <c r="J443" s="1110"/>
    </row>
    <row r="444" ht="18.75" customHeight="1">
      <c r="A444" s="1110"/>
      <c r="B444" s="1115" t="s">
        <v>4997</v>
      </c>
      <c r="C444" s="1108" t="s">
        <v>4496</v>
      </c>
      <c r="D444" s="1108" t="s">
        <v>5170</v>
      </c>
      <c r="E444" s="1116" t="s">
        <v>4808</v>
      </c>
      <c r="F444" s="1117">
        <v>0.1</v>
      </c>
      <c r="G444" s="1109">
        <v>0.0</v>
      </c>
      <c r="H444" s="1116"/>
      <c r="I444" s="1118" t="str">
        <f t="shared" si="1"/>
        <v/>
      </c>
      <c r="J444" s="1110"/>
    </row>
    <row r="445" ht="18.75" customHeight="1">
      <c r="A445" s="1110"/>
      <c r="B445" s="1115" t="s">
        <v>4997</v>
      </c>
      <c r="C445" s="1108" t="s">
        <v>4496</v>
      </c>
      <c r="D445" s="1108" t="s">
        <v>5171</v>
      </c>
      <c r="E445" s="1116" t="s">
        <v>4810</v>
      </c>
      <c r="F445" s="1117">
        <v>0.1</v>
      </c>
      <c r="G445" s="1109">
        <v>0.0</v>
      </c>
      <c r="H445" s="1116"/>
      <c r="I445" s="1118" t="str">
        <f t="shared" si="1"/>
        <v/>
      </c>
      <c r="J445" s="1110"/>
    </row>
    <row r="446" ht="18.75" customHeight="1">
      <c r="A446" s="1110"/>
      <c r="B446" s="1115" t="s">
        <v>4997</v>
      </c>
      <c r="C446" s="1108" t="s">
        <v>4496</v>
      </c>
      <c r="D446" s="1108" t="s">
        <v>5172</v>
      </c>
      <c r="E446" s="1116" t="s">
        <v>4812</v>
      </c>
      <c r="F446" s="1117">
        <v>0.1</v>
      </c>
      <c r="G446" s="1109">
        <v>0.0</v>
      </c>
      <c r="H446" s="1116"/>
      <c r="I446" s="1118" t="str">
        <f t="shared" si="1"/>
        <v/>
      </c>
      <c r="J446" s="1110"/>
    </row>
    <row r="447" ht="18.75" customHeight="1">
      <c r="A447" s="1110"/>
      <c r="B447" s="1115" t="s">
        <v>4997</v>
      </c>
      <c r="C447" s="1108" t="s">
        <v>4496</v>
      </c>
      <c r="D447" s="1108" t="s">
        <v>5173</v>
      </c>
      <c r="E447" s="1116" t="s">
        <v>4814</v>
      </c>
      <c r="F447" s="1117">
        <v>0.1</v>
      </c>
      <c r="G447" s="1109">
        <v>0.0</v>
      </c>
      <c r="H447" s="1118">
        <v>88800.0</v>
      </c>
      <c r="I447" s="1118">
        <f t="shared" si="1"/>
        <v>80730</v>
      </c>
      <c r="J447" s="1110"/>
    </row>
    <row r="448" ht="18.75" customHeight="1">
      <c r="A448" s="1110"/>
      <c r="B448" s="1115" t="s">
        <v>4997</v>
      </c>
      <c r="C448" s="1108" t="s">
        <v>4496</v>
      </c>
      <c r="D448" s="1108" t="s">
        <v>5174</v>
      </c>
      <c r="E448" s="1116" t="s">
        <v>4816</v>
      </c>
      <c r="F448" s="1117">
        <v>0.1</v>
      </c>
      <c r="G448" s="1109">
        <v>0.0</v>
      </c>
      <c r="H448" s="1116"/>
      <c r="I448" s="1118" t="str">
        <f t="shared" si="1"/>
        <v/>
      </c>
      <c r="J448" s="1110"/>
    </row>
    <row r="449" ht="18.75" customHeight="1">
      <c r="A449" s="1110"/>
      <c r="B449" s="1115" t="s">
        <v>4997</v>
      </c>
      <c r="C449" s="1108" t="s">
        <v>4496</v>
      </c>
      <c r="D449" s="1108" t="s">
        <v>5175</v>
      </c>
      <c r="E449" s="1116" t="s">
        <v>4818</v>
      </c>
      <c r="F449" s="1117">
        <v>0.1</v>
      </c>
      <c r="G449" s="1109">
        <v>0.0</v>
      </c>
      <c r="H449" s="1118">
        <v>88800.0</v>
      </c>
      <c r="I449" s="1118">
        <f t="shared" si="1"/>
        <v>80730</v>
      </c>
      <c r="J449" s="1110"/>
    </row>
    <row r="450" ht="18.75" customHeight="1">
      <c r="A450" s="1110"/>
      <c r="B450" s="1115" t="s">
        <v>4997</v>
      </c>
      <c r="C450" s="1108" t="s">
        <v>4496</v>
      </c>
      <c r="D450" s="1108" t="s">
        <v>5176</v>
      </c>
      <c r="E450" s="1116" t="s">
        <v>4820</v>
      </c>
      <c r="F450" s="1117">
        <v>0.1</v>
      </c>
      <c r="G450" s="1109">
        <v>0.0</v>
      </c>
      <c r="H450" s="1118">
        <v>99100.0</v>
      </c>
      <c r="I450" s="1118">
        <f t="shared" si="1"/>
        <v>90090</v>
      </c>
      <c r="J450" s="1110"/>
    </row>
    <row r="451" ht="18.75" customHeight="1">
      <c r="A451" s="1110"/>
      <c r="B451" s="1115" t="s">
        <v>4997</v>
      </c>
      <c r="C451" s="1108" t="s">
        <v>4496</v>
      </c>
      <c r="D451" s="1108" t="s">
        <v>5177</v>
      </c>
      <c r="E451" s="1116" t="s">
        <v>4822</v>
      </c>
      <c r="F451" s="1117">
        <v>0.1</v>
      </c>
      <c r="G451" s="1109">
        <v>0.0</v>
      </c>
      <c r="H451" s="1118">
        <v>109400.0</v>
      </c>
      <c r="I451" s="1118">
        <f t="shared" si="1"/>
        <v>99450</v>
      </c>
      <c r="J451" s="1110"/>
    </row>
    <row r="452" ht="18.75" customHeight="1">
      <c r="A452" s="1110"/>
      <c r="B452" s="1115" t="s">
        <v>4997</v>
      </c>
      <c r="C452" s="1108" t="s">
        <v>4496</v>
      </c>
      <c r="D452" s="1108" t="s">
        <v>5178</v>
      </c>
      <c r="E452" s="1116" t="s">
        <v>4824</v>
      </c>
      <c r="F452" s="1117">
        <v>0.1</v>
      </c>
      <c r="G452" s="1109">
        <v>0.0</v>
      </c>
      <c r="H452" s="1118">
        <v>109400.0</v>
      </c>
      <c r="I452" s="1118">
        <f t="shared" si="1"/>
        <v>99450</v>
      </c>
      <c r="J452" s="1110"/>
    </row>
    <row r="453" ht="18.75" customHeight="1">
      <c r="A453" s="1110"/>
      <c r="B453" s="1115" t="s">
        <v>4997</v>
      </c>
      <c r="C453" s="1108" t="s">
        <v>4496</v>
      </c>
      <c r="D453" s="1108" t="s">
        <v>5179</v>
      </c>
      <c r="E453" s="1116" t="s">
        <v>4826</v>
      </c>
      <c r="F453" s="1117">
        <v>0.1</v>
      </c>
      <c r="G453" s="1109">
        <v>0.0</v>
      </c>
      <c r="H453" s="1118">
        <v>114100.0</v>
      </c>
      <c r="I453" s="1118">
        <f t="shared" si="1"/>
        <v>103730</v>
      </c>
      <c r="J453" s="1110"/>
    </row>
    <row r="454" ht="18.75" customHeight="1">
      <c r="A454" s="1110"/>
      <c r="B454" s="1115" t="s">
        <v>4997</v>
      </c>
      <c r="C454" s="1108" t="s">
        <v>4496</v>
      </c>
      <c r="D454" s="1108" t="s">
        <v>5180</v>
      </c>
      <c r="E454" s="1116" t="s">
        <v>4828</v>
      </c>
      <c r="F454" s="1117">
        <v>0.1</v>
      </c>
      <c r="G454" s="1109">
        <v>0.0</v>
      </c>
      <c r="H454" s="1118">
        <v>114100.0</v>
      </c>
      <c r="I454" s="1118">
        <f t="shared" si="1"/>
        <v>103730</v>
      </c>
      <c r="J454" s="1110"/>
    </row>
    <row r="455" ht="18.75" customHeight="1">
      <c r="A455" s="1110"/>
      <c r="B455" s="1115" t="s">
        <v>4997</v>
      </c>
      <c r="C455" s="1108" t="s">
        <v>4496</v>
      </c>
      <c r="D455" s="1108" t="s">
        <v>5181</v>
      </c>
      <c r="E455" s="1116" t="s">
        <v>4830</v>
      </c>
      <c r="F455" s="1117">
        <v>0.1</v>
      </c>
      <c r="G455" s="1109">
        <v>0.0</v>
      </c>
      <c r="H455" s="1118">
        <v>118700.0</v>
      </c>
      <c r="I455" s="1118">
        <f t="shared" si="1"/>
        <v>107910</v>
      </c>
      <c r="J455" s="1110"/>
    </row>
    <row r="456" ht="18.75" customHeight="1">
      <c r="A456" s="1110"/>
      <c r="B456" s="1115" t="s">
        <v>4997</v>
      </c>
      <c r="C456" s="1108" t="s">
        <v>4496</v>
      </c>
      <c r="D456" s="1108" t="s">
        <v>5182</v>
      </c>
      <c r="E456" s="1116" t="s">
        <v>4832</v>
      </c>
      <c r="F456" s="1117">
        <v>0.1</v>
      </c>
      <c r="G456" s="1109">
        <v>0.0</v>
      </c>
      <c r="H456" s="1118">
        <v>132800.0</v>
      </c>
      <c r="I456" s="1118">
        <f t="shared" si="1"/>
        <v>120730</v>
      </c>
      <c r="J456" s="1110"/>
    </row>
    <row r="457" ht="18.75" customHeight="1">
      <c r="A457" s="1110"/>
      <c r="B457" s="1115" t="s">
        <v>4997</v>
      </c>
      <c r="C457" s="1108" t="s">
        <v>4496</v>
      </c>
      <c r="D457" s="1108" t="s">
        <v>5183</v>
      </c>
      <c r="E457" s="1116" t="s">
        <v>4834</v>
      </c>
      <c r="F457" s="1117">
        <v>0.1</v>
      </c>
      <c r="G457" s="1109">
        <v>0.0</v>
      </c>
      <c r="H457" s="1118">
        <v>139300.0</v>
      </c>
      <c r="I457" s="1118">
        <f t="shared" si="1"/>
        <v>126640</v>
      </c>
      <c r="J457" s="1110"/>
    </row>
    <row r="458" ht="18.75" customHeight="1">
      <c r="A458" s="1110"/>
      <c r="B458" s="1115" t="s">
        <v>4997</v>
      </c>
      <c r="C458" s="1108" t="s">
        <v>4496</v>
      </c>
      <c r="D458" s="1108" t="s">
        <v>5184</v>
      </c>
      <c r="E458" s="1116" t="s">
        <v>4836</v>
      </c>
      <c r="F458" s="1117">
        <v>0.1</v>
      </c>
      <c r="G458" s="1109">
        <v>0.0</v>
      </c>
      <c r="H458" s="1118">
        <v>148700.0</v>
      </c>
      <c r="I458" s="1118">
        <f t="shared" si="1"/>
        <v>135180</v>
      </c>
      <c r="J458" s="1110"/>
    </row>
    <row r="459" ht="18.75" customHeight="1">
      <c r="A459" s="1110"/>
      <c r="B459" s="1115" t="s">
        <v>4997</v>
      </c>
      <c r="C459" s="1108" t="s">
        <v>4496</v>
      </c>
      <c r="D459" s="1108" t="s">
        <v>5185</v>
      </c>
      <c r="E459" s="1116" t="s">
        <v>4838</v>
      </c>
      <c r="F459" s="1117">
        <v>0.1</v>
      </c>
      <c r="G459" s="1109">
        <v>0.0</v>
      </c>
      <c r="H459" s="1118">
        <v>158000.0</v>
      </c>
      <c r="I459" s="1118">
        <f t="shared" si="1"/>
        <v>143640</v>
      </c>
      <c r="J459" s="1110"/>
    </row>
    <row r="460" ht="18.75" customHeight="1">
      <c r="A460" s="1110"/>
      <c r="B460" s="1115" t="s">
        <v>4997</v>
      </c>
      <c r="C460" s="1108" t="s">
        <v>4496</v>
      </c>
      <c r="D460" s="1108" t="s">
        <v>5186</v>
      </c>
      <c r="E460" s="1116" t="s">
        <v>4840</v>
      </c>
      <c r="F460" s="1117">
        <v>0.1</v>
      </c>
      <c r="G460" s="1109">
        <v>0.0</v>
      </c>
      <c r="H460" s="1118">
        <v>179500.0</v>
      </c>
      <c r="I460" s="1118">
        <f t="shared" si="1"/>
        <v>163180</v>
      </c>
      <c r="J460" s="1110"/>
    </row>
    <row r="461" ht="18.75" customHeight="1">
      <c r="A461" s="1110"/>
      <c r="B461" s="1115" t="s">
        <v>4997</v>
      </c>
      <c r="C461" s="1108" t="s">
        <v>4496</v>
      </c>
      <c r="D461" s="1108" t="s">
        <v>5187</v>
      </c>
      <c r="E461" s="1116" t="s">
        <v>4842</v>
      </c>
      <c r="F461" s="1117">
        <v>0.1</v>
      </c>
      <c r="G461" s="1109">
        <v>0.0</v>
      </c>
      <c r="H461" s="1118">
        <v>201000.0</v>
      </c>
      <c r="I461" s="1118">
        <f t="shared" si="1"/>
        <v>182730</v>
      </c>
      <c r="J461" s="1110"/>
    </row>
    <row r="462" ht="18.75" customHeight="1">
      <c r="A462" s="1110"/>
      <c r="B462" s="1115" t="s">
        <v>4997</v>
      </c>
      <c r="C462" s="1108" t="s">
        <v>4496</v>
      </c>
      <c r="D462" s="1108" t="s">
        <v>5188</v>
      </c>
      <c r="E462" s="1116" t="s">
        <v>4844</v>
      </c>
      <c r="F462" s="1117">
        <v>0.1</v>
      </c>
      <c r="G462" s="1109">
        <v>0.0</v>
      </c>
      <c r="H462" s="1118">
        <v>213200.0</v>
      </c>
      <c r="I462" s="1118">
        <f t="shared" si="1"/>
        <v>193820</v>
      </c>
      <c r="J462" s="1110"/>
    </row>
    <row r="463" ht="18.75" customHeight="1">
      <c r="A463" s="1110"/>
      <c r="B463" s="1115" t="s">
        <v>4997</v>
      </c>
      <c r="C463" s="1108" t="s">
        <v>4496</v>
      </c>
      <c r="D463" s="1108" t="s">
        <v>5189</v>
      </c>
      <c r="E463" s="1116" t="s">
        <v>4846</v>
      </c>
      <c r="F463" s="1117">
        <v>0.1</v>
      </c>
      <c r="G463" s="1109">
        <v>0.0</v>
      </c>
      <c r="H463" s="1116"/>
      <c r="I463" s="1118" t="str">
        <f t="shared" si="1"/>
        <v/>
      </c>
      <c r="J463" s="1110"/>
    </row>
    <row r="464" ht="18.75" customHeight="1">
      <c r="A464" s="1110"/>
      <c r="B464" s="1115" t="s">
        <v>4997</v>
      </c>
      <c r="C464" s="1108" t="s">
        <v>4491</v>
      </c>
      <c r="D464" s="1108" t="s">
        <v>5190</v>
      </c>
      <c r="E464" s="1116" t="s">
        <v>4848</v>
      </c>
      <c r="F464" s="1117">
        <v>0.1</v>
      </c>
      <c r="G464" s="1109">
        <v>0.0</v>
      </c>
      <c r="H464" s="1118">
        <v>218800.0</v>
      </c>
      <c r="I464" s="1118">
        <f t="shared" si="1"/>
        <v>198910</v>
      </c>
      <c r="J464" s="1110"/>
    </row>
    <row r="465" ht="18.75" customHeight="1">
      <c r="A465" s="1110"/>
      <c r="B465" s="1115" t="s">
        <v>4997</v>
      </c>
      <c r="C465" s="1108" t="s">
        <v>4496</v>
      </c>
      <c r="D465" s="1108" t="s">
        <v>5191</v>
      </c>
      <c r="E465" s="1116" t="s">
        <v>4850</v>
      </c>
      <c r="F465" s="1117">
        <v>0.1</v>
      </c>
      <c r="G465" s="1109">
        <v>0.0</v>
      </c>
      <c r="H465" s="1116"/>
      <c r="I465" s="1118" t="str">
        <f t="shared" si="1"/>
        <v/>
      </c>
      <c r="J465" s="1110"/>
    </row>
    <row r="466" ht="18.75" customHeight="1">
      <c r="A466" s="1110"/>
      <c r="B466" s="1115" t="s">
        <v>4997</v>
      </c>
      <c r="C466" s="1108" t="s">
        <v>4496</v>
      </c>
      <c r="D466" s="1108" t="s">
        <v>5192</v>
      </c>
      <c r="E466" s="1116" t="s">
        <v>4852</v>
      </c>
      <c r="F466" s="1117">
        <v>0.1</v>
      </c>
      <c r="G466" s="1109">
        <v>0.0</v>
      </c>
      <c r="H466" s="1118">
        <v>235600.0</v>
      </c>
      <c r="I466" s="1118">
        <f t="shared" si="1"/>
        <v>214180</v>
      </c>
      <c r="J466" s="1110"/>
    </row>
    <row r="467" ht="18.75" customHeight="1">
      <c r="A467" s="1110"/>
      <c r="B467" s="1115" t="s">
        <v>4997</v>
      </c>
      <c r="C467" s="1108" t="s">
        <v>4496</v>
      </c>
      <c r="D467" s="1108" t="s">
        <v>5193</v>
      </c>
      <c r="E467" s="1116" t="s">
        <v>4854</v>
      </c>
      <c r="F467" s="1117">
        <v>0.1</v>
      </c>
      <c r="G467" s="1109">
        <v>0.0</v>
      </c>
      <c r="H467" s="1118">
        <v>263700.0</v>
      </c>
      <c r="I467" s="1118">
        <f t="shared" si="1"/>
        <v>239730</v>
      </c>
      <c r="J467" s="1110"/>
    </row>
    <row r="468" ht="18.75" customHeight="1">
      <c r="A468" s="1110"/>
      <c r="B468" s="1115" t="s">
        <v>4997</v>
      </c>
      <c r="C468" s="1108" t="s">
        <v>4496</v>
      </c>
      <c r="D468" s="1108" t="s">
        <v>5194</v>
      </c>
      <c r="E468" s="1116" t="s">
        <v>4856</v>
      </c>
      <c r="F468" s="1117">
        <v>0.1</v>
      </c>
      <c r="G468" s="1109">
        <v>0.0</v>
      </c>
      <c r="H468" s="1118">
        <v>271200.0</v>
      </c>
      <c r="I468" s="1118">
        <f t="shared" si="1"/>
        <v>246550</v>
      </c>
      <c r="J468" s="1110"/>
    </row>
    <row r="469" ht="18.75" customHeight="1">
      <c r="A469" s="1110"/>
      <c r="B469" s="1115" t="s">
        <v>4997</v>
      </c>
      <c r="C469" s="1108" t="s">
        <v>4496</v>
      </c>
      <c r="D469" s="1108" t="s">
        <v>5195</v>
      </c>
      <c r="E469" s="1116" t="s">
        <v>4858</v>
      </c>
      <c r="F469" s="1117">
        <v>0.1</v>
      </c>
      <c r="G469" s="1109">
        <v>0.0</v>
      </c>
      <c r="H469" s="1118">
        <v>279600.0</v>
      </c>
      <c r="I469" s="1118">
        <f t="shared" si="1"/>
        <v>254180</v>
      </c>
      <c r="J469" s="1110"/>
    </row>
    <row r="470" ht="18.75" customHeight="1">
      <c r="A470" s="1110"/>
      <c r="B470" s="1115" t="s">
        <v>4997</v>
      </c>
      <c r="C470" s="1108" t="s">
        <v>4496</v>
      </c>
      <c r="D470" s="1108" t="s">
        <v>5196</v>
      </c>
      <c r="E470" s="1116" t="s">
        <v>4860</v>
      </c>
      <c r="F470" s="1117">
        <v>0.1</v>
      </c>
      <c r="G470" s="1109">
        <v>0.0</v>
      </c>
      <c r="H470" s="1118">
        <v>317000.0</v>
      </c>
      <c r="I470" s="1118">
        <f t="shared" si="1"/>
        <v>288180</v>
      </c>
      <c r="J470" s="1110"/>
    </row>
    <row r="471" ht="18.75" customHeight="1">
      <c r="A471" s="1110"/>
      <c r="B471" s="1115" t="s">
        <v>4997</v>
      </c>
      <c r="C471" s="1108" t="s">
        <v>4496</v>
      </c>
      <c r="D471" s="1108" t="s">
        <v>5197</v>
      </c>
      <c r="E471" s="1116" t="s">
        <v>4862</v>
      </c>
      <c r="F471" s="1117">
        <v>0.1</v>
      </c>
      <c r="G471" s="1109">
        <v>0.0</v>
      </c>
      <c r="H471" s="1116"/>
      <c r="I471" s="1118" t="str">
        <f t="shared" si="1"/>
        <v/>
      </c>
      <c r="J471" s="1110"/>
    </row>
    <row r="472" ht="18.75" customHeight="1">
      <c r="A472" s="1110"/>
      <c r="B472" s="1115" t="s">
        <v>4997</v>
      </c>
      <c r="C472" s="1108" t="s">
        <v>4496</v>
      </c>
      <c r="D472" s="1108" t="s">
        <v>5198</v>
      </c>
      <c r="E472" s="1116" t="s">
        <v>4864</v>
      </c>
      <c r="F472" s="1117">
        <v>0.1</v>
      </c>
      <c r="G472" s="1109">
        <v>0.0</v>
      </c>
      <c r="H472" s="1116"/>
      <c r="I472" s="1118" t="str">
        <f t="shared" si="1"/>
        <v/>
      </c>
      <c r="J472" s="1110"/>
    </row>
    <row r="473" ht="18.75" customHeight="1">
      <c r="A473" s="1110"/>
      <c r="B473" s="1115" t="s">
        <v>4997</v>
      </c>
      <c r="C473" s="1108" t="s">
        <v>4496</v>
      </c>
      <c r="D473" s="1108" t="s">
        <v>5199</v>
      </c>
      <c r="E473" s="1116" t="s">
        <v>4866</v>
      </c>
      <c r="F473" s="1117">
        <v>0.1</v>
      </c>
      <c r="G473" s="1109">
        <v>0.0</v>
      </c>
      <c r="H473" s="1116"/>
      <c r="I473" s="1118" t="str">
        <f t="shared" si="1"/>
        <v/>
      </c>
      <c r="J473" s="1110"/>
    </row>
    <row r="474" ht="18.75" customHeight="1">
      <c r="A474" s="1110"/>
      <c r="B474" s="1115" t="s">
        <v>4997</v>
      </c>
      <c r="C474" s="1108" t="s">
        <v>4496</v>
      </c>
      <c r="D474" s="1108" t="s">
        <v>5200</v>
      </c>
      <c r="E474" s="1116" t="s">
        <v>4868</v>
      </c>
      <c r="F474" s="1117">
        <v>0.1</v>
      </c>
      <c r="G474" s="1109">
        <v>0.0</v>
      </c>
      <c r="H474" s="1118">
        <v>437600.0</v>
      </c>
      <c r="I474" s="1118">
        <f t="shared" si="1"/>
        <v>397820</v>
      </c>
      <c r="J474" s="1110"/>
    </row>
    <row r="475" ht="18.75" customHeight="1">
      <c r="A475" s="1110"/>
      <c r="B475" s="1115" t="s">
        <v>4997</v>
      </c>
      <c r="C475" s="1108" t="s">
        <v>4496</v>
      </c>
      <c r="D475" s="1108" t="s">
        <v>5201</v>
      </c>
      <c r="E475" s="1116" t="s">
        <v>4870</v>
      </c>
      <c r="F475" s="1117">
        <v>0.1</v>
      </c>
      <c r="G475" s="1109">
        <v>0.0</v>
      </c>
      <c r="H475" s="1116"/>
      <c r="I475" s="1118" t="str">
        <f t="shared" si="1"/>
        <v/>
      </c>
      <c r="J475" s="1110"/>
    </row>
    <row r="476" ht="18.75" customHeight="1">
      <c r="A476" s="1110"/>
      <c r="B476" s="1115" t="s">
        <v>4997</v>
      </c>
      <c r="C476" s="1108" t="s">
        <v>4496</v>
      </c>
      <c r="D476" s="1108" t="s">
        <v>5202</v>
      </c>
      <c r="E476" s="1116" t="s">
        <v>4872</v>
      </c>
      <c r="F476" s="1117">
        <v>0.1</v>
      </c>
      <c r="G476" s="1109">
        <v>0.0</v>
      </c>
      <c r="H476" s="1116"/>
      <c r="I476" s="1118" t="str">
        <f t="shared" si="1"/>
        <v/>
      </c>
      <c r="J476" s="1110"/>
    </row>
    <row r="477" ht="18.75" customHeight="1">
      <c r="A477" s="1110"/>
      <c r="B477" s="1115" t="s">
        <v>4997</v>
      </c>
      <c r="C477" s="1108" t="s">
        <v>4496</v>
      </c>
      <c r="D477" s="1108" t="s">
        <v>5203</v>
      </c>
      <c r="E477" s="1116" t="s">
        <v>4874</v>
      </c>
      <c r="F477" s="1117">
        <v>0.1</v>
      </c>
      <c r="G477" s="1109">
        <v>0.0</v>
      </c>
      <c r="H477" s="1116"/>
      <c r="I477" s="1118" t="str">
        <f t="shared" si="1"/>
        <v/>
      </c>
      <c r="J477" s="1110"/>
    </row>
    <row r="478" ht="18.75" customHeight="1">
      <c r="A478" s="1110"/>
      <c r="B478" s="1115" t="s">
        <v>4997</v>
      </c>
      <c r="C478" s="1108" t="s">
        <v>4496</v>
      </c>
      <c r="D478" s="1108" t="s">
        <v>5204</v>
      </c>
      <c r="E478" s="1116" t="s">
        <v>4876</v>
      </c>
      <c r="F478" s="1117">
        <v>0.1</v>
      </c>
      <c r="G478" s="1109">
        <v>0.0</v>
      </c>
      <c r="H478" s="1116"/>
      <c r="I478" s="1118" t="str">
        <f t="shared" si="1"/>
        <v/>
      </c>
      <c r="J478" s="1110"/>
    </row>
    <row r="479" ht="18.75" customHeight="1">
      <c r="A479" s="1110"/>
      <c r="B479" s="1115" t="s">
        <v>4997</v>
      </c>
      <c r="C479" s="1108" t="s">
        <v>4496</v>
      </c>
      <c r="D479" s="1108" t="s">
        <v>5205</v>
      </c>
      <c r="E479" s="1116" t="s">
        <v>4878</v>
      </c>
      <c r="F479" s="1117">
        <v>0.1</v>
      </c>
      <c r="G479" s="1109">
        <v>0.0</v>
      </c>
      <c r="H479" s="1116"/>
      <c r="I479" s="1118" t="str">
        <f t="shared" si="1"/>
        <v/>
      </c>
      <c r="J479" s="1110"/>
    </row>
    <row r="480" ht="18.75" customHeight="1">
      <c r="A480" s="1110"/>
      <c r="B480" s="1115" t="s">
        <v>4997</v>
      </c>
      <c r="C480" s="1108" t="s">
        <v>4496</v>
      </c>
      <c r="D480" s="1108" t="s">
        <v>5206</v>
      </c>
      <c r="E480" s="1116" t="s">
        <v>4880</v>
      </c>
      <c r="F480" s="1117">
        <v>0.1</v>
      </c>
      <c r="G480" s="1109">
        <v>0.0</v>
      </c>
      <c r="H480" s="1116"/>
      <c r="I480" s="1118" t="str">
        <f t="shared" si="1"/>
        <v/>
      </c>
      <c r="J480" s="1110"/>
    </row>
    <row r="481" ht="18.75" customHeight="1">
      <c r="A481" s="1110"/>
      <c r="B481" s="1115" t="s">
        <v>4997</v>
      </c>
      <c r="C481" s="1108" t="s">
        <v>4496</v>
      </c>
      <c r="D481" s="1108" t="s">
        <v>5207</v>
      </c>
      <c r="E481" s="1116" t="s">
        <v>4882</v>
      </c>
      <c r="F481" s="1117">
        <v>0.1</v>
      </c>
      <c r="G481" s="1109">
        <v>0.0</v>
      </c>
      <c r="H481" s="1116"/>
      <c r="I481" s="1118" t="str">
        <f t="shared" si="1"/>
        <v/>
      </c>
      <c r="J481" s="1110"/>
    </row>
    <row r="482" ht="18.75" customHeight="1">
      <c r="A482" s="1110"/>
      <c r="B482" s="1115" t="s">
        <v>4997</v>
      </c>
      <c r="C482" s="1108" t="s">
        <v>4496</v>
      </c>
      <c r="D482" s="1108" t="s">
        <v>5208</v>
      </c>
      <c r="E482" s="1116" t="s">
        <v>4884</v>
      </c>
      <c r="F482" s="1117">
        <v>0.1</v>
      </c>
      <c r="G482" s="1109">
        <v>0.0</v>
      </c>
      <c r="H482" s="1116"/>
      <c r="I482" s="1118" t="str">
        <f t="shared" si="1"/>
        <v/>
      </c>
      <c r="J482" s="1110"/>
    </row>
    <row r="483" ht="18.75" customHeight="1">
      <c r="A483" s="1110"/>
      <c r="B483" s="1115" t="s">
        <v>4997</v>
      </c>
      <c r="C483" s="1108" t="s">
        <v>4496</v>
      </c>
      <c r="D483" s="1108" t="s">
        <v>5209</v>
      </c>
      <c r="E483" s="1116" t="s">
        <v>4886</v>
      </c>
      <c r="F483" s="1117">
        <v>0.1</v>
      </c>
      <c r="G483" s="1109">
        <v>0.0</v>
      </c>
      <c r="H483" s="1116"/>
      <c r="I483" s="1118" t="str">
        <f t="shared" si="1"/>
        <v/>
      </c>
      <c r="J483" s="1110"/>
    </row>
    <row r="484" ht="18.75" customHeight="1">
      <c r="A484" s="1110"/>
      <c r="B484" s="1115" t="s">
        <v>4997</v>
      </c>
      <c r="C484" s="1108" t="s">
        <v>4496</v>
      </c>
      <c r="D484" s="1108" t="s">
        <v>5210</v>
      </c>
      <c r="E484" s="1116" t="s">
        <v>4888</v>
      </c>
      <c r="F484" s="1117">
        <v>0.1</v>
      </c>
      <c r="G484" s="1109">
        <v>0.0</v>
      </c>
      <c r="H484" s="1118">
        <v>120600.0</v>
      </c>
      <c r="I484" s="1118">
        <f t="shared" si="1"/>
        <v>109640</v>
      </c>
      <c r="J484" s="1110"/>
    </row>
    <row r="485" ht="18.75" customHeight="1">
      <c r="A485" s="1110"/>
      <c r="B485" s="1115" t="s">
        <v>4997</v>
      </c>
      <c r="C485" s="1108" t="s">
        <v>4496</v>
      </c>
      <c r="D485" s="1108" t="s">
        <v>5211</v>
      </c>
      <c r="E485" s="1116" t="s">
        <v>4890</v>
      </c>
      <c r="F485" s="1117">
        <v>0.1</v>
      </c>
      <c r="G485" s="1109">
        <v>0.0</v>
      </c>
      <c r="H485" s="1118">
        <v>136500.0</v>
      </c>
      <c r="I485" s="1118">
        <f t="shared" si="1"/>
        <v>124090</v>
      </c>
      <c r="J485" s="1110"/>
    </row>
    <row r="486" ht="18.75" customHeight="1">
      <c r="A486" s="1110"/>
      <c r="B486" s="1115" t="s">
        <v>4997</v>
      </c>
      <c r="C486" s="1108" t="s">
        <v>4496</v>
      </c>
      <c r="D486" s="1108" t="s">
        <v>5212</v>
      </c>
      <c r="E486" s="1116" t="s">
        <v>4892</v>
      </c>
      <c r="F486" s="1117">
        <v>0.1</v>
      </c>
      <c r="G486" s="1109">
        <v>0.0</v>
      </c>
      <c r="H486" s="1118">
        <v>150500.0</v>
      </c>
      <c r="I486" s="1118">
        <f t="shared" si="1"/>
        <v>136820</v>
      </c>
      <c r="J486" s="1110"/>
    </row>
    <row r="487" ht="18.75" customHeight="1">
      <c r="A487" s="1110"/>
      <c r="B487" s="1115" t="s">
        <v>4997</v>
      </c>
      <c r="C487" s="1108" t="s">
        <v>4496</v>
      </c>
      <c r="D487" s="1108" t="s">
        <v>5213</v>
      </c>
      <c r="E487" s="1116" t="s">
        <v>4894</v>
      </c>
      <c r="F487" s="1117">
        <v>0.1</v>
      </c>
      <c r="G487" s="1109">
        <v>0.0</v>
      </c>
      <c r="H487" s="1118">
        <v>157100.0</v>
      </c>
      <c r="I487" s="1118">
        <f t="shared" si="1"/>
        <v>142820</v>
      </c>
      <c r="J487" s="1110"/>
    </row>
    <row r="488" ht="18.75" customHeight="1">
      <c r="A488" s="1110"/>
      <c r="B488" s="1115" t="s">
        <v>4997</v>
      </c>
      <c r="C488" s="1108" t="s">
        <v>4460</v>
      </c>
      <c r="D488" s="1108" t="s">
        <v>5214</v>
      </c>
      <c r="E488" s="1116" t="s">
        <v>4896</v>
      </c>
      <c r="F488" s="1117">
        <v>0.1</v>
      </c>
      <c r="G488" s="1109">
        <v>0.0</v>
      </c>
      <c r="H488" s="1118">
        <v>162700.0</v>
      </c>
      <c r="I488" s="1118">
        <f t="shared" si="1"/>
        <v>147910</v>
      </c>
      <c r="J488" s="1110"/>
    </row>
    <row r="489" ht="18.75" customHeight="1">
      <c r="A489" s="1110"/>
      <c r="B489" s="1115" t="s">
        <v>4997</v>
      </c>
      <c r="C489" s="1108" t="s">
        <v>4496</v>
      </c>
      <c r="D489" s="1108" t="s">
        <v>5215</v>
      </c>
      <c r="E489" s="1116" t="s">
        <v>4898</v>
      </c>
      <c r="F489" s="1117">
        <v>0.1</v>
      </c>
      <c r="G489" s="1109">
        <v>0.0</v>
      </c>
      <c r="H489" s="1118">
        <v>182300.0</v>
      </c>
      <c r="I489" s="1118">
        <f t="shared" si="1"/>
        <v>165730</v>
      </c>
      <c r="J489" s="1110"/>
    </row>
    <row r="490" ht="18.75" customHeight="1">
      <c r="A490" s="1110"/>
      <c r="B490" s="1115" t="s">
        <v>4997</v>
      </c>
      <c r="C490" s="1108" t="s">
        <v>4496</v>
      </c>
      <c r="D490" s="1108" t="s">
        <v>5216</v>
      </c>
      <c r="E490" s="1116" t="s">
        <v>4900</v>
      </c>
      <c r="F490" s="1117">
        <v>0.1</v>
      </c>
      <c r="G490" s="1109">
        <v>0.0</v>
      </c>
      <c r="H490" s="1118">
        <v>190700.0</v>
      </c>
      <c r="I490" s="1118">
        <f t="shared" si="1"/>
        <v>173360</v>
      </c>
      <c r="J490" s="1110"/>
    </row>
    <row r="491" ht="18.75" customHeight="1">
      <c r="A491" s="1110"/>
      <c r="B491" s="1115" t="s">
        <v>4997</v>
      </c>
      <c r="C491" s="1108" t="s">
        <v>4496</v>
      </c>
      <c r="D491" s="1108" t="s">
        <v>5217</v>
      </c>
      <c r="E491" s="1116" t="s">
        <v>4902</v>
      </c>
      <c r="F491" s="1117">
        <v>0.1</v>
      </c>
      <c r="G491" s="1109">
        <v>0.0</v>
      </c>
      <c r="H491" s="1118">
        <v>203800.0</v>
      </c>
      <c r="I491" s="1118">
        <f t="shared" si="1"/>
        <v>185270</v>
      </c>
      <c r="J491" s="1110"/>
    </row>
    <row r="492" ht="18.75" customHeight="1">
      <c r="A492" s="1110"/>
      <c r="B492" s="1115" t="s">
        <v>4997</v>
      </c>
      <c r="C492" s="1108" t="s">
        <v>4496</v>
      </c>
      <c r="D492" s="1108" t="s">
        <v>5218</v>
      </c>
      <c r="E492" s="1116" t="s">
        <v>4904</v>
      </c>
      <c r="F492" s="1117">
        <v>0.1</v>
      </c>
      <c r="G492" s="1109">
        <v>0.0</v>
      </c>
      <c r="H492" s="1118">
        <v>216000.0</v>
      </c>
      <c r="I492" s="1118">
        <f t="shared" si="1"/>
        <v>196360</v>
      </c>
      <c r="J492" s="1110"/>
    </row>
    <row r="493" ht="18.75" customHeight="1">
      <c r="A493" s="1110"/>
      <c r="B493" s="1115" t="s">
        <v>4997</v>
      </c>
      <c r="C493" s="1108" t="s">
        <v>4496</v>
      </c>
      <c r="D493" s="1108" t="s">
        <v>5219</v>
      </c>
      <c r="E493" s="1116" t="s">
        <v>4906</v>
      </c>
      <c r="F493" s="1117">
        <v>0.1</v>
      </c>
      <c r="G493" s="1109">
        <v>0.0</v>
      </c>
      <c r="H493" s="1118">
        <v>245900.0</v>
      </c>
      <c r="I493" s="1118">
        <f t="shared" si="1"/>
        <v>223550</v>
      </c>
      <c r="J493" s="1110"/>
    </row>
    <row r="494" ht="18.75" customHeight="1">
      <c r="A494" s="1110"/>
      <c r="B494" s="1115" t="s">
        <v>4997</v>
      </c>
      <c r="C494" s="1108" t="s">
        <v>4496</v>
      </c>
      <c r="D494" s="1108" t="s">
        <v>5220</v>
      </c>
      <c r="E494" s="1116" t="s">
        <v>4908</v>
      </c>
      <c r="F494" s="1117">
        <v>0.1</v>
      </c>
      <c r="G494" s="1109">
        <v>0.0</v>
      </c>
      <c r="H494" s="1118">
        <v>275800.0</v>
      </c>
      <c r="I494" s="1118">
        <f t="shared" si="1"/>
        <v>250730</v>
      </c>
      <c r="J494" s="1110"/>
    </row>
    <row r="495" ht="18.75" customHeight="1">
      <c r="A495" s="1110"/>
      <c r="B495" s="1115" t="s">
        <v>4997</v>
      </c>
      <c r="C495" s="1108" t="s">
        <v>4496</v>
      </c>
      <c r="D495" s="1108" t="s">
        <v>5221</v>
      </c>
      <c r="E495" s="1116" t="s">
        <v>4910</v>
      </c>
      <c r="F495" s="1117">
        <v>0.1</v>
      </c>
      <c r="G495" s="1109">
        <v>0.0</v>
      </c>
      <c r="H495" s="1118">
        <v>294500.0</v>
      </c>
      <c r="I495" s="1118">
        <f t="shared" si="1"/>
        <v>267730</v>
      </c>
      <c r="J495" s="1110"/>
    </row>
    <row r="496" ht="18.75" customHeight="1">
      <c r="A496" s="1110"/>
      <c r="B496" s="1115" t="s">
        <v>4997</v>
      </c>
      <c r="C496" s="1108" t="s">
        <v>4496</v>
      </c>
      <c r="D496" s="1108" t="s">
        <v>5222</v>
      </c>
      <c r="E496" s="1116" t="s">
        <v>4912</v>
      </c>
      <c r="F496" s="1117">
        <v>0.1</v>
      </c>
      <c r="G496" s="1109">
        <v>0.0</v>
      </c>
      <c r="H496" s="1116"/>
      <c r="I496" s="1118" t="str">
        <f t="shared" si="1"/>
        <v/>
      </c>
      <c r="J496" s="1110"/>
    </row>
    <row r="497" ht="18.75" customHeight="1">
      <c r="A497" s="1110"/>
      <c r="B497" s="1115" t="s">
        <v>4997</v>
      </c>
      <c r="C497" s="1108" t="s">
        <v>4496</v>
      </c>
      <c r="D497" s="1108" t="s">
        <v>5223</v>
      </c>
      <c r="E497" s="1116" t="s">
        <v>4914</v>
      </c>
      <c r="F497" s="1117">
        <v>0.1</v>
      </c>
      <c r="G497" s="1109">
        <v>0.0</v>
      </c>
      <c r="H497" s="1118">
        <v>353400.0</v>
      </c>
      <c r="I497" s="1118">
        <f t="shared" si="1"/>
        <v>321270</v>
      </c>
      <c r="J497" s="1110"/>
    </row>
    <row r="498" ht="18.75" customHeight="1">
      <c r="A498" s="1110"/>
      <c r="B498" s="1115" t="s">
        <v>4997</v>
      </c>
      <c r="C498" s="1108" t="s">
        <v>4496</v>
      </c>
      <c r="D498" s="1108" t="s">
        <v>5224</v>
      </c>
      <c r="E498" s="1116" t="s">
        <v>4916</v>
      </c>
      <c r="F498" s="1117">
        <v>0.1</v>
      </c>
      <c r="G498" s="1109">
        <v>0.0</v>
      </c>
      <c r="H498" s="1116"/>
      <c r="I498" s="1118" t="str">
        <f t="shared" si="1"/>
        <v/>
      </c>
      <c r="J498" s="1110"/>
    </row>
    <row r="499" ht="18.75" customHeight="1">
      <c r="A499" s="1110"/>
      <c r="B499" s="1115" t="s">
        <v>4997</v>
      </c>
      <c r="C499" s="1108" t="s">
        <v>4496</v>
      </c>
      <c r="D499" s="1108" t="s">
        <v>5225</v>
      </c>
      <c r="E499" s="1116" t="s">
        <v>4918</v>
      </c>
      <c r="F499" s="1117">
        <v>0.1</v>
      </c>
      <c r="G499" s="1109">
        <v>0.0</v>
      </c>
      <c r="H499" s="1118">
        <v>400200.0</v>
      </c>
      <c r="I499" s="1118">
        <f t="shared" si="1"/>
        <v>363820</v>
      </c>
      <c r="J499" s="1110"/>
    </row>
    <row r="500" ht="18.75" customHeight="1">
      <c r="A500" s="1110"/>
      <c r="B500" s="1115" t="s">
        <v>4997</v>
      </c>
      <c r="C500" s="1108" t="s">
        <v>4496</v>
      </c>
      <c r="D500" s="1108" t="s">
        <v>5226</v>
      </c>
      <c r="E500" s="1116" t="s">
        <v>4920</v>
      </c>
      <c r="F500" s="1117">
        <v>0.1</v>
      </c>
      <c r="G500" s="1109">
        <v>0.0</v>
      </c>
      <c r="H500" s="1118">
        <v>418900.0</v>
      </c>
      <c r="I500" s="1118">
        <f t="shared" si="1"/>
        <v>380820</v>
      </c>
      <c r="J500" s="1110"/>
    </row>
    <row r="501" ht="18.75" customHeight="1">
      <c r="A501" s="1110"/>
      <c r="B501" s="1115" t="s">
        <v>4997</v>
      </c>
      <c r="C501" s="1108" t="s">
        <v>4496</v>
      </c>
      <c r="D501" s="1108" t="s">
        <v>5227</v>
      </c>
      <c r="E501" s="1116" t="s">
        <v>4922</v>
      </c>
      <c r="F501" s="1117">
        <v>0.1</v>
      </c>
      <c r="G501" s="1109">
        <v>0.0</v>
      </c>
      <c r="H501" s="1118">
        <v>437600.0</v>
      </c>
      <c r="I501" s="1118">
        <f t="shared" si="1"/>
        <v>397820</v>
      </c>
      <c r="J501" s="1110"/>
    </row>
    <row r="502" ht="18.75" customHeight="1">
      <c r="A502" s="1110"/>
      <c r="B502" s="1115" t="s">
        <v>4997</v>
      </c>
      <c r="C502" s="1108" t="s">
        <v>4496</v>
      </c>
      <c r="D502" s="1108" t="s">
        <v>5228</v>
      </c>
      <c r="E502" s="1116" t="s">
        <v>4924</v>
      </c>
      <c r="F502" s="1117">
        <v>0.1</v>
      </c>
      <c r="G502" s="1109">
        <v>0.0</v>
      </c>
      <c r="H502" s="1118">
        <v>446900.0</v>
      </c>
      <c r="I502" s="1118">
        <f t="shared" si="1"/>
        <v>406270</v>
      </c>
      <c r="J502" s="1110"/>
    </row>
    <row r="503" ht="18.75" customHeight="1">
      <c r="A503" s="1110"/>
      <c r="B503" s="1115" t="s">
        <v>4997</v>
      </c>
      <c r="C503" s="1108" t="s">
        <v>4496</v>
      </c>
      <c r="D503" s="1108" t="s">
        <v>5229</v>
      </c>
      <c r="E503" s="1116" t="s">
        <v>4926</v>
      </c>
      <c r="F503" s="1117">
        <v>0.1</v>
      </c>
      <c r="G503" s="1109">
        <v>0.0</v>
      </c>
      <c r="H503" s="1118">
        <v>512400.0</v>
      </c>
      <c r="I503" s="1118">
        <f t="shared" si="1"/>
        <v>465820</v>
      </c>
      <c r="J503" s="1110"/>
    </row>
    <row r="504" ht="18.75" customHeight="1">
      <c r="A504" s="1110"/>
      <c r="B504" s="1115" t="s">
        <v>4997</v>
      </c>
      <c r="C504" s="1108" t="s">
        <v>4496</v>
      </c>
      <c r="D504" s="1108" t="s">
        <v>5230</v>
      </c>
      <c r="E504" s="1116" t="s">
        <v>4928</v>
      </c>
      <c r="F504" s="1117">
        <v>0.1</v>
      </c>
      <c r="G504" s="1109">
        <v>0.0</v>
      </c>
      <c r="H504" s="1116"/>
      <c r="I504" s="1118" t="str">
        <f t="shared" si="1"/>
        <v/>
      </c>
      <c r="J504" s="1110"/>
    </row>
    <row r="505" ht="18.75" customHeight="1">
      <c r="A505" s="1110"/>
      <c r="B505" s="1115" t="s">
        <v>4997</v>
      </c>
      <c r="C505" s="1108" t="s">
        <v>4496</v>
      </c>
      <c r="D505" s="1108" t="s">
        <v>5231</v>
      </c>
      <c r="E505" s="1116" t="s">
        <v>4930</v>
      </c>
      <c r="F505" s="1117">
        <v>0.1</v>
      </c>
      <c r="G505" s="1109">
        <v>0.0</v>
      </c>
      <c r="H505" s="1116"/>
      <c r="I505" s="1118" t="str">
        <f t="shared" si="1"/>
        <v/>
      </c>
      <c r="J505" s="1110"/>
    </row>
    <row r="506" ht="18.75" customHeight="1">
      <c r="A506" s="1110"/>
      <c r="B506" s="1115" t="s">
        <v>4997</v>
      </c>
      <c r="C506" s="1108" t="s">
        <v>4496</v>
      </c>
      <c r="D506" s="1108" t="s">
        <v>5232</v>
      </c>
      <c r="E506" s="1116" t="s">
        <v>4932</v>
      </c>
      <c r="F506" s="1117">
        <v>0.1</v>
      </c>
      <c r="G506" s="1109">
        <v>0.0</v>
      </c>
      <c r="H506" s="1116"/>
      <c r="I506" s="1118" t="str">
        <f t="shared" si="1"/>
        <v/>
      </c>
      <c r="J506" s="1110"/>
    </row>
    <row r="507" ht="18.75" customHeight="1">
      <c r="A507" s="1110"/>
      <c r="B507" s="1115" t="s">
        <v>4997</v>
      </c>
      <c r="C507" s="1108" t="s">
        <v>4496</v>
      </c>
      <c r="D507" s="1108" t="s">
        <v>5233</v>
      </c>
      <c r="E507" s="1116" t="s">
        <v>4934</v>
      </c>
      <c r="F507" s="1117">
        <v>0.1</v>
      </c>
      <c r="G507" s="1109">
        <v>0.0</v>
      </c>
      <c r="H507" s="1118">
        <v>527300.0</v>
      </c>
      <c r="I507" s="1118">
        <f t="shared" si="1"/>
        <v>479360</v>
      </c>
      <c r="J507" s="1110"/>
    </row>
    <row r="508" ht="18.75" customHeight="1">
      <c r="A508" s="1110"/>
      <c r="B508" s="1115" t="s">
        <v>4997</v>
      </c>
      <c r="C508" s="1108" t="s">
        <v>4496</v>
      </c>
      <c r="D508" s="1108" t="s">
        <v>5234</v>
      </c>
      <c r="E508" s="1116" t="s">
        <v>4936</v>
      </c>
      <c r="F508" s="1117">
        <v>0.1</v>
      </c>
      <c r="G508" s="1109">
        <v>0.0</v>
      </c>
      <c r="H508" s="1116"/>
      <c r="I508" s="1118" t="str">
        <f t="shared" si="1"/>
        <v/>
      </c>
      <c r="J508" s="1110"/>
    </row>
    <row r="509" ht="18.75" customHeight="1">
      <c r="A509" s="1110"/>
      <c r="B509" s="1115" t="s">
        <v>4997</v>
      </c>
      <c r="C509" s="1108" t="s">
        <v>4496</v>
      </c>
      <c r="D509" s="1108" t="s">
        <v>5235</v>
      </c>
      <c r="E509" s="1116" t="s">
        <v>4938</v>
      </c>
      <c r="F509" s="1117">
        <v>0.1</v>
      </c>
      <c r="G509" s="1109">
        <v>0.0</v>
      </c>
      <c r="H509" s="1116"/>
      <c r="I509" s="1118" t="str">
        <f t="shared" si="1"/>
        <v/>
      </c>
      <c r="J509" s="1110"/>
    </row>
    <row r="510" ht="18.75" customHeight="1">
      <c r="A510" s="1110"/>
      <c r="B510" s="1115" t="s">
        <v>4997</v>
      </c>
      <c r="C510" s="1108" t="s">
        <v>4496</v>
      </c>
      <c r="D510" s="1108" t="s">
        <v>5236</v>
      </c>
      <c r="E510" s="1116" t="s">
        <v>4940</v>
      </c>
      <c r="F510" s="1117">
        <v>0.1</v>
      </c>
      <c r="G510" s="1109">
        <v>0.0</v>
      </c>
      <c r="H510" s="1116"/>
      <c r="I510" s="1118" t="str">
        <f t="shared" si="1"/>
        <v/>
      </c>
      <c r="J510" s="1110"/>
    </row>
    <row r="511" ht="18.75" customHeight="1">
      <c r="A511" s="1110"/>
      <c r="B511" s="1115" t="s">
        <v>4997</v>
      </c>
      <c r="C511" s="1108" t="s">
        <v>4496</v>
      </c>
      <c r="D511" s="1108" t="s">
        <v>5237</v>
      </c>
      <c r="E511" s="1116" t="s">
        <v>4942</v>
      </c>
      <c r="F511" s="1117">
        <v>0.1</v>
      </c>
      <c r="G511" s="1109">
        <v>0.0</v>
      </c>
      <c r="H511" s="1116"/>
      <c r="I511" s="1118" t="str">
        <f t="shared" si="1"/>
        <v/>
      </c>
      <c r="J511" s="1110"/>
    </row>
    <row r="512" ht="18.75" customHeight="1">
      <c r="A512" s="1110"/>
      <c r="B512" s="1115" t="s">
        <v>4997</v>
      </c>
      <c r="C512" s="1108" t="s">
        <v>4496</v>
      </c>
      <c r="D512" s="1108" t="s">
        <v>5238</v>
      </c>
      <c r="E512" s="1116" t="s">
        <v>4944</v>
      </c>
      <c r="F512" s="1117">
        <v>0.1</v>
      </c>
      <c r="G512" s="1109">
        <v>0.0</v>
      </c>
      <c r="H512" s="1116"/>
      <c r="I512" s="1118" t="str">
        <f t="shared" si="1"/>
        <v/>
      </c>
      <c r="J512" s="1110"/>
    </row>
    <row r="513" ht="18.75" customHeight="1">
      <c r="A513" s="1110"/>
      <c r="B513" s="1115" t="s">
        <v>4997</v>
      </c>
      <c r="C513" s="1108" t="s">
        <v>4496</v>
      </c>
      <c r="D513" s="1108" t="s">
        <v>5239</v>
      </c>
      <c r="E513" s="1116" t="s">
        <v>4946</v>
      </c>
      <c r="F513" s="1117">
        <v>0.1</v>
      </c>
      <c r="G513" s="1109">
        <v>0.0</v>
      </c>
      <c r="H513" s="1116"/>
      <c r="I513" s="1118" t="str">
        <f t="shared" si="1"/>
        <v/>
      </c>
      <c r="J513" s="1110"/>
    </row>
    <row r="514" ht="18.75" customHeight="1">
      <c r="A514" s="1110"/>
      <c r="B514" s="1115" t="s">
        <v>4997</v>
      </c>
      <c r="C514" s="1108" t="s">
        <v>4496</v>
      </c>
      <c r="D514" s="1108" t="s">
        <v>5240</v>
      </c>
      <c r="E514" s="1116" t="s">
        <v>4948</v>
      </c>
      <c r="F514" s="1117">
        <v>0.1</v>
      </c>
      <c r="G514" s="1109">
        <v>0.0</v>
      </c>
      <c r="H514" s="1118">
        <v>345000.0</v>
      </c>
      <c r="I514" s="1118">
        <f t="shared" si="1"/>
        <v>313640</v>
      </c>
      <c r="J514" s="1110"/>
    </row>
    <row r="515" ht="18.75" customHeight="1">
      <c r="A515" s="1110"/>
      <c r="B515" s="1115" t="s">
        <v>4997</v>
      </c>
      <c r="C515" s="1108" t="s">
        <v>4496</v>
      </c>
      <c r="D515" s="1108" t="s">
        <v>5241</v>
      </c>
      <c r="E515" s="1116" t="s">
        <v>4950</v>
      </c>
      <c r="F515" s="1117">
        <v>0.1</v>
      </c>
      <c r="G515" s="1109">
        <v>0.0</v>
      </c>
      <c r="H515" s="1118">
        <v>347800.0</v>
      </c>
      <c r="I515" s="1118">
        <f t="shared" si="1"/>
        <v>316180</v>
      </c>
      <c r="J515" s="1110"/>
    </row>
    <row r="516" ht="18.75" customHeight="1">
      <c r="A516" s="1110"/>
      <c r="B516" s="1115" t="s">
        <v>4997</v>
      </c>
      <c r="C516" s="1108" t="s">
        <v>4496</v>
      </c>
      <c r="D516" s="1108" t="s">
        <v>5242</v>
      </c>
      <c r="E516" s="1116" t="s">
        <v>4952</v>
      </c>
      <c r="F516" s="1117">
        <v>0.1</v>
      </c>
      <c r="G516" s="1109">
        <v>0.0</v>
      </c>
      <c r="H516" s="1118">
        <v>381500.0</v>
      </c>
      <c r="I516" s="1118">
        <f t="shared" si="1"/>
        <v>346820</v>
      </c>
      <c r="J516" s="1110"/>
    </row>
    <row r="517" ht="18.75" customHeight="1">
      <c r="A517" s="1110"/>
      <c r="B517" s="1115" t="s">
        <v>4997</v>
      </c>
      <c r="C517" s="1108" t="s">
        <v>4496</v>
      </c>
      <c r="D517" s="1108" t="s">
        <v>5243</v>
      </c>
      <c r="E517" s="1116" t="s">
        <v>4954</v>
      </c>
      <c r="F517" s="1117">
        <v>0.1</v>
      </c>
      <c r="G517" s="1109">
        <v>0.0</v>
      </c>
      <c r="H517" s="1118">
        <v>400200.0</v>
      </c>
      <c r="I517" s="1118">
        <f t="shared" si="1"/>
        <v>363820</v>
      </c>
      <c r="J517" s="1110"/>
    </row>
    <row r="518" ht="18.75" customHeight="1">
      <c r="A518" s="1110"/>
      <c r="B518" s="1115" t="s">
        <v>4997</v>
      </c>
      <c r="C518" s="1108" t="s">
        <v>4496</v>
      </c>
      <c r="D518" s="1108" t="s">
        <v>5244</v>
      </c>
      <c r="E518" s="1116" t="s">
        <v>4956</v>
      </c>
      <c r="F518" s="1117">
        <v>0.1</v>
      </c>
      <c r="G518" s="1109">
        <v>0.0</v>
      </c>
      <c r="H518" s="1118">
        <v>418900.0</v>
      </c>
      <c r="I518" s="1118">
        <f t="shared" si="1"/>
        <v>380820</v>
      </c>
      <c r="J518" s="1110"/>
    </row>
    <row r="519" ht="18.75" customHeight="1">
      <c r="A519" s="1110"/>
      <c r="B519" s="1115" t="s">
        <v>4997</v>
      </c>
      <c r="C519" s="1108" t="s">
        <v>4496</v>
      </c>
      <c r="D519" s="1108" t="s">
        <v>5245</v>
      </c>
      <c r="E519" s="1116" t="s">
        <v>4958</v>
      </c>
      <c r="F519" s="1117">
        <v>0.1</v>
      </c>
      <c r="G519" s="1109">
        <v>0.0</v>
      </c>
      <c r="H519" s="1118">
        <v>437600.0</v>
      </c>
      <c r="I519" s="1118">
        <f t="shared" si="1"/>
        <v>397820</v>
      </c>
      <c r="J519" s="1110"/>
    </row>
    <row r="520" ht="18.75" customHeight="1">
      <c r="A520" s="1110"/>
      <c r="B520" s="1115" t="s">
        <v>4997</v>
      </c>
      <c r="C520" s="1108" t="s">
        <v>4496</v>
      </c>
      <c r="D520" s="1108" t="s">
        <v>5246</v>
      </c>
      <c r="E520" s="1116" t="s">
        <v>4960</v>
      </c>
      <c r="F520" s="1117">
        <v>0.1</v>
      </c>
      <c r="G520" s="1109">
        <v>0.0</v>
      </c>
      <c r="H520" s="1118">
        <v>456300.0</v>
      </c>
      <c r="I520" s="1118">
        <f t="shared" si="1"/>
        <v>414820</v>
      </c>
      <c r="J520" s="1110"/>
    </row>
    <row r="521" ht="18.75" customHeight="1">
      <c r="A521" s="1110"/>
      <c r="B521" s="1115" t="s">
        <v>4997</v>
      </c>
      <c r="C521" s="1108" t="s">
        <v>4496</v>
      </c>
      <c r="D521" s="1108" t="s">
        <v>5247</v>
      </c>
      <c r="E521" s="1116" t="s">
        <v>4962</v>
      </c>
      <c r="F521" s="1117">
        <v>0.1</v>
      </c>
      <c r="G521" s="1109">
        <v>0.0</v>
      </c>
      <c r="H521" s="1118">
        <v>465600.0</v>
      </c>
      <c r="I521" s="1118">
        <f t="shared" si="1"/>
        <v>423270</v>
      </c>
      <c r="J521" s="1110"/>
    </row>
    <row r="522" ht="18.75" customHeight="1">
      <c r="A522" s="1110"/>
      <c r="B522" s="1115" t="s">
        <v>4997</v>
      </c>
      <c r="C522" s="1108" t="s">
        <v>4496</v>
      </c>
      <c r="D522" s="1108" t="s">
        <v>5248</v>
      </c>
      <c r="E522" s="1116" t="s">
        <v>4964</v>
      </c>
      <c r="F522" s="1117">
        <v>0.1</v>
      </c>
      <c r="G522" s="1109">
        <v>0.0</v>
      </c>
      <c r="H522" s="1118">
        <v>493700.0</v>
      </c>
      <c r="I522" s="1118">
        <f t="shared" si="1"/>
        <v>448820</v>
      </c>
      <c r="J522" s="1110"/>
    </row>
    <row r="523" ht="18.75" customHeight="1">
      <c r="A523" s="1110"/>
      <c r="B523" s="1115" t="s">
        <v>4997</v>
      </c>
      <c r="C523" s="1108" t="s">
        <v>4496</v>
      </c>
      <c r="D523" s="1108" t="s">
        <v>5249</v>
      </c>
      <c r="E523" s="1116" t="s">
        <v>4966</v>
      </c>
      <c r="F523" s="1117">
        <v>0.1</v>
      </c>
      <c r="G523" s="1109">
        <v>0.0</v>
      </c>
      <c r="H523" s="1118">
        <v>512400.0</v>
      </c>
      <c r="I523" s="1118">
        <f t="shared" si="1"/>
        <v>465820</v>
      </c>
      <c r="J523" s="1110"/>
    </row>
    <row r="524" ht="18.75" customHeight="1">
      <c r="A524" s="1110"/>
      <c r="B524" s="1115" t="s">
        <v>4997</v>
      </c>
      <c r="C524" s="1108" t="s">
        <v>4496</v>
      </c>
      <c r="D524" s="1108" t="s">
        <v>5250</v>
      </c>
      <c r="E524" s="1116" t="s">
        <v>4968</v>
      </c>
      <c r="F524" s="1117">
        <v>0.1</v>
      </c>
      <c r="G524" s="1109">
        <v>0.0</v>
      </c>
      <c r="H524" s="1118">
        <v>531100.0</v>
      </c>
      <c r="I524" s="1118">
        <f t="shared" si="1"/>
        <v>482820</v>
      </c>
      <c r="J524" s="1110"/>
    </row>
    <row r="525" ht="18.75" customHeight="1">
      <c r="A525" s="1110"/>
      <c r="B525" s="1115" t="s">
        <v>4997</v>
      </c>
      <c r="C525" s="1108" t="s">
        <v>4496</v>
      </c>
      <c r="D525" s="1108" t="s">
        <v>5251</v>
      </c>
      <c r="E525" s="1116" t="s">
        <v>4970</v>
      </c>
      <c r="F525" s="1117">
        <v>0.1</v>
      </c>
      <c r="G525" s="1109">
        <v>0.0</v>
      </c>
      <c r="H525" s="1118">
        <v>549800.0</v>
      </c>
      <c r="I525" s="1118">
        <f t="shared" si="1"/>
        <v>499820</v>
      </c>
      <c r="J525" s="1110"/>
    </row>
    <row r="526" ht="18.75" customHeight="1">
      <c r="A526" s="1110"/>
      <c r="B526" s="1115" t="s">
        <v>4997</v>
      </c>
      <c r="C526" s="1108" t="s">
        <v>4496</v>
      </c>
      <c r="D526" s="1108" t="s">
        <v>5252</v>
      </c>
      <c r="E526" s="1116" t="s">
        <v>4972</v>
      </c>
      <c r="F526" s="1117">
        <v>0.1</v>
      </c>
      <c r="G526" s="1109">
        <v>0.0</v>
      </c>
      <c r="H526" s="1116"/>
      <c r="I526" s="1118" t="str">
        <f t="shared" si="1"/>
        <v/>
      </c>
      <c r="J526" s="1110"/>
    </row>
    <row r="527" ht="18.75" customHeight="1">
      <c r="A527" s="1110"/>
      <c r="B527" s="1115" t="s">
        <v>4997</v>
      </c>
      <c r="C527" s="1108" t="s">
        <v>4496</v>
      </c>
      <c r="D527" s="1108" t="s">
        <v>5253</v>
      </c>
      <c r="E527" s="1116" t="s">
        <v>4974</v>
      </c>
      <c r="F527" s="1117">
        <v>0.1</v>
      </c>
      <c r="G527" s="1109">
        <v>0.0</v>
      </c>
      <c r="H527" s="1118">
        <v>577800.0</v>
      </c>
      <c r="I527" s="1118">
        <f t="shared" si="1"/>
        <v>525270</v>
      </c>
      <c r="J527" s="1110"/>
    </row>
    <row r="528" ht="18.75" customHeight="1">
      <c r="A528" s="1110"/>
      <c r="B528" s="1115" t="s">
        <v>4997</v>
      </c>
      <c r="C528" s="1108" t="s">
        <v>4496</v>
      </c>
      <c r="D528" s="1108" t="s">
        <v>5254</v>
      </c>
      <c r="E528" s="1116" t="s">
        <v>4976</v>
      </c>
      <c r="F528" s="1117">
        <v>0.1</v>
      </c>
      <c r="G528" s="1109">
        <v>0.0</v>
      </c>
      <c r="H528" s="1116"/>
      <c r="I528" s="1118" t="str">
        <f t="shared" si="1"/>
        <v/>
      </c>
      <c r="J528" s="1110"/>
    </row>
    <row r="529" ht="18.75" customHeight="1">
      <c r="A529" s="1110"/>
      <c r="B529" s="1115" t="s">
        <v>4997</v>
      </c>
      <c r="C529" s="1108" t="s">
        <v>4496</v>
      </c>
      <c r="D529" s="1108" t="s">
        <v>5255</v>
      </c>
      <c r="E529" s="1116" t="s">
        <v>4978</v>
      </c>
      <c r="F529" s="1117">
        <v>0.1</v>
      </c>
      <c r="G529" s="1109">
        <v>0.0</v>
      </c>
      <c r="H529" s="1118">
        <v>605900.0</v>
      </c>
      <c r="I529" s="1118">
        <f t="shared" si="1"/>
        <v>550820</v>
      </c>
      <c r="J529" s="1110"/>
    </row>
    <row r="530" ht="18.75" customHeight="1">
      <c r="A530" s="1110"/>
      <c r="B530" s="1115" t="s">
        <v>4997</v>
      </c>
      <c r="C530" s="1108" t="s">
        <v>4496</v>
      </c>
      <c r="D530" s="1108" t="s">
        <v>5256</v>
      </c>
      <c r="E530" s="1116" t="s">
        <v>4980</v>
      </c>
      <c r="F530" s="1117">
        <v>0.1</v>
      </c>
      <c r="G530" s="1109">
        <v>0.0</v>
      </c>
      <c r="H530" s="1116"/>
      <c r="I530" s="1118" t="str">
        <f t="shared" si="1"/>
        <v/>
      </c>
      <c r="J530" s="1110"/>
    </row>
    <row r="531" ht="18.75" customHeight="1">
      <c r="A531" s="1110"/>
      <c r="B531" s="1115" t="s">
        <v>4997</v>
      </c>
      <c r="C531" s="1108" t="s">
        <v>4496</v>
      </c>
      <c r="D531" s="1108" t="s">
        <v>5257</v>
      </c>
      <c r="E531" s="1116" t="s">
        <v>4982</v>
      </c>
      <c r="F531" s="1117">
        <v>0.1</v>
      </c>
      <c r="G531" s="1109">
        <v>0.0</v>
      </c>
      <c r="H531" s="1116"/>
      <c r="I531" s="1118" t="str">
        <f t="shared" si="1"/>
        <v/>
      </c>
      <c r="J531" s="1110"/>
    </row>
    <row r="532" ht="18.75" customHeight="1">
      <c r="A532" s="1110"/>
      <c r="B532" s="1115" t="s">
        <v>4997</v>
      </c>
      <c r="C532" s="1108" t="s">
        <v>4496</v>
      </c>
      <c r="D532" s="1108" t="s">
        <v>5258</v>
      </c>
      <c r="E532" s="1116" t="s">
        <v>4984</v>
      </c>
      <c r="F532" s="1117">
        <v>0.1</v>
      </c>
      <c r="G532" s="1109">
        <v>0.0</v>
      </c>
      <c r="H532" s="1116"/>
      <c r="I532" s="1118" t="str">
        <f t="shared" si="1"/>
        <v/>
      </c>
      <c r="J532" s="1110"/>
    </row>
    <row r="533" ht="18.75" customHeight="1">
      <c r="A533" s="1110"/>
      <c r="B533" s="1115" t="s">
        <v>4997</v>
      </c>
      <c r="C533" s="1108" t="s">
        <v>4496</v>
      </c>
      <c r="D533" s="1108" t="s">
        <v>5259</v>
      </c>
      <c r="E533" s="1116" t="s">
        <v>4986</v>
      </c>
      <c r="F533" s="1117">
        <v>0.1</v>
      </c>
      <c r="G533" s="1109">
        <v>0.0</v>
      </c>
      <c r="H533" s="1116"/>
      <c r="I533" s="1118" t="str">
        <f t="shared" si="1"/>
        <v/>
      </c>
      <c r="J533" s="1110"/>
    </row>
    <row r="534" ht="18.75" customHeight="1">
      <c r="A534" s="1110"/>
      <c r="B534" s="1115" t="s">
        <v>4997</v>
      </c>
      <c r="C534" s="1108" t="s">
        <v>4496</v>
      </c>
      <c r="D534" s="1108" t="s">
        <v>5260</v>
      </c>
      <c r="E534" s="1116" t="s">
        <v>4988</v>
      </c>
      <c r="F534" s="1117">
        <v>0.1</v>
      </c>
      <c r="G534" s="1109">
        <v>0.0</v>
      </c>
      <c r="H534" s="1116"/>
      <c r="I534" s="1118" t="str">
        <f t="shared" si="1"/>
        <v/>
      </c>
      <c r="J534" s="1110"/>
    </row>
    <row r="535" ht="18.75" customHeight="1">
      <c r="A535" s="1110"/>
      <c r="B535" s="1115" t="s">
        <v>4997</v>
      </c>
      <c r="C535" s="1108" t="s">
        <v>4496</v>
      </c>
      <c r="D535" s="1108" t="s">
        <v>5261</v>
      </c>
      <c r="E535" s="1116" t="s">
        <v>4990</v>
      </c>
      <c r="F535" s="1117">
        <v>0.1</v>
      </c>
      <c r="G535" s="1109">
        <v>0.0</v>
      </c>
      <c r="H535" s="1116"/>
      <c r="I535" s="1118" t="str">
        <f t="shared" si="1"/>
        <v/>
      </c>
      <c r="J535" s="1110"/>
    </row>
    <row r="536" ht="18.75" customHeight="1">
      <c r="A536" s="1110"/>
      <c r="B536" s="1115" t="s">
        <v>4997</v>
      </c>
      <c r="C536" s="1108" t="s">
        <v>4496</v>
      </c>
      <c r="D536" s="1108" t="s">
        <v>5262</v>
      </c>
      <c r="E536" s="1116" t="s">
        <v>4992</v>
      </c>
      <c r="F536" s="1117">
        <v>0.1</v>
      </c>
      <c r="G536" s="1109">
        <v>0.0</v>
      </c>
      <c r="H536" s="1116"/>
      <c r="I536" s="1118" t="str">
        <f t="shared" si="1"/>
        <v/>
      </c>
      <c r="J536" s="1110"/>
    </row>
    <row r="537" ht="18.75" customHeight="1">
      <c r="A537" s="1110"/>
      <c r="B537" s="1115" t="s">
        <v>4997</v>
      </c>
      <c r="C537" s="1108" t="s">
        <v>4496</v>
      </c>
      <c r="D537" s="1108" t="s">
        <v>5263</v>
      </c>
      <c r="E537" s="1116" t="s">
        <v>4994</v>
      </c>
      <c r="F537" s="1117">
        <v>0.1</v>
      </c>
      <c r="G537" s="1109">
        <v>0.0</v>
      </c>
      <c r="H537" s="1116"/>
      <c r="I537" s="1118" t="str">
        <f t="shared" si="1"/>
        <v/>
      </c>
      <c r="J537" s="1110"/>
    </row>
    <row r="538" ht="18.75" customHeight="1">
      <c r="A538" s="1110"/>
      <c r="B538" s="1115" t="s">
        <v>4997</v>
      </c>
      <c r="C538" s="1108" t="s">
        <v>4496</v>
      </c>
      <c r="D538" s="1108" t="s">
        <v>5264</v>
      </c>
      <c r="E538" s="1116" t="s">
        <v>4996</v>
      </c>
      <c r="F538" s="1117">
        <v>0.1</v>
      </c>
      <c r="G538" s="1109">
        <v>0.0</v>
      </c>
      <c r="H538" s="1116"/>
      <c r="I538" s="1118" t="str">
        <f t="shared" si="1"/>
        <v/>
      </c>
      <c r="J538" s="1110"/>
    </row>
    <row r="539" ht="18.75" customHeight="1">
      <c r="A539" s="1110"/>
      <c r="B539" s="1115" t="s">
        <v>5265</v>
      </c>
      <c r="C539" s="1108" t="s">
        <v>4496</v>
      </c>
      <c r="D539" s="1108" t="s">
        <v>5266</v>
      </c>
      <c r="E539" s="1116" t="s">
        <v>5267</v>
      </c>
      <c r="F539" s="1117">
        <v>0.1</v>
      </c>
      <c r="G539" s="1109">
        <v>0.0</v>
      </c>
      <c r="H539" s="1118">
        <v>9400.0</v>
      </c>
      <c r="I539" s="1118">
        <f t="shared" si="1"/>
        <v>8550</v>
      </c>
      <c r="J539" s="1110"/>
    </row>
    <row r="540" ht="18.75" customHeight="1">
      <c r="A540" s="1110"/>
      <c r="B540" s="1115" t="s">
        <v>5265</v>
      </c>
      <c r="C540" s="1108" t="s">
        <v>4496</v>
      </c>
      <c r="D540" s="1108" t="s">
        <v>5268</v>
      </c>
      <c r="E540" s="1116" t="s">
        <v>5269</v>
      </c>
      <c r="F540" s="1117">
        <v>0.1</v>
      </c>
      <c r="G540" s="1109">
        <v>0.0</v>
      </c>
      <c r="H540" s="1118">
        <v>9900.0</v>
      </c>
      <c r="I540" s="1118">
        <f t="shared" si="1"/>
        <v>9000</v>
      </c>
      <c r="J540" s="1110"/>
    </row>
    <row r="541" ht="18.75" customHeight="1">
      <c r="A541" s="1110"/>
      <c r="B541" s="1115" t="s">
        <v>5265</v>
      </c>
      <c r="C541" s="1108" t="s">
        <v>4496</v>
      </c>
      <c r="D541" s="1108" t="s">
        <v>5270</v>
      </c>
      <c r="E541" s="1116" t="s">
        <v>5271</v>
      </c>
      <c r="F541" s="1117">
        <v>0.1</v>
      </c>
      <c r="G541" s="1109">
        <v>0.0</v>
      </c>
      <c r="H541" s="1118">
        <v>11500.0</v>
      </c>
      <c r="I541" s="1118">
        <f t="shared" si="1"/>
        <v>10450</v>
      </c>
      <c r="J541" s="1110"/>
    </row>
    <row r="542" ht="18.75" customHeight="1">
      <c r="A542" s="1110"/>
      <c r="B542" s="1115" t="s">
        <v>5265</v>
      </c>
      <c r="C542" s="1108" t="s">
        <v>4496</v>
      </c>
      <c r="D542" s="1108" t="s">
        <v>5272</v>
      </c>
      <c r="E542" s="1116" t="s">
        <v>5273</v>
      </c>
      <c r="F542" s="1117">
        <v>0.1</v>
      </c>
      <c r="G542" s="1109">
        <v>0.0</v>
      </c>
      <c r="H542" s="1118">
        <v>12700.0</v>
      </c>
      <c r="I542" s="1118">
        <f t="shared" si="1"/>
        <v>11550</v>
      </c>
      <c r="J542" s="1110"/>
    </row>
    <row r="543" ht="18.75" customHeight="1">
      <c r="A543" s="1110"/>
      <c r="B543" s="1115" t="s">
        <v>5265</v>
      </c>
      <c r="C543" s="1108" t="s">
        <v>4496</v>
      </c>
      <c r="D543" s="1108" t="s">
        <v>5274</v>
      </c>
      <c r="E543" s="1116" t="s">
        <v>5275</v>
      </c>
      <c r="F543" s="1117">
        <v>0.1</v>
      </c>
      <c r="G543" s="1109">
        <v>0.0</v>
      </c>
      <c r="H543" s="1118">
        <v>13300.0</v>
      </c>
      <c r="I543" s="1118">
        <f t="shared" si="1"/>
        <v>12090</v>
      </c>
      <c r="J543" s="1110"/>
    </row>
    <row r="544" ht="18.75" customHeight="1">
      <c r="A544" s="1110"/>
      <c r="B544" s="1115" t="s">
        <v>5265</v>
      </c>
      <c r="C544" s="1108" t="s">
        <v>4496</v>
      </c>
      <c r="D544" s="1108" t="s">
        <v>5276</v>
      </c>
      <c r="E544" s="1116" t="s">
        <v>5277</v>
      </c>
      <c r="F544" s="1117">
        <v>0.1</v>
      </c>
      <c r="G544" s="1109">
        <v>0.0</v>
      </c>
      <c r="H544" s="1118">
        <v>14400.0</v>
      </c>
      <c r="I544" s="1118">
        <f t="shared" si="1"/>
        <v>13090</v>
      </c>
      <c r="J544" s="1110"/>
    </row>
    <row r="545" ht="18.75" customHeight="1">
      <c r="A545" s="1110"/>
      <c r="B545" s="1115" t="s">
        <v>5265</v>
      </c>
      <c r="C545" s="1108" t="s">
        <v>4496</v>
      </c>
      <c r="D545" s="1108" t="s">
        <v>5278</v>
      </c>
      <c r="E545" s="1116" t="s">
        <v>5279</v>
      </c>
      <c r="F545" s="1117">
        <v>0.1</v>
      </c>
      <c r="G545" s="1109">
        <v>0.0</v>
      </c>
      <c r="H545" s="1118">
        <v>17800.0</v>
      </c>
      <c r="I545" s="1118">
        <f t="shared" si="1"/>
        <v>16180</v>
      </c>
      <c r="J545" s="1110"/>
    </row>
    <row r="546" ht="18.75" customHeight="1">
      <c r="A546" s="1110"/>
      <c r="B546" s="1115" t="s">
        <v>5265</v>
      </c>
      <c r="C546" s="1108" t="s">
        <v>4496</v>
      </c>
      <c r="D546" s="1108" t="s">
        <v>5280</v>
      </c>
      <c r="E546" s="1116" t="s">
        <v>5281</v>
      </c>
      <c r="F546" s="1117">
        <v>0.1</v>
      </c>
      <c r="G546" s="1109">
        <v>0.0</v>
      </c>
      <c r="H546" s="1118">
        <v>19300.0</v>
      </c>
      <c r="I546" s="1118">
        <f t="shared" si="1"/>
        <v>17550</v>
      </c>
      <c r="J546" s="1110"/>
    </row>
    <row r="547" ht="18.75" customHeight="1">
      <c r="A547" s="1110"/>
      <c r="B547" s="1115" t="s">
        <v>5265</v>
      </c>
      <c r="C547" s="1108" t="s">
        <v>4496</v>
      </c>
      <c r="D547" s="1108" t="s">
        <v>5282</v>
      </c>
      <c r="E547" s="1116" t="s">
        <v>5283</v>
      </c>
      <c r="F547" s="1117">
        <v>0.1</v>
      </c>
      <c r="G547" s="1109">
        <v>0.0</v>
      </c>
      <c r="H547" s="1118">
        <v>20800.0</v>
      </c>
      <c r="I547" s="1118">
        <f t="shared" si="1"/>
        <v>18910</v>
      </c>
      <c r="J547" s="1110"/>
    </row>
    <row r="548" ht="18.75" customHeight="1">
      <c r="A548" s="1110"/>
      <c r="B548" s="1115" t="s">
        <v>5265</v>
      </c>
      <c r="C548" s="1108" t="s">
        <v>4496</v>
      </c>
      <c r="D548" s="1108" t="s">
        <v>5284</v>
      </c>
      <c r="E548" s="1116" t="s">
        <v>5285</v>
      </c>
      <c r="F548" s="1117">
        <v>0.1</v>
      </c>
      <c r="G548" s="1109">
        <v>0.0</v>
      </c>
      <c r="H548" s="1118">
        <v>23100.0</v>
      </c>
      <c r="I548" s="1118">
        <f t="shared" si="1"/>
        <v>21000</v>
      </c>
      <c r="J548" s="1110"/>
    </row>
    <row r="549" ht="18.75" customHeight="1">
      <c r="A549" s="1110"/>
      <c r="B549" s="1115" t="s">
        <v>5265</v>
      </c>
      <c r="C549" s="1108" t="s">
        <v>4496</v>
      </c>
      <c r="D549" s="1108" t="s">
        <v>5286</v>
      </c>
      <c r="E549" s="1116" t="s">
        <v>5287</v>
      </c>
      <c r="F549" s="1117">
        <v>0.1</v>
      </c>
      <c r="G549" s="1109">
        <v>0.0</v>
      </c>
      <c r="H549" s="1118">
        <v>25300.0</v>
      </c>
      <c r="I549" s="1118">
        <f t="shared" si="1"/>
        <v>23000</v>
      </c>
      <c r="J549" s="1110"/>
    </row>
    <row r="550" ht="18.75" customHeight="1">
      <c r="A550" s="1110"/>
      <c r="B550" s="1115" t="s">
        <v>5265</v>
      </c>
      <c r="C550" s="1108" t="s">
        <v>4496</v>
      </c>
      <c r="D550" s="1108" t="s">
        <v>5288</v>
      </c>
      <c r="E550" s="1116" t="s">
        <v>5289</v>
      </c>
      <c r="F550" s="1117">
        <v>0.1</v>
      </c>
      <c r="G550" s="1109">
        <v>0.0</v>
      </c>
      <c r="H550" s="1118">
        <v>29100.0</v>
      </c>
      <c r="I550" s="1118">
        <f t="shared" si="1"/>
        <v>26450</v>
      </c>
      <c r="J550" s="1110"/>
    </row>
    <row r="551" ht="18.75" customHeight="1">
      <c r="A551" s="1110"/>
      <c r="B551" s="1115" t="s">
        <v>5265</v>
      </c>
      <c r="C551" s="1108" t="s">
        <v>4496</v>
      </c>
      <c r="D551" s="1108" t="s">
        <v>5290</v>
      </c>
      <c r="E551" s="1116" t="s">
        <v>5291</v>
      </c>
      <c r="F551" s="1117">
        <v>0.1</v>
      </c>
      <c r="G551" s="1109">
        <v>0.0</v>
      </c>
      <c r="H551" s="1118">
        <v>32800.0</v>
      </c>
      <c r="I551" s="1118">
        <f t="shared" si="1"/>
        <v>29820</v>
      </c>
      <c r="J551" s="1110"/>
    </row>
    <row r="552" ht="18.75" customHeight="1">
      <c r="A552" s="1110"/>
      <c r="B552" s="1115" t="s">
        <v>5265</v>
      </c>
      <c r="C552" s="1108" t="s">
        <v>4496</v>
      </c>
      <c r="D552" s="1108" t="s">
        <v>5292</v>
      </c>
      <c r="E552" s="1116" t="s">
        <v>5293</v>
      </c>
      <c r="F552" s="1117">
        <v>0.1</v>
      </c>
      <c r="G552" s="1109">
        <v>0.0</v>
      </c>
      <c r="H552" s="1118">
        <v>33700.0</v>
      </c>
      <c r="I552" s="1118">
        <f t="shared" si="1"/>
        <v>30640</v>
      </c>
      <c r="J552" s="1110"/>
    </row>
    <row r="553" ht="18.75" customHeight="1">
      <c r="A553" s="1110"/>
      <c r="B553" s="1115" t="s">
        <v>5265</v>
      </c>
      <c r="C553" s="1108" t="s">
        <v>4496</v>
      </c>
      <c r="D553" s="1108" t="s">
        <v>5294</v>
      </c>
      <c r="E553" s="1116" t="s">
        <v>5295</v>
      </c>
      <c r="F553" s="1117">
        <v>0.1</v>
      </c>
      <c r="G553" s="1109">
        <v>0.0</v>
      </c>
      <c r="H553" s="1118">
        <v>34500.0</v>
      </c>
      <c r="I553" s="1118">
        <f t="shared" si="1"/>
        <v>31360</v>
      </c>
      <c r="J553" s="1110"/>
    </row>
    <row r="554" ht="18.75" customHeight="1">
      <c r="A554" s="1110"/>
      <c r="B554" s="1115" t="s">
        <v>5265</v>
      </c>
      <c r="C554" s="1108" t="s">
        <v>4496</v>
      </c>
      <c r="D554" s="1108" t="s">
        <v>5296</v>
      </c>
      <c r="E554" s="1116" t="s">
        <v>5297</v>
      </c>
      <c r="F554" s="1117">
        <v>0.1</v>
      </c>
      <c r="G554" s="1109">
        <v>0.0</v>
      </c>
      <c r="H554" s="1118">
        <v>36400.0</v>
      </c>
      <c r="I554" s="1118">
        <f t="shared" si="1"/>
        <v>33090</v>
      </c>
      <c r="J554" s="1110"/>
    </row>
    <row r="555" ht="18.75" customHeight="1">
      <c r="A555" s="1110"/>
      <c r="B555" s="1115" t="s">
        <v>5265</v>
      </c>
      <c r="C555" s="1108" t="s">
        <v>4496</v>
      </c>
      <c r="D555" s="1108" t="s">
        <v>5298</v>
      </c>
      <c r="E555" s="1116" t="s">
        <v>5299</v>
      </c>
      <c r="F555" s="1117">
        <v>0.1</v>
      </c>
      <c r="G555" s="1109">
        <v>0.0</v>
      </c>
      <c r="H555" s="1118">
        <v>38100.0</v>
      </c>
      <c r="I555" s="1118">
        <f t="shared" si="1"/>
        <v>34640</v>
      </c>
      <c r="J555" s="1110"/>
    </row>
    <row r="556" ht="18.75" customHeight="1">
      <c r="A556" s="1110"/>
      <c r="B556" s="1115" t="s">
        <v>5265</v>
      </c>
      <c r="C556" s="1108" t="s">
        <v>4496</v>
      </c>
      <c r="D556" s="1108" t="s">
        <v>5300</v>
      </c>
      <c r="E556" s="1116" t="s">
        <v>5301</v>
      </c>
      <c r="F556" s="1117">
        <v>0.1</v>
      </c>
      <c r="G556" s="1109">
        <v>0.0</v>
      </c>
      <c r="H556" s="1118">
        <v>38500.0</v>
      </c>
      <c r="I556" s="1118">
        <f t="shared" si="1"/>
        <v>35000</v>
      </c>
      <c r="J556" s="1110"/>
    </row>
    <row r="557" ht="18.75" customHeight="1">
      <c r="A557" s="1110"/>
      <c r="B557" s="1115" t="s">
        <v>5265</v>
      </c>
      <c r="C557" s="1108" t="s">
        <v>4496</v>
      </c>
      <c r="D557" s="1108" t="s">
        <v>5302</v>
      </c>
      <c r="E557" s="1116" t="s">
        <v>5303</v>
      </c>
      <c r="F557" s="1117">
        <v>0.1</v>
      </c>
      <c r="G557" s="1109">
        <v>0.0</v>
      </c>
      <c r="H557" s="1118">
        <v>39800.0</v>
      </c>
      <c r="I557" s="1118">
        <f t="shared" si="1"/>
        <v>36180</v>
      </c>
      <c r="J557" s="1110"/>
    </row>
    <row r="558" ht="18.75" customHeight="1">
      <c r="A558" s="1110"/>
      <c r="B558" s="1115" t="s">
        <v>5265</v>
      </c>
      <c r="C558" s="1108" t="s">
        <v>4496</v>
      </c>
      <c r="D558" s="1108" t="s">
        <v>5304</v>
      </c>
      <c r="E558" s="1116" t="s">
        <v>5305</v>
      </c>
      <c r="F558" s="1117">
        <v>0.1</v>
      </c>
      <c r="G558" s="1109">
        <v>0.0</v>
      </c>
      <c r="H558" s="1118">
        <v>40300.0</v>
      </c>
      <c r="I558" s="1118">
        <f t="shared" si="1"/>
        <v>36640</v>
      </c>
      <c r="J558" s="1110"/>
    </row>
    <row r="559" ht="18.75" customHeight="1">
      <c r="A559" s="1110"/>
      <c r="B559" s="1115" t="s">
        <v>5265</v>
      </c>
      <c r="C559" s="1108" t="s">
        <v>4496</v>
      </c>
      <c r="D559" s="1108" t="s">
        <v>5306</v>
      </c>
      <c r="E559" s="1116" t="s">
        <v>5307</v>
      </c>
      <c r="F559" s="1117">
        <v>0.1</v>
      </c>
      <c r="G559" s="1109">
        <v>0.0</v>
      </c>
      <c r="H559" s="1118">
        <v>44600.0</v>
      </c>
      <c r="I559" s="1118">
        <f t="shared" si="1"/>
        <v>40550</v>
      </c>
      <c r="J559" s="1110"/>
    </row>
    <row r="560" ht="18.75" customHeight="1">
      <c r="A560" s="1110"/>
      <c r="B560" s="1115" t="s">
        <v>5265</v>
      </c>
      <c r="C560" s="1108" t="s">
        <v>4496</v>
      </c>
      <c r="D560" s="1108" t="s">
        <v>5308</v>
      </c>
      <c r="E560" s="1116" t="s">
        <v>5309</v>
      </c>
      <c r="F560" s="1117">
        <v>0.1</v>
      </c>
      <c r="G560" s="1109">
        <v>0.0</v>
      </c>
      <c r="H560" s="1118">
        <v>64900.0</v>
      </c>
      <c r="I560" s="1118">
        <f t="shared" si="1"/>
        <v>59000</v>
      </c>
      <c r="J560" s="1110"/>
    </row>
    <row r="561" ht="18.75" customHeight="1">
      <c r="A561" s="1110"/>
      <c r="B561" s="1115" t="s">
        <v>5265</v>
      </c>
      <c r="C561" s="1108" t="s">
        <v>4496</v>
      </c>
      <c r="D561" s="1108" t="s">
        <v>5310</v>
      </c>
      <c r="E561" s="1116" t="s">
        <v>5311</v>
      </c>
      <c r="F561" s="1117">
        <v>0.1</v>
      </c>
      <c r="G561" s="1109">
        <v>0.0</v>
      </c>
      <c r="H561" s="1118">
        <v>66700.0</v>
      </c>
      <c r="I561" s="1118">
        <f t="shared" si="1"/>
        <v>60640</v>
      </c>
      <c r="J561" s="1110"/>
    </row>
    <row r="562" ht="18.75" customHeight="1">
      <c r="A562" s="1110"/>
      <c r="B562" s="1115" t="s">
        <v>5265</v>
      </c>
      <c r="C562" s="1108" t="s">
        <v>4496</v>
      </c>
      <c r="D562" s="1108" t="s">
        <v>5312</v>
      </c>
      <c r="E562" s="1116" t="s">
        <v>5313</v>
      </c>
      <c r="F562" s="1117">
        <v>0.1</v>
      </c>
      <c r="G562" s="1109">
        <v>0.0</v>
      </c>
      <c r="H562" s="1118">
        <v>68400.0</v>
      </c>
      <c r="I562" s="1118">
        <f t="shared" si="1"/>
        <v>62180</v>
      </c>
      <c r="J562" s="1110"/>
    </row>
    <row r="563" ht="18.75" customHeight="1">
      <c r="A563" s="1110"/>
      <c r="B563" s="1115" t="s">
        <v>5265</v>
      </c>
      <c r="C563" s="1108" t="s">
        <v>4496</v>
      </c>
      <c r="D563" s="1108" t="s">
        <v>5314</v>
      </c>
      <c r="E563" s="1116" t="s">
        <v>5315</v>
      </c>
      <c r="F563" s="1117">
        <v>0.1</v>
      </c>
      <c r="G563" s="1109">
        <v>0.0</v>
      </c>
      <c r="H563" s="1118">
        <v>71800.0</v>
      </c>
      <c r="I563" s="1118">
        <f t="shared" si="1"/>
        <v>65270</v>
      </c>
      <c r="J563" s="1110"/>
    </row>
    <row r="564" ht="18.75" customHeight="1">
      <c r="A564" s="1110"/>
      <c r="B564" s="1115" t="s">
        <v>5265</v>
      </c>
      <c r="C564" s="1108" t="s">
        <v>4496</v>
      </c>
      <c r="D564" s="1108" t="s">
        <v>5316</v>
      </c>
      <c r="E564" s="1116" t="s">
        <v>5317</v>
      </c>
      <c r="F564" s="1117">
        <v>0.1</v>
      </c>
      <c r="G564" s="1109">
        <v>0.0</v>
      </c>
      <c r="H564" s="1118">
        <v>79500.0</v>
      </c>
      <c r="I564" s="1118">
        <f t="shared" si="1"/>
        <v>72270</v>
      </c>
      <c r="J564" s="1110"/>
    </row>
    <row r="565" ht="18.75" customHeight="1">
      <c r="A565" s="1110"/>
      <c r="B565" s="1115" t="s">
        <v>5265</v>
      </c>
      <c r="C565" s="1108" t="s">
        <v>4496</v>
      </c>
      <c r="D565" s="1108" t="s">
        <v>5318</v>
      </c>
      <c r="E565" s="1116" t="s">
        <v>5319</v>
      </c>
      <c r="F565" s="1117">
        <v>0.1</v>
      </c>
      <c r="G565" s="1109">
        <v>0.0</v>
      </c>
      <c r="H565" s="1118">
        <v>91700.0</v>
      </c>
      <c r="I565" s="1118">
        <f t="shared" si="1"/>
        <v>83360</v>
      </c>
      <c r="J565" s="1110"/>
    </row>
    <row r="566" ht="18.75" customHeight="1">
      <c r="A566" s="1110"/>
      <c r="B566" s="1115" t="s">
        <v>5265</v>
      </c>
      <c r="C566" s="1108" t="s">
        <v>4496</v>
      </c>
      <c r="D566" s="1108" t="s">
        <v>5320</v>
      </c>
      <c r="E566" s="1116" t="s">
        <v>5321</v>
      </c>
      <c r="F566" s="1117">
        <v>0.1</v>
      </c>
      <c r="G566" s="1109">
        <v>0.0</v>
      </c>
      <c r="H566" s="1118">
        <v>93800.0</v>
      </c>
      <c r="I566" s="1118">
        <f t="shared" si="1"/>
        <v>85270</v>
      </c>
      <c r="J566" s="1110"/>
    </row>
    <row r="567" ht="18.75" customHeight="1">
      <c r="A567" s="1110"/>
      <c r="B567" s="1115" t="s">
        <v>5265</v>
      </c>
      <c r="C567" s="1108" t="s">
        <v>4496</v>
      </c>
      <c r="D567" s="1108" t="s">
        <v>5322</v>
      </c>
      <c r="E567" s="1116" t="s">
        <v>5323</v>
      </c>
      <c r="F567" s="1117">
        <v>0.1</v>
      </c>
      <c r="G567" s="1109">
        <v>0.0</v>
      </c>
      <c r="H567" s="1118">
        <v>136600.0</v>
      </c>
      <c r="I567" s="1118">
        <f t="shared" si="1"/>
        <v>124180</v>
      </c>
      <c r="J567" s="1110"/>
    </row>
    <row r="568" ht="18.75" customHeight="1">
      <c r="A568" s="1110"/>
      <c r="B568" s="1115" t="s">
        <v>5265</v>
      </c>
      <c r="C568" s="1108" t="s">
        <v>4496</v>
      </c>
      <c r="D568" s="1108" t="s">
        <v>5324</v>
      </c>
      <c r="E568" s="1116" t="s">
        <v>5325</v>
      </c>
      <c r="F568" s="1117">
        <v>0.1</v>
      </c>
      <c r="G568" s="1109">
        <v>0.0</v>
      </c>
      <c r="H568" s="1118">
        <v>108000.0</v>
      </c>
      <c r="I568" s="1118">
        <f t="shared" si="1"/>
        <v>98180</v>
      </c>
      <c r="J568" s="1110"/>
    </row>
    <row r="569" ht="18.75" customHeight="1">
      <c r="A569" s="1110"/>
      <c r="B569" s="1115" t="s">
        <v>5265</v>
      </c>
      <c r="C569" s="1108" t="s">
        <v>4496</v>
      </c>
      <c r="D569" s="1108" t="s">
        <v>5326</v>
      </c>
      <c r="E569" s="1116" t="s">
        <v>5327</v>
      </c>
      <c r="F569" s="1117">
        <v>0.1</v>
      </c>
      <c r="G569" s="1109">
        <v>0.0</v>
      </c>
      <c r="H569" s="1118">
        <v>118700.0</v>
      </c>
      <c r="I569" s="1118">
        <f t="shared" si="1"/>
        <v>107910</v>
      </c>
      <c r="J569" s="1110"/>
    </row>
    <row r="570" ht="18.75" customHeight="1">
      <c r="A570" s="1110"/>
      <c r="B570" s="1115" t="s">
        <v>5265</v>
      </c>
      <c r="C570" s="1108" t="s">
        <v>4496</v>
      </c>
      <c r="D570" s="1108" t="s">
        <v>5328</v>
      </c>
      <c r="E570" s="1116" t="s">
        <v>5329</v>
      </c>
      <c r="F570" s="1117">
        <v>0.1</v>
      </c>
      <c r="G570" s="1109">
        <v>0.0</v>
      </c>
      <c r="H570" s="1118">
        <v>128700.0</v>
      </c>
      <c r="I570" s="1118">
        <f t="shared" si="1"/>
        <v>117000</v>
      </c>
      <c r="J570" s="1110"/>
    </row>
    <row r="571" ht="18.75" customHeight="1">
      <c r="A571" s="1110"/>
      <c r="B571" s="1115" t="s">
        <v>5265</v>
      </c>
      <c r="C571" s="1108" t="s">
        <v>4496</v>
      </c>
      <c r="D571" s="1108" t="s">
        <v>5330</v>
      </c>
      <c r="E571" s="1116" t="s">
        <v>5331</v>
      </c>
      <c r="F571" s="1117">
        <v>0.1</v>
      </c>
      <c r="G571" s="1109">
        <v>0.0</v>
      </c>
      <c r="H571" s="1118">
        <v>11900.0</v>
      </c>
      <c r="I571" s="1118">
        <f t="shared" si="1"/>
        <v>10820</v>
      </c>
      <c r="J571" s="1110"/>
    </row>
    <row r="572" ht="18.75" customHeight="1">
      <c r="A572" s="1110"/>
      <c r="B572" s="1115" t="s">
        <v>5265</v>
      </c>
      <c r="C572" s="1108" t="s">
        <v>4496</v>
      </c>
      <c r="D572" s="1108" t="s">
        <v>5332</v>
      </c>
      <c r="E572" s="1116" t="s">
        <v>5333</v>
      </c>
      <c r="F572" s="1117">
        <v>0.1</v>
      </c>
      <c r="G572" s="1109">
        <v>0.0</v>
      </c>
      <c r="H572" s="1118">
        <v>13200.0</v>
      </c>
      <c r="I572" s="1118">
        <f t="shared" si="1"/>
        <v>12000</v>
      </c>
      <c r="J572" s="1110"/>
    </row>
    <row r="573" ht="18.75" customHeight="1">
      <c r="A573" s="1110"/>
      <c r="B573" s="1115" t="s">
        <v>5265</v>
      </c>
      <c r="C573" s="1108" t="s">
        <v>4496</v>
      </c>
      <c r="D573" s="1108" t="s">
        <v>5334</v>
      </c>
      <c r="E573" s="1116" t="s">
        <v>5335</v>
      </c>
      <c r="F573" s="1117">
        <v>0.1</v>
      </c>
      <c r="G573" s="1109">
        <v>0.0</v>
      </c>
      <c r="H573" s="1118">
        <v>17600.0</v>
      </c>
      <c r="I573" s="1118">
        <f t="shared" si="1"/>
        <v>16000</v>
      </c>
      <c r="J573" s="1110"/>
    </row>
    <row r="574" ht="18.75" customHeight="1">
      <c r="A574" s="1110"/>
      <c r="B574" s="1115" t="s">
        <v>5265</v>
      </c>
      <c r="C574" s="1108" t="s">
        <v>4496</v>
      </c>
      <c r="D574" s="1108" t="s">
        <v>5336</v>
      </c>
      <c r="E574" s="1116" t="s">
        <v>5337</v>
      </c>
      <c r="F574" s="1117">
        <v>0.1</v>
      </c>
      <c r="G574" s="1109">
        <v>0.0</v>
      </c>
      <c r="H574" s="1118">
        <v>21400.0</v>
      </c>
      <c r="I574" s="1118">
        <f t="shared" si="1"/>
        <v>19450</v>
      </c>
      <c r="J574" s="1110"/>
    </row>
    <row r="575" ht="18.75" customHeight="1">
      <c r="A575" s="1110"/>
      <c r="B575" s="1115" t="s">
        <v>5265</v>
      </c>
      <c r="C575" s="1108" t="s">
        <v>4496</v>
      </c>
      <c r="D575" s="1108" t="s">
        <v>5338</v>
      </c>
      <c r="E575" s="1116" t="s">
        <v>5339</v>
      </c>
      <c r="F575" s="1117">
        <v>0.1</v>
      </c>
      <c r="G575" s="1109">
        <v>0.0</v>
      </c>
      <c r="H575" s="1118">
        <v>23300.0</v>
      </c>
      <c r="I575" s="1118">
        <f t="shared" si="1"/>
        <v>21180</v>
      </c>
      <c r="J575" s="1110"/>
    </row>
    <row r="576" ht="18.75" customHeight="1">
      <c r="A576" s="1110"/>
      <c r="B576" s="1115" t="s">
        <v>5265</v>
      </c>
      <c r="C576" s="1108" t="s">
        <v>4496</v>
      </c>
      <c r="D576" s="1108" t="s">
        <v>5340</v>
      </c>
      <c r="E576" s="1116" t="s">
        <v>5341</v>
      </c>
      <c r="F576" s="1117">
        <v>0.1</v>
      </c>
      <c r="G576" s="1109">
        <v>0.0</v>
      </c>
      <c r="H576" s="1118">
        <v>26000.0</v>
      </c>
      <c r="I576" s="1118">
        <f t="shared" si="1"/>
        <v>23640</v>
      </c>
      <c r="J576" s="1110"/>
    </row>
    <row r="577" ht="18.75" customHeight="1">
      <c r="A577" s="1110"/>
      <c r="B577" s="1115" t="s">
        <v>5265</v>
      </c>
      <c r="C577" s="1108" t="s">
        <v>4496</v>
      </c>
      <c r="D577" s="1108" t="s">
        <v>5342</v>
      </c>
      <c r="E577" s="1116" t="s">
        <v>5343</v>
      </c>
      <c r="F577" s="1117">
        <v>0.1</v>
      </c>
      <c r="G577" s="1109">
        <v>0.0</v>
      </c>
      <c r="H577" s="1118">
        <v>28300.0</v>
      </c>
      <c r="I577" s="1118">
        <f t="shared" si="1"/>
        <v>25730</v>
      </c>
      <c r="J577" s="1110"/>
    </row>
    <row r="578" ht="18.75" customHeight="1">
      <c r="A578" s="1110"/>
      <c r="B578" s="1115" t="s">
        <v>5265</v>
      </c>
      <c r="C578" s="1108" t="s">
        <v>4496</v>
      </c>
      <c r="D578" s="1108" t="s">
        <v>5344</v>
      </c>
      <c r="E578" s="1116" t="s">
        <v>5345</v>
      </c>
      <c r="F578" s="1117">
        <v>0.1</v>
      </c>
      <c r="G578" s="1109">
        <v>0.0</v>
      </c>
      <c r="H578" s="1118">
        <v>30800.0</v>
      </c>
      <c r="I578" s="1118">
        <f t="shared" si="1"/>
        <v>28000</v>
      </c>
      <c r="J578" s="1110"/>
    </row>
    <row r="579" ht="18.75" customHeight="1">
      <c r="A579" s="1110"/>
      <c r="B579" s="1115" t="s">
        <v>5265</v>
      </c>
      <c r="C579" s="1108" t="s">
        <v>4496</v>
      </c>
      <c r="D579" s="1108" t="s">
        <v>5346</v>
      </c>
      <c r="E579" s="1116" t="s">
        <v>5347</v>
      </c>
      <c r="F579" s="1117">
        <v>0.1</v>
      </c>
      <c r="G579" s="1109">
        <v>0.0</v>
      </c>
      <c r="H579" s="1118">
        <v>34600.0</v>
      </c>
      <c r="I579" s="1118">
        <f t="shared" si="1"/>
        <v>31450</v>
      </c>
      <c r="J579" s="1110"/>
    </row>
    <row r="580" ht="18.75" customHeight="1">
      <c r="A580" s="1110"/>
      <c r="B580" s="1115" t="s">
        <v>5265</v>
      </c>
      <c r="C580" s="1108" t="s">
        <v>4496</v>
      </c>
      <c r="D580" s="1108" t="s">
        <v>5348</v>
      </c>
      <c r="E580" s="1116" t="s">
        <v>5349</v>
      </c>
      <c r="F580" s="1117">
        <v>0.1</v>
      </c>
      <c r="G580" s="1109">
        <v>0.0</v>
      </c>
      <c r="H580" s="1118">
        <v>35400.0</v>
      </c>
      <c r="I580" s="1118">
        <f t="shared" si="1"/>
        <v>32180</v>
      </c>
      <c r="J580" s="1110"/>
    </row>
    <row r="581" ht="18.75" customHeight="1">
      <c r="A581" s="1110"/>
      <c r="B581" s="1115" t="s">
        <v>5265</v>
      </c>
      <c r="C581" s="1108" t="s">
        <v>4496</v>
      </c>
      <c r="D581" s="1108" t="s">
        <v>5350</v>
      </c>
      <c r="E581" s="1116" t="s">
        <v>5351</v>
      </c>
      <c r="F581" s="1117">
        <v>0.1</v>
      </c>
      <c r="G581" s="1109">
        <v>0.0</v>
      </c>
      <c r="H581" s="1118">
        <v>39000.0</v>
      </c>
      <c r="I581" s="1118">
        <f t="shared" si="1"/>
        <v>35450</v>
      </c>
      <c r="J581" s="1110"/>
    </row>
    <row r="582" ht="18.75" customHeight="1">
      <c r="A582" s="1110"/>
      <c r="B582" s="1115" t="s">
        <v>5265</v>
      </c>
      <c r="C582" s="1108" t="s">
        <v>4496</v>
      </c>
      <c r="D582" s="1108" t="s">
        <v>5352</v>
      </c>
      <c r="E582" s="1116" t="s">
        <v>5353</v>
      </c>
      <c r="F582" s="1117">
        <v>0.1</v>
      </c>
      <c r="G582" s="1109">
        <v>0.0</v>
      </c>
      <c r="H582" s="1118">
        <v>42400.0</v>
      </c>
      <c r="I582" s="1118">
        <f t="shared" si="1"/>
        <v>38550</v>
      </c>
      <c r="J582" s="1110"/>
    </row>
    <row r="583" ht="18.75" customHeight="1">
      <c r="A583" s="1110"/>
      <c r="B583" s="1115" t="s">
        <v>5265</v>
      </c>
      <c r="C583" s="1108" t="s">
        <v>4496</v>
      </c>
      <c r="D583" s="1108" t="s">
        <v>5354</v>
      </c>
      <c r="E583" s="1116" t="s">
        <v>5355</v>
      </c>
      <c r="F583" s="1117">
        <v>0.1</v>
      </c>
      <c r="G583" s="1109">
        <v>0.0</v>
      </c>
      <c r="H583" s="1118">
        <v>49100.0</v>
      </c>
      <c r="I583" s="1118">
        <f t="shared" si="1"/>
        <v>44640</v>
      </c>
      <c r="J583" s="1110"/>
    </row>
    <row r="584" ht="18.75" customHeight="1">
      <c r="A584" s="1110"/>
      <c r="B584" s="1115" t="s">
        <v>5265</v>
      </c>
      <c r="C584" s="1108" t="s">
        <v>4496</v>
      </c>
      <c r="D584" s="1108" t="s">
        <v>5356</v>
      </c>
      <c r="E584" s="1116" t="s">
        <v>5357</v>
      </c>
      <c r="F584" s="1117">
        <v>0.1</v>
      </c>
      <c r="G584" s="1109">
        <v>0.0</v>
      </c>
      <c r="H584" s="1118">
        <v>52200.0</v>
      </c>
      <c r="I584" s="1118">
        <f t="shared" si="1"/>
        <v>47450</v>
      </c>
      <c r="J584" s="1110"/>
    </row>
    <row r="585" ht="18.75" customHeight="1">
      <c r="A585" s="1110"/>
      <c r="B585" s="1115" t="s">
        <v>5265</v>
      </c>
      <c r="C585" s="1108" t="s">
        <v>4496</v>
      </c>
      <c r="D585" s="1108" t="s">
        <v>5358</v>
      </c>
      <c r="E585" s="1116" t="s">
        <v>5359</v>
      </c>
      <c r="F585" s="1117">
        <v>0.1</v>
      </c>
      <c r="G585" s="1109">
        <v>0.0</v>
      </c>
      <c r="H585" s="1118">
        <v>53900.0</v>
      </c>
      <c r="I585" s="1118">
        <f t="shared" si="1"/>
        <v>49000</v>
      </c>
      <c r="J585" s="1110"/>
    </row>
    <row r="586" ht="18.75" customHeight="1">
      <c r="A586" s="1110"/>
      <c r="B586" s="1115" t="s">
        <v>5265</v>
      </c>
      <c r="C586" s="1108" t="s">
        <v>4496</v>
      </c>
      <c r="D586" s="1108" t="s">
        <v>5360</v>
      </c>
      <c r="E586" s="1116" t="s">
        <v>5361</v>
      </c>
      <c r="F586" s="1117">
        <v>0.1</v>
      </c>
      <c r="G586" s="1109">
        <v>0.0</v>
      </c>
      <c r="H586" s="1118">
        <v>56800.0</v>
      </c>
      <c r="I586" s="1118">
        <f t="shared" si="1"/>
        <v>51640</v>
      </c>
      <c r="J586" s="1110"/>
    </row>
    <row r="587" ht="18.75" customHeight="1">
      <c r="A587" s="1110"/>
      <c r="B587" s="1115" t="s">
        <v>5265</v>
      </c>
      <c r="C587" s="1108" t="s">
        <v>4496</v>
      </c>
      <c r="D587" s="1108" t="s">
        <v>5362</v>
      </c>
      <c r="E587" s="1116" t="s">
        <v>5363</v>
      </c>
      <c r="F587" s="1117">
        <v>0.1</v>
      </c>
      <c r="G587" s="1109">
        <v>0.0</v>
      </c>
      <c r="H587" s="1118">
        <v>58200.0</v>
      </c>
      <c r="I587" s="1118">
        <f t="shared" si="1"/>
        <v>52910</v>
      </c>
      <c r="J587" s="1110"/>
    </row>
    <row r="588" ht="18.75" customHeight="1">
      <c r="A588" s="1110"/>
      <c r="B588" s="1115" t="s">
        <v>5265</v>
      </c>
      <c r="C588" s="1108" t="s">
        <v>4496</v>
      </c>
      <c r="D588" s="1108" t="s">
        <v>5364</v>
      </c>
      <c r="E588" s="1116" t="s">
        <v>5365</v>
      </c>
      <c r="F588" s="1117">
        <v>0.1</v>
      </c>
      <c r="G588" s="1109">
        <v>0.0</v>
      </c>
      <c r="H588" s="1118">
        <v>59400.0</v>
      </c>
      <c r="I588" s="1118">
        <f t="shared" si="1"/>
        <v>54000</v>
      </c>
      <c r="J588" s="1110"/>
    </row>
    <row r="589" ht="18.75" customHeight="1">
      <c r="A589" s="1110"/>
      <c r="B589" s="1115" t="s">
        <v>5265</v>
      </c>
      <c r="C589" s="1108" t="s">
        <v>4496</v>
      </c>
      <c r="D589" s="1108" t="s">
        <v>5366</v>
      </c>
      <c r="E589" s="1116" t="s">
        <v>5367</v>
      </c>
      <c r="F589" s="1117">
        <v>0.1</v>
      </c>
      <c r="G589" s="1109">
        <v>0.0</v>
      </c>
      <c r="H589" s="1118">
        <v>60100.0</v>
      </c>
      <c r="I589" s="1118">
        <f t="shared" si="1"/>
        <v>54640</v>
      </c>
      <c r="J589" s="1110"/>
    </row>
    <row r="590" ht="18.75" customHeight="1">
      <c r="A590" s="1110"/>
      <c r="B590" s="1115" t="s">
        <v>5265</v>
      </c>
      <c r="C590" s="1108" t="s">
        <v>4496</v>
      </c>
      <c r="D590" s="1108" t="s">
        <v>5368</v>
      </c>
      <c r="E590" s="1116" t="s">
        <v>5369</v>
      </c>
      <c r="F590" s="1117">
        <v>0.1</v>
      </c>
      <c r="G590" s="1109">
        <v>0.0</v>
      </c>
      <c r="H590" s="1118">
        <v>62700.0</v>
      </c>
      <c r="I590" s="1118">
        <f t="shared" si="1"/>
        <v>57000</v>
      </c>
      <c r="J590" s="1110"/>
    </row>
    <row r="591" ht="18.75" customHeight="1">
      <c r="A591" s="1110"/>
      <c r="B591" s="1115" t="s">
        <v>5265</v>
      </c>
      <c r="C591" s="1108" t="s">
        <v>4496</v>
      </c>
      <c r="D591" s="1108" t="s">
        <v>5370</v>
      </c>
      <c r="E591" s="1116" t="s">
        <v>5371</v>
      </c>
      <c r="F591" s="1117">
        <v>0.1</v>
      </c>
      <c r="G591" s="1109">
        <v>0.0</v>
      </c>
      <c r="H591" s="1118">
        <v>70300.0</v>
      </c>
      <c r="I591" s="1118">
        <f t="shared" si="1"/>
        <v>63910</v>
      </c>
      <c r="J591" s="1110"/>
    </row>
    <row r="592" ht="18.75" customHeight="1">
      <c r="A592" s="1110"/>
      <c r="B592" s="1115" t="s">
        <v>5265</v>
      </c>
      <c r="C592" s="1108" t="s">
        <v>4496</v>
      </c>
      <c r="D592" s="1108" t="s">
        <v>5372</v>
      </c>
      <c r="E592" s="1116" t="s">
        <v>5373</v>
      </c>
      <c r="F592" s="1117">
        <v>0.1</v>
      </c>
      <c r="G592" s="1109">
        <v>0.0</v>
      </c>
      <c r="H592" s="1118">
        <v>79700.0</v>
      </c>
      <c r="I592" s="1118">
        <f t="shared" si="1"/>
        <v>72450</v>
      </c>
      <c r="J592" s="1110"/>
    </row>
    <row r="593" ht="18.75" customHeight="1">
      <c r="A593" s="1110"/>
      <c r="B593" s="1115" t="s">
        <v>5265</v>
      </c>
      <c r="C593" s="1108" t="s">
        <v>4496</v>
      </c>
      <c r="D593" s="1108" t="s">
        <v>5374</v>
      </c>
      <c r="E593" s="1116" t="s">
        <v>5375</v>
      </c>
      <c r="F593" s="1117">
        <v>0.1</v>
      </c>
      <c r="G593" s="1109">
        <v>0.0</v>
      </c>
      <c r="H593" s="1118">
        <v>87100.0</v>
      </c>
      <c r="I593" s="1118">
        <f t="shared" si="1"/>
        <v>79180</v>
      </c>
      <c r="J593" s="1110"/>
    </row>
    <row r="594" ht="18.75" customHeight="1">
      <c r="A594" s="1110"/>
      <c r="B594" s="1115" t="s">
        <v>5265</v>
      </c>
      <c r="C594" s="1108" t="s">
        <v>4496</v>
      </c>
      <c r="D594" s="1108" t="s">
        <v>5376</v>
      </c>
      <c r="E594" s="1116" t="s">
        <v>5377</v>
      </c>
      <c r="F594" s="1117">
        <v>0.1</v>
      </c>
      <c r="G594" s="1109">
        <v>0.0</v>
      </c>
      <c r="H594" s="1118">
        <v>89400.0</v>
      </c>
      <c r="I594" s="1118">
        <f t="shared" si="1"/>
        <v>81270</v>
      </c>
      <c r="J594" s="1110"/>
    </row>
    <row r="595" ht="18.75" customHeight="1">
      <c r="A595" s="1110"/>
      <c r="B595" s="1115" t="s">
        <v>5265</v>
      </c>
      <c r="C595" s="1108" t="s">
        <v>4496</v>
      </c>
      <c r="D595" s="1108" t="s">
        <v>5378</v>
      </c>
      <c r="E595" s="1116" t="s">
        <v>5379</v>
      </c>
      <c r="F595" s="1117">
        <v>0.1</v>
      </c>
      <c r="G595" s="1109">
        <v>0.0</v>
      </c>
      <c r="H595" s="1118">
        <v>93700.0</v>
      </c>
      <c r="I595" s="1118">
        <f t="shared" si="1"/>
        <v>85180</v>
      </c>
      <c r="J595" s="1110"/>
    </row>
    <row r="596" ht="18.75" customHeight="1">
      <c r="A596" s="1110"/>
      <c r="B596" s="1115" t="s">
        <v>5265</v>
      </c>
      <c r="C596" s="1108" t="s">
        <v>4496</v>
      </c>
      <c r="D596" s="1108" t="s">
        <v>5380</v>
      </c>
      <c r="E596" s="1116" t="s">
        <v>5381</v>
      </c>
      <c r="F596" s="1117">
        <v>0.1</v>
      </c>
      <c r="G596" s="1109">
        <v>0.0</v>
      </c>
      <c r="H596" s="1118">
        <v>127200.0</v>
      </c>
      <c r="I596" s="1118">
        <f t="shared" si="1"/>
        <v>115640</v>
      </c>
      <c r="J596" s="1110"/>
    </row>
    <row r="597" ht="18.75" customHeight="1">
      <c r="A597" s="1110"/>
      <c r="B597" s="1115" t="s">
        <v>5265</v>
      </c>
      <c r="C597" s="1108" t="s">
        <v>4496</v>
      </c>
      <c r="D597" s="1108" t="s">
        <v>5382</v>
      </c>
      <c r="E597" s="1116" t="s">
        <v>5383</v>
      </c>
      <c r="F597" s="1117">
        <v>0.1</v>
      </c>
      <c r="G597" s="1109">
        <v>0.0</v>
      </c>
      <c r="H597" s="1118">
        <v>129900.0</v>
      </c>
      <c r="I597" s="1118">
        <f t="shared" si="1"/>
        <v>118090</v>
      </c>
      <c r="J597" s="1110"/>
    </row>
    <row r="598" ht="18.75" customHeight="1">
      <c r="A598" s="1110"/>
      <c r="B598" s="1115" t="s">
        <v>5265</v>
      </c>
      <c r="C598" s="1108" t="s">
        <v>4496</v>
      </c>
      <c r="D598" s="1108" t="s">
        <v>5384</v>
      </c>
      <c r="E598" s="1116" t="s">
        <v>5385</v>
      </c>
      <c r="F598" s="1117">
        <v>0.1</v>
      </c>
      <c r="G598" s="1109">
        <v>0.0</v>
      </c>
      <c r="H598" s="1118">
        <v>132600.0</v>
      </c>
      <c r="I598" s="1118">
        <f t="shared" si="1"/>
        <v>120550</v>
      </c>
      <c r="J598" s="1110"/>
    </row>
    <row r="599" ht="18.75" customHeight="1">
      <c r="A599" s="1110"/>
      <c r="B599" s="1115" t="s">
        <v>5265</v>
      </c>
      <c r="C599" s="1108" t="s">
        <v>4496</v>
      </c>
      <c r="D599" s="1108" t="s">
        <v>5386</v>
      </c>
      <c r="E599" s="1116" t="s">
        <v>5387</v>
      </c>
      <c r="F599" s="1117">
        <v>0.1</v>
      </c>
      <c r="G599" s="1109">
        <v>0.0</v>
      </c>
      <c r="H599" s="1118">
        <v>138900.0</v>
      </c>
      <c r="I599" s="1118">
        <f t="shared" si="1"/>
        <v>126270</v>
      </c>
      <c r="J599" s="1110"/>
    </row>
    <row r="600" ht="18.75" customHeight="1">
      <c r="A600" s="1110"/>
      <c r="B600" s="1115" t="s">
        <v>5265</v>
      </c>
      <c r="C600" s="1108" t="s">
        <v>4496</v>
      </c>
      <c r="D600" s="1108" t="s">
        <v>5388</v>
      </c>
      <c r="E600" s="1116" t="s">
        <v>5389</v>
      </c>
      <c r="F600" s="1117">
        <v>0.1</v>
      </c>
      <c r="G600" s="1109">
        <v>0.0</v>
      </c>
      <c r="H600" s="1118">
        <v>160800.0</v>
      </c>
      <c r="I600" s="1118">
        <f t="shared" si="1"/>
        <v>146180</v>
      </c>
      <c r="J600" s="1110"/>
    </row>
    <row r="601" ht="18.75" customHeight="1">
      <c r="A601" s="1110"/>
      <c r="B601" s="1115" t="s">
        <v>5265</v>
      </c>
      <c r="C601" s="1108" t="s">
        <v>4496</v>
      </c>
      <c r="D601" s="1108" t="s">
        <v>5390</v>
      </c>
      <c r="E601" s="1116" t="s">
        <v>5391</v>
      </c>
      <c r="F601" s="1117">
        <v>0.1</v>
      </c>
      <c r="G601" s="1109">
        <v>0.0</v>
      </c>
      <c r="H601" s="1118">
        <v>168700.0</v>
      </c>
      <c r="I601" s="1118">
        <f t="shared" si="1"/>
        <v>153360</v>
      </c>
      <c r="J601" s="1110"/>
    </row>
    <row r="602" ht="18.75" customHeight="1">
      <c r="A602" s="1110"/>
      <c r="B602" s="1115" t="s">
        <v>5265</v>
      </c>
      <c r="C602" s="1108" t="s">
        <v>4496</v>
      </c>
      <c r="D602" s="1108" t="s">
        <v>5392</v>
      </c>
      <c r="E602" s="1116" t="s">
        <v>5393</v>
      </c>
      <c r="F602" s="1117">
        <v>0.1</v>
      </c>
      <c r="G602" s="1109">
        <v>0.0</v>
      </c>
      <c r="H602" s="1118">
        <v>177500.0</v>
      </c>
      <c r="I602" s="1118">
        <f t="shared" si="1"/>
        <v>161360</v>
      </c>
      <c r="J602" s="1110"/>
    </row>
    <row r="603" ht="18.75" customHeight="1">
      <c r="A603" s="1110"/>
      <c r="B603" s="1115" t="s">
        <v>5265</v>
      </c>
      <c r="C603" s="1108" t="s">
        <v>4496</v>
      </c>
      <c r="D603" s="1108" t="s">
        <v>5394</v>
      </c>
      <c r="E603" s="1116" t="s">
        <v>5395</v>
      </c>
      <c r="F603" s="1117">
        <v>0.1</v>
      </c>
      <c r="G603" s="1109">
        <v>0.0</v>
      </c>
      <c r="H603" s="1118">
        <v>23300.0</v>
      </c>
      <c r="I603" s="1118">
        <f t="shared" si="1"/>
        <v>21180</v>
      </c>
      <c r="J603" s="1110"/>
    </row>
    <row r="604" ht="18.75" customHeight="1">
      <c r="A604" s="1110"/>
      <c r="B604" s="1115" t="s">
        <v>5265</v>
      </c>
      <c r="C604" s="1108" t="s">
        <v>4496</v>
      </c>
      <c r="D604" s="1108" t="s">
        <v>5396</v>
      </c>
      <c r="E604" s="1116" t="s">
        <v>5397</v>
      </c>
      <c r="F604" s="1117">
        <v>0.1</v>
      </c>
      <c r="G604" s="1109">
        <v>0.0</v>
      </c>
      <c r="H604" s="1118">
        <v>26800.0</v>
      </c>
      <c r="I604" s="1118">
        <f t="shared" si="1"/>
        <v>24360</v>
      </c>
      <c r="J604" s="1110"/>
    </row>
    <row r="605" ht="18.75" customHeight="1">
      <c r="A605" s="1110"/>
      <c r="B605" s="1115" t="s">
        <v>5265</v>
      </c>
      <c r="C605" s="1108" t="s">
        <v>4496</v>
      </c>
      <c r="D605" s="1108" t="s">
        <v>5398</v>
      </c>
      <c r="E605" s="1116" t="s">
        <v>5399</v>
      </c>
      <c r="F605" s="1117">
        <v>0.1</v>
      </c>
      <c r="G605" s="1109">
        <v>0.0</v>
      </c>
      <c r="H605" s="1118">
        <v>30800.0</v>
      </c>
      <c r="I605" s="1118">
        <f t="shared" si="1"/>
        <v>28000</v>
      </c>
      <c r="J605" s="1110"/>
    </row>
    <row r="606" ht="18.75" customHeight="1">
      <c r="A606" s="1110"/>
      <c r="B606" s="1115" t="s">
        <v>5265</v>
      </c>
      <c r="C606" s="1108" t="s">
        <v>4496</v>
      </c>
      <c r="D606" s="1108" t="s">
        <v>5400</v>
      </c>
      <c r="E606" s="1116" t="s">
        <v>5401</v>
      </c>
      <c r="F606" s="1117">
        <v>0.1</v>
      </c>
      <c r="G606" s="1109">
        <v>0.0</v>
      </c>
      <c r="H606" s="1118">
        <v>34300.0</v>
      </c>
      <c r="I606" s="1118">
        <f t="shared" si="1"/>
        <v>31180</v>
      </c>
      <c r="J606" s="1110"/>
    </row>
    <row r="607" ht="18.75" customHeight="1">
      <c r="A607" s="1110"/>
      <c r="B607" s="1115" t="s">
        <v>5265</v>
      </c>
      <c r="C607" s="1108" t="s">
        <v>4496</v>
      </c>
      <c r="D607" s="1108" t="s">
        <v>5402</v>
      </c>
      <c r="E607" s="1116" t="s">
        <v>5403</v>
      </c>
      <c r="F607" s="1117">
        <v>0.1</v>
      </c>
      <c r="G607" s="1109">
        <v>0.0</v>
      </c>
      <c r="H607" s="1118">
        <v>36500.0</v>
      </c>
      <c r="I607" s="1118">
        <f t="shared" si="1"/>
        <v>33180</v>
      </c>
      <c r="J607" s="1110"/>
    </row>
    <row r="608" ht="18.75" customHeight="1">
      <c r="A608" s="1110"/>
      <c r="B608" s="1115" t="s">
        <v>5265</v>
      </c>
      <c r="C608" s="1108" t="s">
        <v>4496</v>
      </c>
      <c r="D608" s="1108" t="s">
        <v>5404</v>
      </c>
      <c r="E608" s="1116" t="s">
        <v>5405</v>
      </c>
      <c r="F608" s="1117">
        <v>0.1</v>
      </c>
      <c r="G608" s="1109">
        <v>0.0</v>
      </c>
      <c r="H608" s="1118">
        <v>41000.0</v>
      </c>
      <c r="I608" s="1118">
        <f t="shared" si="1"/>
        <v>37270</v>
      </c>
      <c r="J608" s="1110"/>
    </row>
    <row r="609" ht="18.75" customHeight="1">
      <c r="A609" s="1110"/>
      <c r="B609" s="1115" t="s">
        <v>5265</v>
      </c>
      <c r="C609" s="1108" t="s">
        <v>4496</v>
      </c>
      <c r="D609" s="1108" t="s">
        <v>5406</v>
      </c>
      <c r="E609" s="1116" t="s">
        <v>5407</v>
      </c>
      <c r="F609" s="1117">
        <v>0.1</v>
      </c>
      <c r="G609" s="1109">
        <v>0.0</v>
      </c>
      <c r="H609" s="1118">
        <v>45200.0</v>
      </c>
      <c r="I609" s="1118">
        <f t="shared" si="1"/>
        <v>41090</v>
      </c>
      <c r="J609" s="1110"/>
    </row>
    <row r="610" ht="18.75" customHeight="1">
      <c r="A610" s="1110"/>
      <c r="B610" s="1115" t="s">
        <v>5265</v>
      </c>
      <c r="C610" s="1108" t="s">
        <v>4496</v>
      </c>
      <c r="D610" s="1108" t="s">
        <v>5408</v>
      </c>
      <c r="E610" s="1116" t="s">
        <v>5409</v>
      </c>
      <c r="F610" s="1117">
        <v>0.1</v>
      </c>
      <c r="G610" s="1109">
        <v>0.0</v>
      </c>
      <c r="H610" s="1118">
        <v>49400.0</v>
      </c>
      <c r="I610" s="1118">
        <f t="shared" si="1"/>
        <v>44910</v>
      </c>
      <c r="J610" s="1110"/>
    </row>
    <row r="611" ht="18.75" customHeight="1">
      <c r="A611" s="1110"/>
      <c r="B611" s="1115" t="s">
        <v>5265</v>
      </c>
      <c r="C611" s="1108" t="s">
        <v>4496</v>
      </c>
      <c r="D611" s="1108" t="s">
        <v>5410</v>
      </c>
      <c r="E611" s="1116" t="s">
        <v>5411</v>
      </c>
      <c r="F611" s="1117">
        <v>0.1</v>
      </c>
      <c r="G611" s="1109">
        <v>0.0</v>
      </c>
      <c r="H611" s="1118">
        <v>55200.0</v>
      </c>
      <c r="I611" s="1118">
        <f t="shared" si="1"/>
        <v>50180</v>
      </c>
      <c r="J611" s="1110"/>
    </row>
    <row r="612" ht="18.75" customHeight="1">
      <c r="A612" s="1110"/>
      <c r="B612" s="1115" t="s">
        <v>5265</v>
      </c>
      <c r="C612" s="1108" t="s">
        <v>4496</v>
      </c>
      <c r="D612" s="1108" t="s">
        <v>5412</v>
      </c>
      <c r="E612" s="1116" t="s">
        <v>5413</v>
      </c>
      <c r="F612" s="1117">
        <v>0.1</v>
      </c>
      <c r="G612" s="1109">
        <v>0.0</v>
      </c>
      <c r="H612" s="1118">
        <v>57800.0</v>
      </c>
      <c r="I612" s="1118">
        <f t="shared" si="1"/>
        <v>52550</v>
      </c>
      <c r="J612" s="1110"/>
    </row>
    <row r="613" ht="18.75" customHeight="1">
      <c r="A613" s="1110"/>
      <c r="B613" s="1115" t="s">
        <v>5265</v>
      </c>
      <c r="C613" s="1108" t="s">
        <v>4496</v>
      </c>
      <c r="D613" s="1108" t="s">
        <v>5414</v>
      </c>
      <c r="E613" s="1116" t="s">
        <v>5415</v>
      </c>
      <c r="F613" s="1117">
        <v>0.1</v>
      </c>
      <c r="G613" s="1109">
        <v>0.0</v>
      </c>
      <c r="H613" s="1118">
        <v>63600.0</v>
      </c>
      <c r="I613" s="1118">
        <f t="shared" si="1"/>
        <v>57820</v>
      </c>
      <c r="J613" s="1110"/>
    </row>
    <row r="614" ht="18.75" customHeight="1">
      <c r="A614" s="1110"/>
      <c r="B614" s="1115" t="s">
        <v>5265</v>
      </c>
      <c r="C614" s="1108" t="s">
        <v>4496</v>
      </c>
      <c r="D614" s="1108" t="s">
        <v>5416</v>
      </c>
      <c r="E614" s="1116" t="s">
        <v>5417</v>
      </c>
      <c r="F614" s="1117">
        <v>0.1</v>
      </c>
      <c r="G614" s="1109">
        <v>0.0</v>
      </c>
      <c r="H614" s="1118">
        <v>69300.0</v>
      </c>
      <c r="I614" s="1118">
        <f t="shared" si="1"/>
        <v>63000</v>
      </c>
      <c r="J614" s="1110"/>
    </row>
    <row r="615" ht="18.75" customHeight="1">
      <c r="A615" s="1110"/>
      <c r="B615" s="1115" t="s">
        <v>5265</v>
      </c>
      <c r="C615" s="1108" t="s">
        <v>4496</v>
      </c>
      <c r="D615" s="1108" t="s">
        <v>5418</v>
      </c>
      <c r="E615" s="1116" t="s">
        <v>5419</v>
      </c>
      <c r="F615" s="1117">
        <v>0.1</v>
      </c>
      <c r="G615" s="1109">
        <v>0.0</v>
      </c>
      <c r="H615" s="1118">
        <v>79700.0</v>
      </c>
      <c r="I615" s="1118">
        <f t="shared" si="1"/>
        <v>72450</v>
      </c>
      <c r="J615" s="1110"/>
    </row>
    <row r="616" ht="18.75" customHeight="1">
      <c r="A616" s="1110"/>
      <c r="B616" s="1115" t="s">
        <v>5265</v>
      </c>
      <c r="C616" s="1108" t="s">
        <v>4496</v>
      </c>
      <c r="D616" s="1108" t="s">
        <v>5420</v>
      </c>
      <c r="E616" s="1116" t="s">
        <v>5421</v>
      </c>
      <c r="F616" s="1117">
        <v>0.1</v>
      </c>
      <c r="G616" s="1109">
        <v>0.0</v>
      </c>
      <c r="H616" s="1118">
        <v>85600.0</v>
      </c>
      <c r="I616" s="1118">
        <f t="shared" si="1"/>
        <v>77820</v>
      </c>
      <c r="J616" s="1110"/>
    </row>
    <row r="617" ht="18.75" customHeight="1">
      <c r="A617" s="1110"/>
      <c r="B617" s="1115" t="s">
        <v>5265</v>
      </c>
      <c r="C617" s="1108" t="s">
        <v>4496</v>
      </c>
      <c r="D617" s="1108" t="s">
        <v>5422</v>
      </c>
      <c r="E617" s="1116" t="s">
        <v>5423</v>
      </c>
      <c r="F617" s="1117">
        <v>0.1</v>
      </c>
      <c r="G617" s="1109">
        <v>0.0</v>
      </c>
      <c r="H617" s="1118">
        <v>87700.0</v>
      </c>
      <c r="I617" s="1118">
        <f t="shared" si="1"/>
        <v>79730</v>
      </c>
      <c r="J617" s="1110"/>
    </row>
    <row r="618" ht="18.75" customHeight="1">
      <c r="A618" s="1110"/>
      <c r="B618" s="1115" t="s">
        <v>5265</v>
      </c>
      <c r="C618" s="1108" t="s">
        <v>4496</v>
      </c>
      <c r="D618" s="1108" t="s">
        <v>5424</v>
      </c>
      <c r="E618" s="1116" t="s">
        <v>5425</v>
      </c>
      <c r="F618" s="1117">
        <v>0.1</v>
      </c>
      <c r="G618" s="1109">
        <v>0.0</v>
      </c>
      <c r="H618" s="1118">
        <v>98000.0</v>
      </c>
      <c r="I618" s="1118">
        <f t="shared" si="1"/>
        <v>89090</v>
      </c>
      <c r="J618" s="1110"/>
    </row>
    <row r="619" ht="18.75" customHeight="1">
      <c r="A619" s="1110"/>
      <c r="B619" s="1115" t="s">
        <v>5265</v>
      </c>
      <c r="C619" s="1108" t="s">
        <v>4496</v>
      </c>
      <c r="D619" s="1108" t="s">
        <v>5426</v>
      </c>
      <c r="E619" s="1116" t="s">
        <v>5427</v>
      </c>
      <c r="F619" s="1117">
        <v>0.1</v>
      </c>
      <c r="G619" s="1109">
        <v>0.0</v>
      </c>
      <c r="H619" s="1118">
        <v>106900.0</v>
      </c>
      <c r="I619" s="1118">
        <f t="shared" si="1"/>
        <v>97180</v>
      </c>
      <c r="J619" s="1110"/>
    </row>
    <row r="620" ht="18.75" customHeight="1">
      <c r="A620" s="1110"/>
      <c r="B620" s="1115" t="s">
        <v>5265</v>
      </c>
      <c r="C620" s="1108" t="s">
        <v>4496</v>
      </c>
      <c r="D620" s="1108" t="s">
        <v>5428</v>
      </c>
      <c r="E620" s="1116" t="s">
        <v>5429</v>
      </c>
      <c r="F620" s="1117">
        <v>0.1</v>
      </c>
      <c r="G620" s="1109">
        <v>0.0</v>
      </c>
      <c r="H620" s="1118">
        <v>115500.0</v>
      </c>
      <c r="I620" s="1118">
        <f t="shared" si="1"/>
        <v>105000</v>
      </c>
      <c r="J620" s="1110"/>
    </row>
    <row r="621" ht="18.75" customHeight="1">
      <c r="A621" s="1110"/>
      <c r="B621" s="1115" t="s">
        <v>5265</v>
      </c>
      <c r="C621" s="1108" t="s">
        <v>4496</v>
      </c>
      <c r="D621" s="1108" t="s">
        <v>5430</v>
      </c>
      <c r="E621" s="1116" t="s">
        <v>5431</v>
      </c>
      <c r="F621" s="1117">
        <v>0.1</v>
      </c>
      <c r="G621" s="1109">
        <v>0.0</v>
      </c>
      <c r="H621" s="1118">
        <v>115800.0</v>
      </c>
      <c r="I621" s="1118">
        <f t="shared" si="1"/>
        <v>105270</v>
      </c>
      <c r="J621" s="1110"/>
    </row>
    <row r="622" ht="18.75" customHeight="1">
      <c r="A622" s="1110"/>
      <c r="B622" s="1115" t="s">
        <v>5265</v>
      </c>
      <c r="C622" s="1108" t="s">
        <v>4496</v>
      </c>
      <c r="D622" s="1108" t="s">
        <v>5432</v>
      </c>
      <c r="E622" s="1116" t="s">
        <v>5433</v>
      </c>
      <c r="F622" s="1117">
        <v>0.1</v>
      </c>
      <c r="G622" s="1109">
        <v>0.0</v>
      </c>
      <c r="H622" s="1118">
        <v>118400.0</v>
      </c>
      <c r="I622" s="1118">
        <f t="shared" si="1"/>
        <v>107640</v>
      </c>
      <c r="J622" s="1110"/>
    </row>
    <row r="623" ht="18.75" customHeight="1">
      <c r="A623" s="1110"/>
      <c r="B623" s="1115" t="s">
        <v>5265</v>
      </c>
      <c r="C623" s="1108" t="s">
        <v>4496</v>
      </c>
      <c r="D623" s="1108" t="s">
        <v>5434</v>
      </c>
      <c r="E623" s="1116" t="s">
        <v>5435</v>
      </c>
      <c r="F623" s="1117">
        <v>0.1</v>
      </c>
      <c r="G623" s="1109">
        <v>0.0</v>
      </c>
      <c r="H623" s="1118">
        <v>133200.0</v>
      </c>
      <c r="I623" s="1118">
        <f t="shared" si="1"/>
        <v>121090</v>
      </c>
      <c r="J623" s="1110"/>
    </row>
    <row r="624" ht="18.75" customHeight="1">
      <c r="A624" s="1110"/>
      <c r="B624" s="1115" t="s">
        <v>5265</v>
      </c>
      <c r="C624" s="1108" t="s">
        <v>4496</v>
      </c>
      <c r="D624" s="1108" t="s">
        <v>5436</v>
      </c>
      <c r="E624" s="1116" t="s">
        <v>5437</v>
      </c>
      <c r="F624" s="1117">
        <v>0.1</v>
      </c>
      <c r="G624" s="1109">
        <v>0.0</v>
      </c>
      <c r="H624" s="1118">
        <v>157100.0</v>
      </c>
      <c r="I624" s="1118">
        <f t="shared" si="1"/>
        <v>142820</v>
      </c>
      <c r="J624" s="1110"/>
    </row>
    <row r="625" ht="18.75" customHeight="1">
      <c r="A625" s="1110"/>
      <c r="B625" s="1115" t="s">
        <v>5265</v>
      </c>
      <c r="C625" s="1108" t="s">
        <v>4496</v>
      </c>
      <c r="D625" s="1108" t="s">
        <v>5438</v>
      </c>
      <c r="E625" s="1116" t="s">
        <v>5439</v>
      </c>
      <c r="F625" s="1117">
        <v>0.1</v>
      </c>
      <c r="G625" s="1109">
        <v>0.0</v>
      </c>
      <c r="H625" s="1118">
        <v>182500.0</v>
      </c>
      <c r="I625" s="1118">
        <f t="shared" si="1"/>
        <v>165910</v>
      </c>
      <c r="J625" s="1110"/>
    </row>
    <row r="626" ht="18.75" customHeight="1">
      <c r="A626" s="1110"/>
      <c r="B626" s="1115" t="s">
        <v>5265</v>
      </c>
      <c r="C626" s="1108" t="s">
        <v>4496</v>
      </c>
      <c r="D626" s="1108" t="s">
        <v>5440</v>
      </c>
      <c r="E626" s="1116" t="s">
        <v>5441</v>
      </c>
      <c r="F626" s="1117">
        <v>0.1</v>
      </c>
      <c r="G626" s="1109">
        <v>0.0</v>
      </c>
      <c r="H626" s="1118">
        <v>186900.0</v>
      </c>
      <c r="I626" s="1118">
        <f t="shared" si="1"/>
        <v>169910</v>
      </c>
      <c r="J626" s="1110"/>
    </row>
    <row r="627" ht="18.75" customHeight="1">
      <c r="A627" s="1110"/>
      <c r="B627" s="1115" t="s">
        <v>5265</v>
      </c>
      <c r="C627" s="1108" t="s">
        <v>4496</v>
      </c>
      <c r="D627" s="1108" t="s">
        <v>5442</v>
      </c>
      <c r="E627" s="1116" t="s">
        <v>5443</v>
      </c>
      <c r="F627" s="1117">
        <v>0.1</v>
      </c>
      <c r="G627" s="1109">
        <v>0.0</v>
      </c>
      <c r="H627" s="1118">
        <v>195800.0</v>
      </c>
      <c r="I627" s="1118">
        <f t="shared" si="1"/>
        <v>178000</v>
      </c>
      <c r="J627" s="1110"/>
    </row>
    <row r="628" ht="18.75" customHeight="1">
      <c r="A628" s="1110"/>
      <c r="B628" s="1115" t="s">
        <v>5265</v>
      </c>
      <c r="C628" s="1108" t="s">
        <v>4496</v>
      </c>
      <c r="D628" s="1108" t="s">
        <v>5444</v>
      </c>
      <c r="E628" s="1116" t="s">
        <v>5445</v>
      </c>
      <c r="F628" s="1117">
        <v>0.1</v>
      </c>
      <c r="G628" s="1109">
        <v>0.0</v>
      </c>
      <c r="H628" s="1118">
        <v>248700.0</v>
      </c>
      <c r="I628" s="1118">
        <f t="shared" si="1"/>
        <v>226090</v>
      </c>
      <c r="J628" s="1110"/>
    </row>
    <row r="629" ht="18.75" customHeight="1">
      <c r="A629" s="1110"/>
      <c r="B629" s="1115" t="s">
        <v>5265</v>
      </c>
      <c r="C629" s="1108" t="s">
        <v>4496</v>
      </c>
      <c r="D629" s="1108" t="s">
        <v>5446</v>
      </c>
      <c r="E629" s="1116" t="s">
        <v>5447</v>
      </c>
      <c r="F629" s="1117">
        <v>0.1</v>
      </c>
      <c r="G629" s="1109">
        <v>0.0</v>
      </c>
      <c r="H629" s="1118">
        <v>253900.0</v>
      </c>
      <c r="I629" s="1118">
        <f t="shared" si="1"/>
        <v>230820</v>
      </c>
      <c r="J629" s="1110"/>
    </row>
    <row r="630" ht="18.75" customHeight="1">
      <c r="A630" s="1110"/>
      <c r="B630" s="1115" t="s">
        <v>5265</v>
      </c>
      <c r="C630" s="1108" t="s">
        <v>4496</v>
      </c>
      <c r="D630" s="1108" t="s">
        <v>5448</v>
      </c>
      <c r="E630" s="1116" t="s">
        <v>5449</v>
      </c>
      <c r="F630" s="1117">
        <v>0.1</v>
      </c>
      <c r="G630" s="1109">
        <v>0.0</v>
      </c>
      <c r="H630" s="1118">
        <v>258800.0</v>
      </c>
      <c r="I630" s="1118">
        <f t="shared" si="1"/>
        <v>235270</v>
      </c>
      <c r="J630" s="1110"/>
    </row>
    <row r="631" ht="18.75" customHeight="1">
      <c r="A631" s="1110"/>
      <c r="B631" s="1115" t="s">
        <v>5265</v>
      </c>
      <c r="C631" s="1108" t="s">
        <v>4496</v>
      </c>
      <c r="D631" s="1108" t="s">
        <v>5450</v>
      </c>
      <c r="E631" s="1116" t="s">
        <v>5451</v>
      </c>
      <c r="F631" s="1117">
        <v>0.1</v>
      </c>
      <c r="G631" s="1109">
        <v>0.0</v>
      </c>
      <c r="H631" s="1118">
        <v>270700.0</v>
      </c>
      <c r="I631" s="1118">
        <f t="shared" si="1"/>
        <v>246090</v>
      </c>
      <c r="J631" s="1110"/>
    </row>
    <row r="632" ht="18.75" customHeight="1">
      <c r="A632" s="1110"/>
      <c r="B632" s="1115" t="s">
        <v>5265</v>
      </c>
      <c r="C632" s="1108" t="s">
        <v>4496</v>
      </c>
      <c r="D632" s="1108" t="s">
        <v>5452</v>
      </c>
      <c r="E632" s="1116" t="s">
        <v>5453</v>
      </c>
      <c r="F632" s="1117">
        <v>0.1</v>
      </c>
      <c r="G632" s="1109">
        <v>0.0</v>
      </c>
      <c r="H632" s="1118">
        <v>312800.0</v>
      </c>
      <c r="I632" s="1118">
        <f t="shared" si="1"/>
        <v>284360</v>
      </c>
      <c r="J632" s="1110"/>
    </row>
    <row r="633" ht="18.75" customHeight="1">
      <c r="A633" s="1110"/>
      <c r="B633" s="1115" t="s">
        <v>5265</v>
      </c>
      <c r="C633" s="1108" t="s">
        <v>4496</v>
      </c>
      <c r="D633" s="1108" t="s">
        <v>5454</v>
      </c>
      <c r="E633" s="1116" t="s">
        <v>5455</v>
      </c>
      <c r="F633" s="1117">
        <v>0.1</v>
      </c>
      <c r="G633" s="1109">
        <v>0.0</v>
      </c>
      <c r="H633" s="1118">
        <v>327400.0</v>
      </c>
      <c r="I633" s="1118">
        <f t="shared" si="1"/>
        <v>297640</v>
      </c>
      <c r="J633" s="1110"/>
    </row>
    <row r="634" ht="18.75" customHeight="1">
      <c r="A634" s="1110"/>
      <c r="B634" s="1115" t="s">
        <v>5265</v>
      </c>
      <c r="C634" s="1108" t="s">
        <v>4496</v>
      </c>
      <c r="D634" s="1108" t="s">
        <v>5456</v>
      </c>
      <c r="E634" s="1116" t="s">
        <v>5457</v>
      </c>
      <c r="F634" s="1117">
        <v>0.1</v>
      </c>
      <c r="G634" s="1109">
        <v>0.0</v>
      </c>
      <c r="H634" s="1118">
        <v>342000.0</v>
      </c>
      <c r="I634" s="1118">
        <f t="shared" si="1"/>
        <v>310910</v>
      </c>
      <c r="J634" s="1110"/>
    </row>
    <row r="635" ht="18.75" customHeight="1">
      <c r="A635" s="1110"/>
      <c r="B635" s="1115" t="s">
        <v>5265</v>
      </c>
      <c r="C635" s="1108" t="s">
        <v>4496</v>
      </c>
      <c r="D635" s="1108" t="s">
        <v>5458</v>
      </c>
      <c r="E635" s="1116" t="s">
        <v>5459</v>
      </c>
      <c r="F635" s="1117">
        <v>0.1</v>
      </c>
      <c r="G635" s="1109">
        <v>0.0</v>
      </c>
      <c r="H635" s="1116" t="e">
        <v>#VALUE!</v>
      </c>
      <c r="I635" s="1118" t="str">
        <f t="shared" si="1"/>
        <v>#VALUE!</v>
      </c>
      <c r="J635" s="1110"/>
    </row>
    <row r="636" ht="18.75" customHeight="1">
      <c r="A636" s="1110"/>
      <c r="B636" s="1115" t="s">
        <v>5265</v>
      </c>
      <c r="C636" s="1108" t="s">
        <v>4496</v>
      </c>
      <c r="D636" s="1108" t="s">
        <v>5460</v>
      </c>
      <c r="E636" s="1116" t="s">
        <v>5461</v>
      </c>
      <c r="F636" s="1117">
        <v>0.1</v>
      </c>
      <c r="G636" s="1109">
        <v>0.0</v>
      </c>
      <c r="H636" s="1118">
        <v>39600.0</v>
      </c>
      <c r="I636" s="1118">
        <f t="shared" si="1"/>
        <v>36000</v>
      </c>
      <c r="J636" s="1110"/>
    </row>
    <row r="637" ht="18.75" customHeight="1">
      <c r="A637" s="1110"/>
      <c r="B637" s="1115" t="s">
        <v>5265</v>
      </c>
      <c r="C637" s="1108" t="s">
        <v>4496</v>
      </c>
      <c r="D637" s="1108" t="s">
        <v>5462</v>
      </c>
      <c r="E637" s="1116" t="s">
        <v>5463</v>
      </c>
      <c r="F637" s="1117">
        <v>0.1</v>
      </c>
      <c r="G637" s="1109">
        <v>0.0</v>
      </c>
      <c r="H637" s="1118">
        <v>46600.0</v>
      </c>
      <c r="I637" s="1118">
        <f t="shared" si="1"/>
        <v>42360</v>
      </c>
      <c r="J637" s="1110"/>
    </row>
    <row r="638" ht="18.75" customHeight="1">
      <c r="A638" s="1110"/>
      <c r="B638" s="1115" t="s">
        <v>5265</v>
      </c>
      <c r="C638" s="1108" t="s">
        <v>4496</v>
      </c>
      <c r="D638" s="1108" t="s">
        <v>5464</v>
      </c>
      <c r="E638" s="1116" t="s">
        <v>5465</v>
      </c>
      <c r="F638" s="1117">
        <v>0.1</v>
      </c>
      <c r="G638" s="1109">
        <v>0.0</v>
      </c>
      <c r="H638" s="1118">
        <v>56900.0</v>
      </c>
      <c r="I638" s="1118">
        <f t="shared" si="1"/>
        <v>51730</v>
      </c>
      <c r="J638" s="1110"/>
    </row>
    <row r="639" ht="18.75" customHeight="1">
      <c r="A639" s="1110"/>
      <c r="B639" s="1115" t="s">
        <v>5265</v>
      </c>
      <c r="C639" s="1108" t="s">
        <v>4496</v>
      </c>
      <c r="D639" s="1108" t="s">
        <v>5466</v>
      </c>
      <c r="E639" s="1116" t="s">
        <v>5467</v>
      </c>
      <c r="F639" s="1117">
        <v>0.1</v>
      </c>
      <c r="G639" s="1109">
        <v>0.0</v>
      </c>
      <c r="H639" s="1118">
        <v>64100.0</v>
      </c>
      <c r="I639" s="1118">
        <f t="shared" si="1"/>
        <v>58270</v>
      </c>
      <c r="J639" s="1110"/>
    </row>
    <row r="640" ht="18.75" customHeight="1">
      <c r="A640" s="1110"/>
      <c r="B640" s="1115" t="s">
        <v>5265</v>
      </c>
      <c r="C640" s="1108" t="s">
        <v>4496</v>
      </c>
      <c r="D640" s="1108" t="s">
        <v>5468</v>
      </c>
      <c r="E640" s="1116" t="s">
        <v>5469</v>
      </c>
      <c r="F640" s="1117">
        <v>0.1</v>
      </c>
      <c r="G640" s="1109">
        <v>0.0</v>
      </c>
      <c r="H640" s="1118">
        <v>70700.0</v>
      </c>
      <c r="I640" s="1118">
        <f t="shared" si="1"/>
        <v>64270</v>
      </c>
      <c r="J640" s="1110"/>
    </row>
    <row r="641" ht="18.75" customHeight="1">
      <c r="A641" s="1110"/>
      <c r="B641" s="1115" t="s">
        <v>5265</v>
      </c>
      <c r="C641" s="1108" t="s">
        <v>4496</v>
      </c>
      <c r="D641" s="1108" t="s">
        <v>5470</v>
      </c>
      <c r="E641" s="1116" t="s">
        <v>5471</v>
      </c>
      <c r="F641" s="1117">
        <v>0.1</v>
      </c>
      <c r="G641" s="1109">
        <v>0.0</v>
      </c>
      <c r="H641" s="1118">
        <v>73800.0</v>
      </c>
      <c r="I641" s="1118">
        <f t="shared" si="1"/>
        <v>67090</v>
      </c>
      <c r="J641" s="1110"/>
    </row>
    <row r="642" ht="18.75" customHeight="1">
      <c r="A642" s="1110"/>
      <c r="B642" s="1115" t="s">
        <v>5265</v>
      </c>
      <c r="C642" s="1108" t="s">
        <v>4496</v>
      </c>
      <c r="D642" s="1108" t="s">
        <v>5472</v>
      </c>
      <c r="E642" s="1116" t="s">
        <v>5473</v>
      </c>
      <c r="F642" s="1117">
        <v>0.1</v>
      </c>
      <c r="G642" s="1109">
        <v>0.0</v>
      </c>
      <c r="H642" s="1118">
        <v>76600.0</v>
      </c>
      <c r="I642" s="1118">
        <f t="shared" si="1"/>
        <v>69640</v>
      </c>
      <c r="J642" s="1110"/>
    </row>
    <row r="643" ht="18.75" customHeight="1">
      <c r="A643" s="1110"/>
      <c r="B643" s="1115" t="s">
        <v>5265</v>
      </c>
      <c r="C643" s="1108" t="s">
        <v>4496</v>
      </c>
      <c r="D643" s="1108" t="s">
        <v>5474</v>
      </c>
      <c r="E643" s="1116" t="s">
        <v>5475</v>
      </c>
      <c r="F643" s="1117">
        <v>0.1</v>
      </c>
      <c r="G643" s="1109">
        <v>0.0</v>
      </c>
      <c r="H643" s="1118">
        <v>85600.0</v>
      </c>
      <c r="I643" s="1118">
        <f t="shared" si="1"/>
        <v>77820</v>
      </c>
      <c r="J643" s="1110"/>
    </row>
    <row r="644" ht="18.75" customHeight="1">
      <c r="A644" s="1110"/>
      <c r="B644" s="1115" t="s">
        <v>5265</v>
      </c>
      <c r="C644" s="1108" t="s">
        <v>4496</v>
      </c>
      <c r="D644" s="1108" t="s">
        <v>5476</v>
      </c>
      <c r="E644" s="1116" t="s">
        <v>5477</v>
      </c>
      <c r="F644" s="1117">
        <v>0.1</v>
      </c>
      <c r="G644" s="1109">
        <v>0.0</v>
      </c>
      <c r="H644" s="1118">
        <v>89900.0</v>
      </c>
      <c r="I644" s="1118">
        <f t="shared" si="1"/>
        <v>81730</v>
      </c>
      <c r="J644" s="1110"/>
    </row>
    <row r="645" ht="18.75" customHeight="1">
      <c r="A645" s="1110"/>
      <c r="B645" s="1115" t="s">
        <v>5265</v>
      </c>
      <c r="C645" s="1108" t="s">
        <v>4496</v>
      </c>
      <c r="D645" s="1108" t="s">
        <v>5478</v>
      </c>
      <c r="E645" s="1116" t="s">
        <v>5479</v>
      </c>
      <c r="F645" s="1117">
        <v>0.1</v>
      </c>
      <c r="G645" s="1109">
        <v>0.0</v>
      </c>
      <c r="H645" s="1118">
        <v>95900.0</v>
      </c>
      <c r="I645" s="1118">
        <f t="shared" si="1"/>
        <v>87180</v>
      </c>
      <c r="J645" s="1110"/>
    </row>
    <row r="646" ht="18.75" customHeight="1">
      <c r="A646" s="1110"/>
      <c r="B646" s="1115" t="s">
        <v>5265</v>
      </c>
      <c r="C646" s="1108" t="s">
        <v>4496</v>
      </c>
      <c r="D646" s="1108" t="s">
        <v>5480</v>
      </c>
      <c r="E646" s="1116" t="s">
        <v>5481</v>
      </c>
      <c r="F646" s="1117">
        <v>0.1</v>
      </c>
      <c r="G646" s="1109">
        <v>0.0</v>
      </c>
      <c r="H646" s="1118">
        <v>101800.0</v>
      </c>
      <c r="I646" s="1118">
        <f t="shared" si="1"/>
        <v>92550</v>
      </c>
      <c r="J646" s="1110"/>
    </row>
    <row r="647" ht="18.75" customHeight="1">
      <c r="A647" s="1110"/>
      <c r="B647" s="1115" t="s">
        <v>5265</v>
      </c>
      <c r="C647" s="1108" t="s">
        <v>4496</v>
      </c>
      <c r="D647" s="1108" t="s">
        <v>5482</v>
      </c>
      <c r="E647" s="1116" t="s">
        <v>5483</v>
      </c>
      <c r="F647" s="1117">
        <v>0.1</v>
      </c>
      <c r="G647" s="1109">
        <v>0.0</v>
      </c>
      <c r="H647" s="1118">
        <v>115800.0</v>
      </c>
      <c r="I647" s="1118">
        <f t="shared" si="1"/>
        <v>105270</v>
      </c>
      <c r="J647" s="1110"/>
    </row>
    <row r="648" ht="18.75" customHeight="1">
      <c r="A648" s="1110"/>
      <c r="B648" s="1115" t="s">
        <v>5265</v>
      </c>
      <c r="C648" s="1108" t="s">
        <v>4496</v>
      </c>
      <c r="D648" s="1108" t="s">
        <v>5484</v>
      </c>
      <c r="E648" s="1116" t="s">
        <v>5485</v>
      </c>
      <c r="F648" s="1117">
        <v>0.1</v>
      </c>
      <c r="G648" s="1109">
        <v>0.0</v>
      </c>
      <c r="H648" s="1118">
        <v>129800.0</v>
      </c>
      <c r="I648" s="1118">
        <f t="shared" si="1"/>
        <v>118000</v>
      </c>
      <c r="J648" s="1110"/>
    </row>
    <row r="649" ht="18.75" customHeight="1">
      <c r="A649" s="1110"/>
      <c r="B649" s="1115" t="s">
        <v>5265</v>
      </c>
      <c r="C649" s="1108" t="s">
        <v>4496</v>
      </c>
      <c r="D649" s="1108" t="s">
        <v>5486</v>
      </c>
      <c r="E649" s="1116" t="s">
        <v>5487</v>
      </c>
      <c r="F649" s="1117">
        <v>0.1</v>
      </c>
      <c r="G649" s="1109">
        <v>0.0</v>
      </c>
      <c r="H649" s="1118">
        <v>137700.0</v>
      </c>
      <c r="I649" s="1118">
        <f t="shared" si="1"/>
        <v>125180</v>
      </c>
      <c r="J649" s="1110"/>
    </row>
    <row r="650" ht="18.75" customHeight="1">
      <c r="A650" s="1110"/>
      <c r="B650" s="1115" t="s">
        <v>5265</v>
      </c>
      <c r="C650" s="1108" t="s">
        <v>4496</v>
      </c>
      <c r="D650" s="1108" t="s">
        <v>5488</v>
      </c>
      <c r="E650" s="1116" t="s">
        <v>5489</v>
      </c>
      <c r="F650" s="1117">
        <v>0.1</v>
      </c>
      <c r="G650" s="1109">
        <v>0.0</v>
      </c>
      <c r="H650" s="1118">
        <v>141300.0</v>
      </c>
      <c r="I650" s="1118">
        <f t="shared" si="1"/>
        <v>128450</v>
      </c>
      <c r="J650" s="1110"/>
    </row>
    <row r="651" ht="18.75" customHeight="1">
      <c r="A651" s="1110"/>
      <c r="B651" s="1115" t="s">
        <v>5265</v>
      </c>
      <c r="C651" s="1108" t="s">
        <v>4496</v>
      </c>
      <c r="D651" s="1108" t="s">
        <v>5490</v>
      </c>
      <c r="E651" s="1116" t="s">
        <v>5491</v>
      </c>
      <c r="F651" s="1117">
        <v>0.1</v>
      </c>
      <c r="G651" s="1109">
        <v>0.0</v>
      </c>
      <c r="H651" s="1118">
        <v>148600.0</v>
      </c>
      <c r="I651" s="1118">
        <f t="shared" si="1"/>
        <v>135090</v>
      </c>
      <c r="J651" s="1110"/>
    </row>
    <row r="652" ht="18.75" customHeight="1">
      <c r="A652" s="1110"/>
      <c r="B652" s="1115" t="s">
        <v>5265</v>
      </c>
      <c r="C652" s="1108" t="s">
        <v>4496</v>
      </c>
      <c r="D652" s="1108" t="s">
        <v>5492</v>
      </c>
      <c r="E652" s="1116" t="s">
        <v>5493</v>
      </c>
      <c r="F652" s="1117">
        <v>0.1</v>
      </c>
      <c r="G652" s="1109">
        <v>0.0</v>
      </c>
      <c r="H652" s="1118">
        <v>158100.0</v>
      </c>
      <c r="I652" s="1118">
        <f t="shared" si="1"/>
        <v>143730</v>
      </c>
      <c r="J652" s="1110"/>
    </row>
    <row r="653" ht="18.75" customHeight="1">
      <c r="A653" s="1110"/>
      <c r="B653" s="1115" t="s">
        <v>5265</v>
      </c>
      <c r="C653" s="1108" t="s">
        <v>4496</v>
      </c>
      <c r="D653" s="1108" t="s">
        <v>5494</v>
      </c>
      <c r="E653" s="1116" t="s">
        <v>5495</v>
      </c>
      <c r="F653" s="1117">
        <v>0.1</v>
      </c>
      <c r="G653" s="1109">
        <v>0.0</v>
      </c>
      <c r="H653" s="1118">
        <v>164700.0</v>
      </c>
      <c r="I653" s="1118">
        <f t="shared" si="1"/>
        <v>149730</v>
      </c>
      <c r="J653" s="1110"/>
    </row>
    <row r="654" ht="18.75" customHeight="1">
      <c r="A654" s="1110"/>
      <c r="B654" s="1115" t="s">
        <v>5265</v>
      </c>
      <c r="C654" s="1108" t="s">
        <v>4496</v>
      </c>
      <c r="D654" s="1108" t="s">
        <v>5496</v>
      </c>
      <c r="E654" s="1116" t="s">
        <v>5497</v>
      </c>
      <c r="F654" s="1117">
        <v>0.1</v>
      </c>
      <c r="G654" s="1109">
        <v>0.0</v>
      </c>
      <c r="H654" s="1118">
        <v>177400.0</v>
      </c>
      <c r="I654" s="1118">
        <f t="shared" si="1"/>
        <v>161270</v>
      </c>
      <c r="J654" s="1110"/>
    </row>
    <row r="655" ht="18.75" customHeight="1">
      <c r="A655" s="1110"/>
      <c r="B655" s="1115" t="s">
        <v>5265</v>
      </c>
      <c r="C655" s="1108" t="s">
        <v>4496</v>
      </c>
      <c r="D655" s="1108" t="s">
        <v>5498</v>
      </c>
      <c r="E655" s="1116" t="s">
        <v>5499</v>
      </c>
      <c r="F655" s="1117">
        <v>0.1</v>
      </c>
      <c r="G655" s="1109">
        <v>0.0</v>
      </c>
      <c r="H655" s="1118">
        <v>193500.0</v>
      </c>
      <c r="I655" s="1118">
        <f t="shared" si="1"/>
        <v>175910</v>
      </c>
      <c r="J655" s="1110"/>
    </row>
    <row r="656" ht="18.75" customHeight="1">
      <c r="A656" s="1110"/>
      <c r="B656" s="1115" t="s">
        <v>5265</v>
      </c>
      <c r="C656" s="1108" t="s">
        <v>4496</v>
      </c>
      <c r="D656" s="1108" t="s">
        <v>5500</v>
      </c>
      <c r="E656" s="1116" t="s">
        <v>5501</v>
      </c>
      <c r="F656" s="1117">
        <v>0.1</v>
      </c>
      <c r="G656" s="1109">
        <v>0.0</v>
      </c>
      <c r="H656" s="1118">
        <v>232500.0</v>
      </c>
      <c r="I656" s="1118">
        <f t="shared" si="1"/>
        <v>211360</v>
      </c>
      <c r="J656" s="1110"/>
    </row>
    <row r="657" ht="18.75" customHeight="1">
      <c r="A657" s="1110"/>
      <c r="B657" s="1115" t="s">
        <v>5265</v>
      </c>
      <c r="C657" s="1108" t="s">
        <v>4496</v>
      </c>
      <c r="D657" s="1108" t="s">
        <v>5502</v>
      </c>
      <c r="E657" s="1116" t="s">
        <v>5503</v>
      </c>
      <c r="F657" s="1117">
        <v>0.1</v>
      </c>
      <c r="G657" s="1109">
        <v>0.0</v>
      </c>
      <c r="H657" s="1118">
        <v>269700.0</v>
      </c>
      <c r="I657" s="1118">
        <f t="shared" si="1"/>
        <v>245180</v>
      </c>
      <c r="J657" s="1110"/>
    </row>
    <row r="658" ht="18.75" customHeight="1">
      <c r="A658" s="1110"/>
      <c r="B658" s="1115" t="s">
        <v>5265</v>
      </c>
      <c r="C658" s="1108" t="s">
        <v>4496</v>
      </c>
      <c r="D658" s="1108" t="s">
        <v>5504</v>
      </c>
      <c r="E658" s="1116" t="s">
        <v>5505</v>
      </c>
      <c r="F658" s="1117">
        <v>0.1</v>
      </c>
      <c r="G658" s="1109">
        <v>0.0</v>
      </c>
      <c r="H658" s="1118">
        <v>275900.0</v>
      </c>
      <c r="I658" s="1118">
        <f t="shared" si="1"/>
        <v>250820</v>
      </c>
      <c r="J658" s="1110"/>
    </row>
    <row r="659" ht="18.75" customHeight="1">
      <c r="A659" s="1110"/>
      <c r="B659" s="1115" t="s">
        <v>5265</v>
      </c>
      <c r="C659" s="1108" t="s">
        <v>4496</v>
      </c>
      <c r="D659" s="1108" t="s">
        <v>5506</v>
      </c>
      <c r="E659" s="1116" t="s">
        <v>5507</v>
      </c>
      <c r="F659" s="1117">
        <v>0.1</v>
      </c>
      <c r="G659" s="1109">
        <v>0.0</v>
      </c>
      <c r="H659" s="1118">
        <v>288400.0</v>
      </c>
      <c r="I659" s="1118">
        <f t="shared" si="1"/>
        <v>262180</v>
      </c>
      <c r="J659" s="1110"/>
    </row>
    <row r="660" ht="18.75" customHeight="1">
      <c r="A660" s="1110"/>
      <c r="B660" s="1115" t="s">
        <v>5265</v>
      </c>
      <c r="C660" s="1108" t="s">
        <v>4496</v>
      </c>
      <c r="D660" s="1108" t="s">
        <v>5508</v>
      </c>
      <c r="E660" s="1116" t="s">
        <v>5509</v>
      </c>
      <c r="F660" s="1117">
        <v>0.1</v>
      </c>
      <c r="G660" s="1109">
        <v>0.0</v>
      </c>
      <c r="H660" s="1118">
        <v>340600.0</v>
      </c>
      <c r="I660" s="1118">
        <f t="shared" si="1"/>
        <v>309640</v>
      </c>
      <c r="J660" s="1110"/>
    </row>
    <row r="661" ht="18.75" customHeight="1">
      <c r="A661" s="1110"/>
      <c r="B661" s="1115" t="s">
        <v>5265</v>
      </c>
      <c r="C661" s="1108" t="s">
        <v>4496</v>
      </c>
      <c r="D661" s="1108" t="s">
        <v>5510</v>
      </c>
      <c r="E661" s="1116" t="s">
        <v>5511</v>
      </c>
      <c r="F661" s="1117">
        <v>0.1</v>
      </c>
      <c r="G661" s="1109">
        <v>0.0</v>
      </c>
      <c r="H661" s="1118">
        <v>347400.0</v>
      </c>
      <c r="I661" s="1118">
        <f t="shared" si="1"/>
        <v>315820</v>
      </c>
      <c r="J661" s="1110"/>
    </row>
    <row r="662" ht="18.75" customHeight="1">
      <c r="A662" s="1110"/>
      <c r="B662" s="1115" t="s">
        <v>5265</v>
      </c>
      <c r="C662" s="1108" t="s">
        <v>4496</v>
      </c>
      <c r="D662" s="1108" t="s">
        <v>5512</v>
      </c>
      <c r="E662" s="1116" t="s">
        <v>5513</v>
      </c>
      <c r="F662" s="1117">
        <v>0.1</v>
      </c>
      <c r="G662" s="1109">
        <v>0.0</v>
      </c>
      <c r="H662" s="1118">
        <v>354200.0</v>
      </c>
      <c r="I662" s="1118">
        <f t="shared" si="1"/>
        <v>322000</v>
      </c>
      <c r="J662" s="1110"/>
    </row>
    <row r="663" ht="18.75" customHeight="1">
      <c r="A663" s="1110"/>
      <c r="B663" s="1115" t="s">
        <v>5265</v>
      </c>
      <c r="C663" s="1108" t="s">
        <v>4496</v>
      </c>
      <c r="D663" s="1108" t="s">
        <v>5514</v>
      </c>
      <c r="E663" s="1116" t="s">
        <v>5515</v>
      </c>
      <c r="F663" s="1117">
        <v>0.1</v>
      </c>
      <c r="G663" s="1109">
        <v>0.0</v>
      </c>
      <c r="H663" s="1118">
        <v>369800.0</v>
      </c>
      <c r="I663" s="1118">
        <f t="shared" si="1"/>
        <v>336180</v>
      </c>
      <c r="J663" s="1110"/>
    </row>
    <row r="664" ht="18.75" customHeight="1">
      <c r="A664" s="1110"/>
      <c r="B664" s="1115" t="s">
        <v>5265</v>
      </c>
      <c r="C664" s="1108" t="s">
        <v>4496</v>
      </c>
      <c r="D664" s="1108" t="s">
        <v>5516</v>
      </c>
      <c r="E664" s="1116" t="s">
        <v>5517</v>
      </c>
      <c r="F664" s="1117">
        <v>0.1</v>
      </c>
      <c r="G664" s="1109">
        <v>0.0</v>
      </c>
      <c r="H664" s="1118">
        <v>426200.0</v>
      </c>
      <c r="I664" s="1118">
        <f t="shared" si="1"/>
        <v>387450</v>
      </c>
      <c r="J664" s="1110"/>
    </row>
    <row r="665" ht="18.75" customHeight="1">
      <c r="A665" s="1110"/>
      <c r="B665" s="1115" t="s">
        <v>5265</v>
      </c>
      <c r="C665" s="1108" t="s">
        <v>4496</v>
      </c>
      <c r="D665" s="1108" t="s">
        <v>5518</v>
      </c>
      <c r="E665" s="1116" t="s">
        <v>5519</v>
      </c>
      <c r="F665" s="1117">
        <v>0.1</v>
      </c>
      <c r="G665" s="1109">
        <v>0.0</v>
      </c>
      <c r="H665" s="1118">
        <v>445200.0</v>
      </c>
      <c r="I665" s="1118">
        <f t="shared" si="1"/>
        <v>404730</v>
      </c>
      <c r="J665" s="1110"/>
    </row>
    <row r="666" ht="18.75" customHeight="1">
      <c r="A666" s="1110"/>
      <c r="B666" s="1115" t="s">
        <v>5265</v>
      </c>
      <c r="C666" s="1108" t="s">
        <v>4496</v>
      </c>
      <c r="D666" s="1108" t="s">
        <v>5520</v>
      </c>
      <c r="E666" s="1116" t="s">
        <v>5521</v>
      </c>
      <c r="F666" s="1117">
        <v>0.1</v>
      </c>
      <c r="G666" s="1109">
        <v>0.0</v>
      </c>
      <c r="H666" s="1118">
        <v>464500.0</v>
      </c>
      <c r="I666" s="1118">
        <f t="shared" si="1"/>
        <v>422270</v>
      </c>
      <c r="J666" s="1110"/>
    </row>
    <row r="667" ht="18.75" customHeight="1">
      <c r="A667" s="1110"/>
      <c r="B667" s="1115" t="s">
        <v>5265</v>
      </c>
      <c r="C667" s="1108" t="s">
        <v>4496</v>
      </c>
      <c r="D667" s="1108" t="s">
        <v>5522</v>
      </c>
      <c r="E667" s="1116" t="s">
        <v>5523</v>
      </c>
      <c r="F667" s="1117">
        <v>0.1</v>
      </c>
      <c r="G667" s="1109">
        <v>0.0</v>
      </c>
      <c r="H667" s="1118">
        <v>116200.0</v>
      </c>
      <c r="I667" s="1118">
        <f t="shared" si="1"/>
        <v>105640</v>
      </c>
      <c r="J667" s="1110"/>
    </row>
    <row r="668" ht="18.75" customHeight="1">
      <c r="A668" s="1110"/>
      <c r="B668" s="1115" t="s">
        <v>5265</v>
      </c>
      <c r="C668" s="1108" t="s">
        <v>4496</v>
      </c>
      <c r="D668" s="1108" t="s">
        <v>5524</v>
      </c>
      <c r="E668" s="1116" t="s">
        <v>5525</v>
      </c>
      <c r="F668" s="1117">
        <v>0.1</v>
      </c>
      <c r="G668" s="1109">
        <v>0.0</v>
      </c>
      <c r="H668" s="1118">
        <v>131000.0</v>
      </c>
      <c r="I668" s="1118">
        <f t="shared" si="1"/>
        <v>119090</v>
      </c>
      <c r="J668" s="1110"/>
    </row>
    <row r="669" ht="18.75" customHeight="1">
      <c r="A669" s="1110"/>
      <c r="B669" s="1115" t="s">
        <v>5265</v>
      </c>
      <c r="C669" s="1108" t="s">
        <v>4496</v>
      </c>
      <c r="D669" s="1108" t="s">
        <v>5526</v>
      </c>
      <c r="E669" s="1116" t="s">
        <v>5527</v>
      </c>
      <c r="F669" s="1117">
        <v>0.1</v>
      </c>
      <c r="G669" s="1109">
        <v>0.0</v>
      </c>
      <c r="H669" s="1118">
        <v>144400.0</v>
      </c>
      <c r="I669" s="1118">
        <f t="shared" si="1"/>
        <v>131270</v>
      </c>
      <c r="J669" s="1110"/>
    </row>
    <row r="670" ht="18.75" customHeight="1">
      <c r="A670" s="1110"/>
      <c r="B670" s="1115" t="s">
        <v>5265</v>
      </c>
      <c r="C670" s="1108" t="s">
        <v>4496</v>
      </c>
      <c r="D670" s="1108" t="s">
        <v>5528</v>
      </c>
      <c r="E670" s="1116" t="s">
        <v>5529</v>
      </c>
      <c r="F670" s="1117">
        <v>0.1</v>
      </c>
      <c r="G670" s="1109">
        <v>0.0</v>
      </c>
      <c r="H670" s="1118">
        <v>150600.0</v>
      </c>
      <c r="I670" s="1118">
        <f t="shared" si="1"/>
        <v>136910</v>
      </c>
      <c r="J670" s="1110"/>
    </row>
    <row r="671" ht="18.75" customHeight="1">
      <c r="A671" s="1110"/>
      <c r="B671" s="1115" t="s">
        <v>5265</v>
      </c>
      <c r="C671" s="1108" t="s">
        <v>4496</v>
      </c>
      <c r="D671" s="1108" t="s">
        <v>5530</v>
      </c>
      <c r="E671" s="1116" t="s">
        <v>5531</v>
      </c>
      <c r="F671" s="1117">
        <v>0.1</v>
      </c>
      <c r="G671" s="1109">
        <v>0.0</v>
      </c>
      <c r="H671" s="1118">
        <v>156400.0</v>
      </c>
      <c r="I671" s="1118">
        <f t="shared" si="1"/>
        <v>142180</v>
      </c>
      <c r="J671" s="1110"/>
    </row>
    <row r="672" ht="18.75" customHeight="1">
      <c r="A672" s="1110"/>
      <c r="B672" s="1115" t="s">
        <v>5265</v>
      </c>
      <c r="C672" s="1108" t="s">
        <v>4496</v>
      </c>
      <c r="D672" s="1108" t="s">
        <v>5532</v>
      </c>
      <c r="E672" s="1116" t="s">
        <v>5533</v>
      </c>
      <c r="F672" s="1117">
        <v>0.1</v>
      </c>
      <c r="G672" s="1109">
        <v>0.0</v>
      </c>
      <c r="H672" s="1118">
        <v>174900.0</v>
      </c>
      <c r="I672" s="1118">
        <f t="shared" si="1"/>
        <v>159000</v>
      </c>
      <c r="J672" s="1110"/>
    </row>
    <row r="673" ht="18.75" customHeight="1">
      <c r="A673" s="1110"/>
      <c r="B673" s="1115" t="s">
        <v>5265</v>
      </c>
      <c r="C673" s="1108" t="s">
        <v>4496</v>
      </c>
      <c r="D673" s="1108" t="s">
        <v>5534</v>
      </c>
      <c r="E673" s="1116" t="s">
        <v>5535</v>
      </c>
      <c r="F673" s="1117">
        <v>0.1</v>
      </c>
      <c r="G673" s="1109">
        <v>0.0</v>
      </c>
      <c r="H673" s="1118">
        <v>183600.0</v>
      </c>
      <c r="I673" s="1118">
        <f t="shared" si="1"/>
        <v>166910</v>
      </c>
      <c r="J673" s="1110"/>
    </row>
    <row r="674" ht="18.75" customHeight="1">
      <c r="A674" s="1110"/>
      <c r="B674" s="1115" t="s">
        <v>5265</v>
      </c>
      <c r="C674" s="1108" t="s">
        <v>4496</v>
      </c>
      <c r="D674" s="1108" t="s">
        <v>5536</v>
      </c>
      <c r="E674" s="1116" t="s">
        <v>5537</v>
      </c>
      <c r="F674" s="1117">
        <v>0.1</v>
      </c>
      <c r="G674" s="1109">
        <v>0.0</v>
      </c>
      <c r="H674" s="1118">
        <v>190900.0</v>
      </c>
      <c r="I674" s="1118">
        <f t="shared" si="1"/>
        <v>173550</v>
      </c>
      <c r="J674" s="1110"/>
    </row>
    <row r="675" ht="18.75" customHeight="1">
      <c r="A675" s="1110"/>
      <c r="B675" s="1115" t="s">
        <v>5265</v>
      </c>
      <c r="C675" s="1108" t="s">
        <v>4496</v>
      </c>
      <c r="D675" s="1108" t="s">
        <v>5538</v>
      </c>
      <c r="E675" s="1116" t="s">
        <v>5539</v>
      </c>
      <c r="F675" s="1117">
        <v>0.1</v>
      </c>
      <c r="G675" s="1109">
        <v>0.0</v>
      </c>
      <c r="H675" s="1118">
        <v>201100.0</v>
      </c>
      <c r="I675" s="1118">
        <f t="shared" si="1"/>
        <v>182820</v>
      </c>
      <c r="J675" s="1110"/>
    </row>
    <row r="676" ht="18.75" customHeight="1">
      <c r="A676" s="1110"/>
      <c r="B676" s="1115" t="s">
        <v>5265</v>
      </c>
      <c r="C676" s="1108" t="s">
        <v>4496</v>
      </c>
      <c r="D676" s="1108" t="s">
        <v>5540</v>
      </c>
      <c r="E676" s="1116" t="s">
        <v>5541</v>
      </c>
      <c r="F676" s="1117">
        <v>0.1</v>
      </c>
      <c r="G676" s="1109">
        <v>0.0</v>
      </c>
      <c r="H676" s="1118">
        <v>220000.0</v>
      </c>
      <c r="I676" s="1118">
        <f t="shared" si="1"/>
        <v>200000</v>
      </c>
      <c r="J676" s="1110"/>
    </row>
    <row r="677" ht="18.75" customHeight="1">
      <c r="A677" s="1110"/>
      <c r="B677" s="1115" t="s">
        <v>5265</v>
      </c>
      <c r="C677" s="1108" t="s">
        <v>4496</v>
      </c>
      <c r="D677" s="1108" t="s">
        <v>5542</v>
      </c>
      <c r="E677" s="1116" t="s">
        <v>5543</v>
      </c>
      <c r="F677" s="1117">
        <v>0.1</v>
      </c>
      <c r="G677" s="1109">
        <v>0.0</v>
      </c>
      <c r="H677" s="1118">
        <v>228800.0</v>
      </c>
      <c r="I677" s="1118">
        <f t="shared" si="1"/>
        <v>208000</v>
      </c>
      <c r="J677" s="1110"/>
    </row>
    <row r="678" ht="18.75" customHeight="1">
      <c r="A678" s="1110"/>
      <c r="B678" s="1115" t="s">
        <v>5265</v>
      </c>
      <c r="C678" s="1108" t="s">
        <v>4496</v>
      </c>
      <c r="D678" s="1108" t="s">
        <v>5544</v>
      </c>
      <c r="E678" s="1116" t="s">
        <v>5545</v>
      </c>
      <c r="F678" s="1117">
        <v>0.1</v>
      </c>
      <c r="G678" s="1109">
        <v>0.0</v>
      </c>
      <c r="H678" s="1118">
        <v>236600.0</v>
      </c>
      <c r="I678" s="1118">
        <f t="shared" si="1"/>
        <v>215090</v>
      </c>
      <c r="J678" s="1110"/>
    </row>
    <row r="679" ht="18.75" customHeight="1">
      <c r="A679" s="1110"/>
      <c r="B679" s="1115" t="s">
        <v>5265</v>
      </c>
      <c r="C679" s="1108" t="s">
        <v>4496</v>
      </c>
      <c r="D679" s="1108" t="s">
        <v>5546</v>
      </c>
      <c r="E679" s="1116" t="s">
        <v>5547</v>
      </c>
      <c r="F679" s="1117">
        <v>0.1</v>
      </c>
      <c r="G679" s="1109">
        <v>0.0</v>
      </c>
      <c r="H679" s="1118">
        <v>253700.0</v>
      </c>
      <c r="I679" s="1118">
        <f t="shared" si="1"/>
        <v>230640</v>
      </c>
      <c r="J679" s="1110"/>
    </row>
    <row r="680" ht="18.75" customHeight="1">
      <c r="A680" s="1110"/>
      <c r="B680" s="1115" t="s">
        <v>5265</v>
      </c>
      <c r="C680" s="1108" t="s">
        <v>4496</v>
      </c>
      <c r="D680" s="1108" t="s">
        <v>5548</v>
      </c>
      <c r="E680" s="1116" t="s">
        <v>5549</v>
      </c>
      <c r="F680" s="1117">
        <v>0.1</v>
      </c>
      <c r="G680" s="1109">
        <v>0.0</v>
      </c>
      <c r="H680" s="1118">
        <v>273500.0</v>
      </c>
      <c r="I680" s="1118">
        <f t="shared" si="1"/>
        <v>248640</v>
      </c>
      <c r="J680" s="1110"/>
    </row>
    <row r="681" ht="18.75" customHeight="1">
      <c r="A681" s="1110"/>
      <c r="B681" s="1115" t="s">
        <v>5265</v>
      </c>
      <c r="C681" s="1108" t="s">
        <v>4496</v>
      </c>
      <c r="D681" s="1108" t="s">
        <v>5550</v>
      </c>
      <c r="E681" s="1116" t="s">
        <v>5551</v>
      </c>
      <c r="F681" s="1117">
        <v>0.1</v>
      </c>
      <c r="G681" s="1109">
        <v>0.0</v>
      </c>
      <c r="H681" s="1118">
        <v>290000.0</v>
      </c>
      <c r="I681" s="1118">
        <f t="shared" si="1"/>
        <v>263640</v>
      </c>
      <c r="J681" s="1110"/>
    </row>
    <row r="682" ht="18.75" customHeight="1">
      <c r="A682" s="1110"/>
      <c r="B682" s="1115" t="s">
        <v>5265</v>
      </c>
      <c r="C682" s="1108" t="s">
        <v>4496</v>
      </c>
      <c r="D682" s="1108" t="s">
        <v>5552</v>
      </c>
      <c r="E682" s="1116" t="s">
        <v>5553</v>
      </c>
      <c r="F682" s="1117">
        <v>0.1</v>
      </c>
      <c r="G682" s="1109">
        <v>0.0</v>
      </c>
      <c r="H682" s="1118">
        <v>291600.0</v>
      </c>
      <c r="I682" s="1118">
        <f t="shared" si="1"/>
        <v>265090</v>
      </c>
      <c r="J682" s="1110"/>
    </row>
    <row r="683" ht="18.75" customHeight="1">
      <c r="A683" s="1110"/>
      <c r="B683" s="1115" t="s">
        <v>5265</v>
      </c>
      <c r="C683" s="1108" t="s">
        <v>4496</v>
      </c>
      <c r="D683" s="1108" t="s">
        <v>5554</v>
      </c>
      <c r="E683" s="1116" t="s">
        <v>5555</v>
      </c>
      <c r="F683" s="1117">
        <v>0.1</v>
      </c>
      <c r="G683" s="1109">
        <v>0.0</v>
      </c>
      <c r="H683" s="1118">
        <v>302400.0</v>
      </c>
      <c r="I683" s="1118">
        <f t="shared" si="1"/>
        <v>274910</v>
      </c>
      <c r="J683" s="1110"/>
    </row>
    <row r="684" ht="18.75" customHeight="1">
      <c r="A684" s="1110"/>
      <c r="B684" s="1115" t="s">
        <v>5265</v>
      </c>
      <c r="C684" s="1108" t="s">
        <v>4496</v>
      </c>
      <c r="D684" s="1108" t="s">
        <v>5556</v>
      </c>
      <c r="E684" s="1116" t="s">
        <v>5557</v>
      </c>
      <c r="F684" s="1117">
        <v>0.1</v>
      </c>
      <c r="G684" s="1109">
        <v>0.0</v>
      </c>
      <c r="H684" s="1118">
        <v>326700.0</v>
      </c>
      <c r="I684" s="1118">
        <f t="shared" si="1"/>
        <v>297000</v>
      </c>
      <c r="J684" s="1110"/>
    </row>
    <row r="685" ht="18.75" customHeight="1">
      <c r="A685" s="1110"/>
      <c r="B685" s="1115" t="s">
        <v>5265</v>
      </c>
      <c r="C685" s="1108" t="s">
        <v>4496</v>
      </c>
      <c r="D685" s="1108" t="s">
        <v>5558</v>
      </c>
      <c r="E685" s="1116" t="s">
        <v>5559</v>
      </c>
      <c r="F685" s="1117">
        <v>0.1</v>
      </c>
      <c r="G685" s="1109">
        <v>0.0</v>
      </c>
      <c r="H685" s="1118">
        <v>388500.0</v>
      </c>
      <c r="I685" s="1118">
        <f t="shared" si="1"/>
        <v>353180</v>
      </c>
      <c r="J685" s="1110"/>
    </row>
    <row r="686" ht="18.75" customHeight="1">
      <c r="A686" s="1110"/>
      <c r="B686" s="1115" t="s">
        <v>5265</v>
      </c>
      <c r="C686" s="1108" t="s">
        <v>4496</v>
      </c>
      <c r="D686" s="1108" t="s">
        <v>5560</v>
      </c>
      <c r="E686" s="1116" t="s">
        <v>5561</v>
      </c>
      <c r="F686" s="1117">
        <v>0.1</v>
      </c>
      <c r="G686" s="1109">
        <v>0.0</v>
      </c>
      <c r="H686" s="1118">
        <v>422200.0</v>
      </c>
      <c r="I686" s="1118">
        <f t="shared" si="1"/>
        <v>383820</v>
      </c>
      <c r="J686" s="1110"/>
    </row>
    <row r="687" ht="18.75" customHeight="1">
      <c r="A687" s="1110"/>
      <c r="B687" s="1115" t="s">
        <v>5265</v>
      </c>
      <c r="C687" s="1108" t="s">
        <v>4496</v>
      </c>
      <c r="D687" s="1108" t="s">
        <v>5562</v>
      </c>
      <c r="E687" s="1116" t="s">
        <v>5563</v>
      </c>
      <c r="F687" s="1117">
        <v>0.1</v>
      </c>
      <c r="G687" s="1109">
        <v>0.0</v>
      </c>
      <c r="H687" s="1118">
        <v>431400.0</v>
      </c>
      <c r="I687" s="1118">
        <f t="shared" si="1"/>
        <v>392180</v>
      </c>
      <c r="J687" s="1110"/>
    </row>
    <row r="688" ht="18.75" customHeight="1">
      <c r="A688" s="1110"/>
      <c r="B688" s="1115" t="s">
        <v>5265</v>
      </c>
      <c r="C688" s="1108" t="s">
        <v>4496</v>
      </c>
      <c r="D688" s="1108" t="s">
        <v>5564</v>
      </c>
      <c r="E688" s="1116" t="s">
        <v>5565</v>
      </c>
      <c r="F688" s="1117">
        <v>0.1</v>
      </c>
      <c r="G688" s="1109">
        <v>0.0</v>
      </c>
      <c r="H688" s="1118">
        <v>449700.0</v>
      </c>
      <c r="I688" s="1118">
        <f t="shared" si="1"/>
        <v>408820</v>
      </c>
      <c r="J688" s="1110"/>
    </row>
    <row r="689" ht="18.75" customHeight="1">
      <c r="A689" s="1110"/>
      <c r="B689" s="1115" t="s">
        <v>5265</v>
      </c>
      <c r="C689" s="1108" t="s">
        <v>4496</v>
      </c>
      <c r="D689" s="1108" t="s">
        <v>5566</v>
      </c>
      <c r="E689" s="1116" t="s">
        <v>5567</v>
      </c>
      <c r="F689" s="1117">
        <v>0.1</v>
      </c>
      <c r="G689" s="1109">
        <v>0.0</v>
      </c>
      <c r="H689" s="1118">
        <v>520300.0</v>
      </c>
      <c r="I689" s="1118">
        <f t="shared" si="1"/>
        <v>473000</v>
      </c>
      <c r="J689" s="1110"/>
    </row>
    <row r="690" ht="18.75" customHeight="1">
      <c r="A690" s="1110"/>
      <c r="B690" s="1115" t="s">
        <v>5265</v>
      </c>
      <c r="C690" s="1108" t="s">
        <v>4496</v>
      </c>
      <c r="D690" s="1108" t="s">
        <v>5568</v>
      </c>
      <c r="E690" s="1116" t="s">
        <v>5569</v>
      </c>
      <c r="F690" s="1117">
        <v>0.1</v>
      </c>
      <c r="G690" s="1109">
        <v>0.0</v>
      </c>
      <c r="H690" s="1118">
        <v>536500.0</v>
      </c>
      <c r="I690" s="1118">
        <f t="shared" si="1"/>
        <v>487730</v>
      </c>
      <c r="J690" s="1110"/>
    </row>
    <row r="691" ht="18.75" customHeight="1">
      <c r="A691" s="1110"/>
      <c r="B691" s="1115" t="s">
        <v>5265</v>
      </c>
      <c r="C691" s="1108" t="s">
        <v>4496</v>
      </c>
      <c r="D691" s="1108" t="s">
        <v>5570</v>
      </c>
      <c r="E691" s="1116" t="s">
        <v>5571</v>
      </c>
      <c r="F691" s="1117">
        <v>0.1</v>
      </c>
      <c r="G691" s="1109">
        <v>0.0</v>
      </c>
      <c r="H691" s="1118">
        <v>556800.0</v>
      </c>
      <c r="I691" s="1118">
        <f t="shared" si="1"/>
        <v>506180</v>
      </c>
      <c r="J691" s="1110"/>
    </row>
    <row r="692" ht="18.75" customHeight="1">
      <c r="A692" s="1110"/>
      <c r="B692" s="1115" t="s">
        <v>5265</v>
      </c>
      <c r="C692" s="1108" t="s">
        <v>4496</v>
      </c>
      <c r="D692" s="1108" t="s">
        <v>5572</v>
      </c>
      <c r="E692" s="1116" t="s">
        <v>5573</v>
      </c>
      <c r="F692" s="1117">
        <v>0.1</v>
      </c>
      <c r="G692" s="1109">
        <v>0.0</v>
      </c>
      <c r="H692" s="1118">
        <v>922600.0</v>
      </c>
      <c r="I692" s="1118">
        <f t="shared" si="1"/>
        <v>838730</v>
      </c>
      <c r="J692" s="1110"/>
    </row>
    <row r="693" ht="18.75" customHeight="1">
      <c r="A693" s="1110"/>
      <c r="B693" s="1115" t="s">
        <v>5265</v>
      </c>
      <c r="C693" s="1108" t="s">
        <v>4496</v>
      </c>
      <c r="D693" s="1108" t="s">
        <v>5574</v>
      </c>
      <c r="E693" s="1116" t="s">
        <v>5575</v>
      </c>
      <c r="F693" s="1117">
        <v>0.1</v>
      </c>
      <c r="G693" s="1109">
        <v>0.0</v>
      </c>
      <c r="H693" s="1118">
        <v>680800.0</v>
      </c>
      <c r="I693" s="1118">
        <f t="shared" si="1"/>
        <v>618910</v>
      </c>
      <c r="J693" s="1110"/>
    </row>
    <row r="694" ht="18.75" customHeight="1">
      <c r="A694" s="1110"/>
      <c r="B694" s="1115" t="s">
        <v>5265</v>
      </c>
      <c r="C694" s="1108" t="s">
        <v>4496</v>
      </c>
      <c r="D694" s="1108" t="s">
        <v>5576</v>
      </c>
      <c r="E694" s="1116" t="s">
        <v>5577</v>
      </c>
      <c r="F694" s="1117">
        <v>0.1</v>
      </c>
      <c r="G694" s="1109">
        <v>0.0</v>
      </c>
      <c r="H694" s="1118">
        <v>712400.0</v>
      </c>
      <c r="I694" s="1118">
        <f t="shared" si="1"/>
        <v>647640</v>
      </c>
      <c r="J694" s="1110"/>
    </row>
    <row r="695" ht="18.75" customHeight="1">
      <c r="A695" s="1110"/>
      <c r="B695" s="1115" t="s">
        <v>5265</v>
      </c>
      <c r="C695" s="1108" t="s">
        <v>4496</v>
      </c>
      <c r="D695" s="1108" t="s">
        <v>5578</v>
      </c>
      <c r="E695" s="1116" t="s">
        <v>5579</v>
      </c>
      <c r="F695" s="1117">
        <v>0.1</v>
      </c>
      <c r="G695" s="1109">
        <v>0.0</v>
      </c>
      <c r="H695" s="1118">
        <v>766400.0</v>
      </c>
      <c r="I695" s="1118">
        <f t="shared" si="1"/>
        <v>696730</v>
      </c>
      <c r="J695" s="1110"/>
    </row>
    <row r="696" ht="18.75" customHeight="1">
      <c r="A696" s="1110"/>
      <c r="B696" s="1115" t="s">
        <v>5265</v>
      </c>
      <c r="C696" s="1108" t="s">
        <v>4496</v>
      </c>
      <c r="D696" s="1108" t="s">
        <v>5580</v>
      </c>
      <c r="E696" s="1116" t="s">
        <v>5581</v>
      </c>
      <c r="F696" s="1117">
        <v>0.1</v>
      </c>
      <c r="G696" s="1109">
        <v>0.0</v>
      </c>
      <c r="H696" s="1118">
        <v>159400.0</v>
      </c>
      <c r="I696" s="1118">
        <f t="shared" si="1"/>
        <v>144910</v>
      </c>
      <c r="J696" s="1110"/>
    </row>
    <row r="697" ht="18.75" customHeight="1">
      <c r="A697" s="1110"/>
      <c r="B697" s="1115" t="s">
        <v>5265</v>
      </c>
      <c r="C697" s="1108" t="s">
        <v>4496</v>
      </c>
      <c r="D697" s="1108" t="s">
        <v>5582</v>
      </c>
      <c r="E697" s="1116" t="s">
        <v>5583</v>
      </c>
      <c r="F697" s="1117">
        <v>0.1</v>
      </c>
      <c r="G697" s="1109">
        <v>0.0</v>
      </c>
      <c r="H697" s="1118">
        <v>179600.0</v>
      </c>
      <c r="I697" s="1118">
        <f t="shared" si="1"/>
        <v>163270</v>
      </c>
      <c r="J697" s="1110"/>
    </row>
    <row r="698" ht="18.75" customHeight="1">
      <c r="A698" s="1110"/>
      <c r="B698" s="1115" t="s">
        <v>5265</v>
      </c>
      <c r="C698" s="1108" t="s">
        <v>4496</v>
      </c>
      <c r="D698" s="1108" t="s">
        <v>5584</v>
      </c>
      <c r="E698" s="1116" t="s">
        <v>5585</v>
      </c>
      <c r="F698" s="1117">
        <v>0.1</v>
      </c>
      <c r="G698" s="1109">
        <v>0.0</v>
      </c>
      <c r="H698" s="1118">
        <v>197900.0</v>
      </c>
      <c r="I698" s="1118">
        <f t="shared" si="1"/>
        <v>179910</v>
      </c>
      <c r="J698" s="1110"/>
    </row>
    <row r="699" ht="18.75" customHeight="1">
      <c r="A699" s="1110"/>
      <c r="B699" s="1115" t="s">
        <v>5265</v>
      </c>
      <c r="C699" s="1108" t="s">
        <v>4496</v>
      </c>
      <c r="D699" s="1108" t="s">
        <v>5586</v>
      </c>
      <c r="E699" s="1116" t="s">
        <v>5587</v>
      </c>
      <c r="F699" s="1117">
        <v>0.1</v>
      </c>
      <c r="G699" s="1109">
        <v>0.0</v>
      </c>
      <c r="H699" s="1118">
        <v>206600.0</v>
      </c>
      <c r="I699" s="1118">
        <f t="shared" si="1"/>
        <v>187820</v>
      </c>
      <c r="J699" s="1110"/>
    </row>
    <row r="700" ht="18.75" customHeight="1">
      <c r="A700" s="1110"/>
      <c r="B700" s="1115" t="s">
        <v>5265</v>
      </c>
      <c r="C700" s="1108" t="s">
        <v>4496</v>
      </c>
      <c r="D700" s="1108" t="s">
        <v>5588</v>
      </c>
      <c r="E700" s="1116" t="s">
        <v>5589</v>
      </c>
      <c r="F700" s="1117">
        <v>0.1</v>
      </c>
      <c r="G700" s="1109">
        <v>0.0</v>
      </c>
      <c r="H700" s="1118">
        <v>214500.0</v>
      </c>
      <c r="I700" s="1118">
        <f t="shared" si="1"/>
        <v>195000</v>
      </c>
      <c r="J700" s="1110"/>
    </row>
    <row r="701" ht="18.75" customHeight="1">
      <c r="A701" s="1110"/>
      <c r="B701" s="1115" t="s">
        <v>5265</v>
      </c>
      <c r="C701" s="1108" t="s">
        <v>4496</v>
      </c>
      <c r="D701" s="1108" t="s">
        <v>5590</v>
      </c>
      <c r="E701" s="1116" t="s">
        <v>5591</v>
      </c>
      <c r="F701" s="1117">
        <v>0.1</v>
      </c>
      <c r="G701" s="1109">
        <v>0.0</v>
      </c>
      <c r="H701" s="1118">
        <v>239900.0</v>
      </c>
      <c r="I701" s="1118">
        <f t="shared" si="1"/>
        <v>218090</v>
      </c>
      <c r="J701" s="1110"/>
    </row>
    <row r="702" ht="18.75" customHeight="1">
      <c r="A702" s="1110"/>
      <c r="B702" s="1115" t="s">
        <v>5265</v>
      </c>
      <c r="C702" s="1108" t="s">
        <v>4496</v>
      </c>
      <c r="D702" s="1108" t="s">
        <v>5592</v>
      </c>
      <c r="E702" s="1116" t="s">
        <v>5593</v>
      </c>
      <c r="F702" s="1117">
        <v>0.1</v>
      </c>
      <c r="G702" s="1109">
        <v>0.0</v>
      </c>
      <c r="H702" s="1118">
        <v>251800.0</v>
      </c>
      <c r="I702" s="1118">
        <f t="shared" si="1"/>
        <v>228910</v>
      </c>
      <c r="J702" s="1110"/>
    </row>
    <row r="703" ht="18.75" customHeight="1">
      <c r="A703" s="1110"/>
      <c r="B703" s="1115" t="s">
        <v>5265</v>
      </c>
      <c r="C703" s="1108" t="s">
        <v>4496</v>
      </c>
      <c r="D703" s="1108" t="s">
        <v>5594</v>
      </c>
      <c r="E703" s="1116" t="s">
        <v>5595</v>
      </c>
      <c r="F703" s="1117">
        <v>0.1</v>
      </c>
      <c r="G703" s="1109">
        <v>0.0</v>
      </c>
      <c r="H703" s="1118">
        <v>268500.0</v>
      </c>
      <c r="I703" s="1118">
        <f t="shared" si="1"/>
        <v>244090</v>
      </c>
      <c r="J703" s="1110"/>
    </row>
    <row r="704" ht="18.75" customHeight="1">
      <c r="A704" s="1110"/>
      <c r="B704" s="1115" t="s">
        <v>5265</v>
      </c>
      <c r="C704" s="1108" t="s">
        <v>4496</v>
      </c>
      <c r="D704" s="1108" t="s">
        <v>5596</v>
      </c>
      <c r="E704" s="1116" t="s">
        <v>5597</v>
      </c>
      <c r="F704" s="1117">
        <v>0.1</v>
      </c>
      <c r="G704" s="1109">
        <v>0.0</v>
      </c>
      <c r="H704" s="1118">
        <v>279000.0</v>
      </c>
      <c r="I704" s="1118">
        <f t="shared" si="1"/>
        <v>253640</v>
      </c>
      <c r="J704" s="1110"/>
    </row>
    <row r="705" ht="18.75" customHeight="1">
      <c r="A705" s="1110"/>
      <c r="B705" s="1115" t="s">
        <v>5265</v>
      </c>
      <c r="C705" s="1108" t="s">
        <v>4496</v>
      </c>
      <c r="D705" s="1108" t="s">
        <v>5598</v>
      </c>
      <c r="E705" s="1116" t="s">
        <v>5599</v>
      </c>
      <c r="F705" s="1117">
        <v>0.1</v>
      </c>
      <c r="G705" s="1109">
        <v>0.0</v>
      </c>
      <c r="H705" s="1118">
        <v>301800.0</v>
      </c>
      <c r="I705" s="1118">
        <f t="shared" si="1"/>
        <v>274360</v>
      </c>
      <c r="J705" s="1110"/>
    </row>
    <row r="706" ht="18.75" customHeight="1">
      <c r="A706" s="1110"/>
      <c r="B706" s="1115" t="s">
        <v>5265</v>
      </c>
      <c r="C706" s="1108" t="s">
        <v>4496</v>
      </c>
      <c r="D706" s="1108" t="s">
        <v>5600</v>
      </c>
      <c r="E706" s="1116" t="s">
        <v>5601</v>
      </c>
      <c r="F706" s="1117">
        <v>0.1</v>
      </c>
      <c r="G706" s="1109">
        <v>0.0</v>
      </c>
      <c r="H706" s="1118">
        <v>311500.0</v>
      </c>
      <c r="I706" s="1118">
        <f t="shared" si="1"/>
        <v>283180</v>
      </c>
      <c r="J706" s="1110"/>
    </row>
    <row r="707" ht="18.75" customHeight="1">
      <c r="A707" s="1110"/>
      <c r="B707" s="1115" t="s">
        <v>5265</v>
      </c>
      <c r="C707" s="1108" t="s">
        <v>4496</v>
      </c>
      <c r="D707" s="1108" t="s">
        <v>5602</v>
      </c>
      <c r="E707" s="1116" t="s">
        <v>5603</v>
      </c>
      <c r="F707" s="1117">
        <v>0.1</v>
      </c>
      <c r="G707" s="1109">
        <v>0.0</v>
      </c>
      <c r="H707" s="1118">
        <v>324100.0</v>
      </c>
      <c r="I707" s="1118">
        <f t="shared" si="1"/>
        <v>294640</v>
      </c>
      <c r="J707" s="1110"/>
    </row>
    <row r="708" ht="18.75" customHeight="1">
      <c r="A708" s="1110"/>
      <c r="B708" s="1115" t="s">
        <v>5265</v>
      </c>
      <c r="C708" s="1108" t="s">
        <v>4496</v>
      </c>
      <c r="D708" s="1108" t="s">
        <v>5604</v>
      </c>
      <c r="E708" s="1116" t="s">
        <v>5605</v>
      </c>
      <c r="F708" s="1117">
        <v>0.1</v>
      </c>
      <c r="G708" s="1109">
        <v>0.0</v>
      </c>
      <c r="H708" s="1118">
        <v>344600.0</v>
      </c>
      <c r="I708" s="1118">
        <f t="shared" si="1"/>
        <v>313270</v>
      </c>
      <c r="J708" s="1110"/>
    </row>
    <row r="709" ht="18.75" customHeight="1">
      <c r="A709" s="1110"/>
      <c r="B709" s="1115" t="s">
        <v>5265</v>
      </c>
      <c r="C709" s="1108" t="s">
        <v>4496</v>
      </c>
      <c r="D709" s="1108" t="s">
        <v>5606</v>
      </c>
      <c r="E709" s="1116" t="s">
        <v>5607</v>
      </c>
      <c r="F709" s="1117">
        <v>0.1</v>
      </c>
      <c r="G709" s="1109">
        <v>0.0</v>
      </c>
      <c r="H709" s="1118">
        <v>369100.0</v>
      </c>
      <c r="I709" s="1118">
        <f t="shared" si="1"/>
        <v>335550</v>
      </c>
      <c r="J709" s="1110"/>
    </row>
    <row r="710" ht="18.75" customHeight="1">
      <c r="A710" s="1110"/>
      <c r="B710" s="1115" t="s">
        <v>5265</v>
      </c>
      <c r="C710" s="1108" t="s">
        <v>4496</v>
      </c>
      <c r="D710" s="1108" t="s">
        <v>5608</v>
      </c>
      <c r="E710" s="1116" t="s">
        <v>5609</v>
      </c>
      <c r="F710" s="1117">
        <v>0.1</v>
      </c>
      <c r="G710" s="1109">
        <v>0.0</v>
      </c>
      <c r="H710" s="1118">
        <v>384900.0</v>
      </c>
      <c r="I710" s="1118">
        <f t="shared" si="1"/>
        <v>349910</v>
      </c>
      <c r="J710" s="1110"/>
    </row>
    <row r="711" ht="18.75" customHeight="1">
      <c r="A711" s="1110"/>
      <c r="B711" s="1115" t="s">
        <v>5265</v>
      </c>
      <c r="C711" s="1108" t="s">
        <v>4496</v>
      </c>
      <c r="D711" s="1108" t="s">
        <v>5610</v>
      </c>
      <c r="E711" s="1116" t="s">
        <v>5611</v>
      </c>
      <c r="F711" s="1117">
        <v>0.1</v>
      </c>
      <c r="G711" s="1109">
        <v>0.0</v>
      </c>
      <c r="H711" s="1118">
        <v>388300.0</v>
      </c>
      <c r="I711" s="1118">
        <f t="shared" si="1"/>
        <v>353000</v>
      </c>
      <c r="J711" s="1110"/>
    </row>
    <row r="712" ht="18.75" customHeight="1">
      <c r="A712" s="1110"/>
      <c r="B712" s="1115" t="s">
        <v>5265</v>
      </c>
      <c r="C712" s="1108" t="s">
        <v>4496</v>
      </c>
      <c r="D712" s="1108" t="s">
        <v>5612</v>
      </c>
      <c r="E712" s="1116" t="s">
        <v>5613</v>
      </c>
      <c r="F712" s="1117">
        <v>0.1</v>
      </c>
      <c r="G712" s="1109">
        <v>0.0</v>
      </c>
      <c r="H712" s="1118">
        <v>402100.0</v>
      </c>
      <c r="I712" s="1118">
        <f t="shared" si="1"/>
        <v>365550</v>
      </c>
      <c r="J712" s="1110"/>
    </row>
    <row r="713" ht="18.75" customHeight="1">
      <c r="A713" s="1110"/>
      <c r="B713" s="1115" t="s">
        <v>5265</v>
      </c>
      <c r="C713" s="1108" t="s">
        <v>4496</v>
      </c>
      <c r="D713" s="1108" t="s">
        <v>5614</v>
      </c>
      <c r="E713" s="1116" t="s">
        <v>5615</v>
      </c>
      <c r="F713" s="1117">
        <v>0.1</v>
      </c>
      <c r="G713" s="1109">
        <v>0.0</v>
      </c>
      <c r="H713" s="1118">
        <v>432600.0</v>
      </c>
      <c r="I713" s="1118">
        <f t="shared" si="1"/>
        <v>393270</v>
      </c>
      <c r="J713" s="1110"/>
    </row>
    <row r="714" ht="18.75" customHeight="1">
      <c r="A714" s="1110"/>
      <c r="B714" s="1115" t="s">
        <v>5265</v>
      </c>
      <c r="C714" s="1108" t="s">
        <v>4496</v>
      </c>
      <c r="D714" s="1108" t="s">
        <v>5616</v>
      </c>
      <c r="E714" s="1116" t="s">
        <v>5617</v>
      </c>
      <c r="F714" s="1117">
        <v>0.1</v>
      </c>
      <c r="G714" s="1109">
        <v>0.0</v>
      </c>
      <c r="H714" s="1118">
        <v>476900.0</v>
      </c>
      <c r="I714" s="1118">
        <f t="shared" si="1"/>
        <v>433550</v>
      </c>
      <c r="J714" s="1110"/>
    </row>
    <row r="715" ht="18.75" customHeight="1">
      <c r="A715" s="1110"/>
      <c r="B715" s="1115" t="s">
        <v>5265</v>
      </c>
      <c r="C715" s="1108" t="s">
        <v>4496</v>
      </c>
      <c r="D715" s="1108" t="s">
        <v>5618</v>
      </c>
      <c r="E715" s="1116" t="s">
        <v>5619</v>
      </c>
      <c r="F715" s="1117">
        <v>0.1</v>
      </c>
      <c r="G715" s="1109">
        <v>0.0</v>
      </c>
      <c r="H715" s="1118">
        <v>487100.0</v>
      </c>
      <c r="I715" s="1118">
        <f t="shared" si="1"/>
        <v>442820</v>
      </c>
      <c r="J715" s="1110"/>
    </row>
    <row r="716" ht="18.75" customHeight="1">
      <c r="A716" s="1110"/>
      <c r="B716" s="1115" t="s">
        <v>5265</v>
      </c>
      <c r="C716" s="1108" t="s">
        <v>4496</v>
      </c>
      <c r="D716" s="1108" t="s">
        <v>5620</v>
      </c>
      <c r="E716" s="1116" t="s">
        <v>5621</v>
      </c>
      <c r="F716" s="1117">
        <v>0.1</v>
      </c>
      <c r="G716" s="1109">
        <v>0.0</v>
      </c>
      <c r="H716" s="1118">
        <v>497400.0</v>
      </c>
      <c r="I716" s="1118">
        <f t="shared" si="1"/>
        <v>452180</v>
      </c>
      <c r="J716" s="1110"/>
    </row>
    <row r="717" ht="18.75" customHeight="1">
      <c r="A717" s="1110"/>
      <c r="B717" s="1115" t="s">
        <v>5265</v>
      </c>
      <c r="C717" s="1108" t="s">
        <v>4496</v>
      </c>
      <c r="D717" s="1108" t="s">
        <v>5622</v>
      </c>
      <c r="E717" s="1116" t="s">
        <v>5623</v>
      </c>
      <c r="F717" s="1117">
        <v>0.1</v>
      </c>
      <c r="G717" s="1109">
        <v>0.0</v>
      </c>
      <c r="H717" s="1118">
        <v>517700.0</v>
      </c>
      <c r="I717" s="1118">
        <f t="shared" si="1"/>
        <v>470640</v>
      </c>
      <c r="J717" s="1110"/>
    </row>
    <row r="718" ht="18.75" customHeight="1">
      <c r="A718" s="1110"/>
      <c r="B718" s="1115" t="s">
        <v>5265</v>
      </c>
      <c r="C718" s="1108" t="s">
        <v>4496</v>
      </c>
      <c r="D718" s="1108" t="s">
        <v>5624</v>
      </c>
      <c r="E718" s="1116" t="s">
        <v>5625</v>
      </c>
      <c r="F718" s="1117">
        <v>0.1</v>
      </c>
      <c r="G718" s="1109">
        <v>0.0</v>
      </c>
      <c r="H718" s="1118">
        <v>639300.0</v>
      </c>
      <c r="I718" s="1118">
        <f t="shared" si="1"/>
        <v>581180</v>
      </c>
      <c r="J718" s="1110"/>
    </row>
    <row r="719" ht="18.75" customHeight="1">
      <c r="A719" s="1110"/>
      <c r="B719" s="1115" t="s">
        <v>5265</v>
      </c>
      <c r="C719" s="1108" t="s">
        <v>4496</v>
      </c>
      <c r="D719" s="1108" t="s">
        <v>5626</v>
      </c>
      <c r="E719" s="1116" t="s">
        <v>5627</v>
      </c>
      <c r="F719" s="1117">
        <v>0.1</v>
      </c>
      <c r="G719" s="1109">
        <v>0.0</v>
      </c>
      <c r="H719" s="1118">
        <v>650900.0</v>
      </c>
      <c r="I719" s="1118">
        <f t="shared" si="1"/>
        <v>591730</v>
      </c>
      <c r="J719" s="1110"/>
    </row>
    <row r="720" ht="18.75" customHeight="1">
      <c r="A720" s="1110"/>
      <c r="B720" s="1115" t="s">
        <v>5265</v>
      </c>
      <c r="C720" s="1108" t="s">
        <v>4496</v>
      </c>
      <c r="D720" s="1108" t="s">
        <v>5628</v>
      </c>
      <c r="E720" s="1116" t="s">
        <v>5629</v>
      </c>
      <c r="F720" s="1117">
        <v>0.1</v>
      </c>
      <c r="G720" s="1109">
        <v>0.0</v>
      </c>
      <c r="H720" s="1118">
        <v>662400.0</v>
      </c>
      <c r="I720" s="1118">
        <f t="shared" si="1"/>
        <v>602180</v>
      </c>
      <c r="J720" s="1110"/>
    </row>
    <row r="721" ht="18.75" customHeight="1">
      <c r="A721" s="1110"/>
      <c r="B721" s="1115" t="s">
        <v>5265</v>
      </c>
      <c r="C721" s="1108" t="s">
        <v>4496</v>
      </c>
      <c r="D721" s="1108" t="s">
        <v>5630</v>
      </c>
      <c r="E721" s="1116" t="s">
        <v>5631</v>
      </c>
      <c r="F721" s="1117">
        <v>0.1</v>
      </c>
      <c r="G721" s="1109">
        <v>0.0</v>
      </c>
      <c r="H721" s="1118">
        <v>689500.0</v>
      </c>
      <c r="I721" s="1118">
        <f t="shared" si="1"/>
        <v>626820</v>
      </c>
      <c r="J721" s="1110"/>
    </row>
    <row r="722" ht="18.75" customHeight="1">
      <c r="A722" s="1110"/>
      <c r="B722" s="1115" t="s">
        <v>5265</v>
      </c>
      <c r="C722" s="1108" t="s">
        <v>4496</v>
      </c>
      <c r="D722" s="1108" t="s">
        <v>5632</v>
      </c>
      <c r="E722" s="1116" t="s">
        <v>5633</v>
      </c>
      <c r="F722" s="1117">
        <v>0.1</v>
      </c>
      <c r="G722" s="1109">
        <v>0.0</v>
      </c>
      <c r="H722" s="1118">
        <v>836400.0</v>
      </c>
      <c r="I722" s="1118">
        <f t="shared" si="1"/>
        <v>760360</v>
      </c>
      <c r="J722" s="1110"/>
    </row>
    <row r="723" ht="18.75" customHeight="1">
      <c r="A723" s="1110"/>
      <c r="B723" s="1115" t="s">
        <v>5265</v>
      </c>
      <c r="C723" s="1108" t="s">
        <v>4496</v>
      </c>
      <c r="D723" s="1108" t="s">
        <v>5634</v>
      </c>
      <c r="E723" s="1116" t="s">
        <v>5635</v>
      </c>
      <c r="F723" s="1117">
        <v>0.1</v>
      </c>
      <c r="G723" s="1109">
        <v>0.0</v>
      </c>
      <c r="H723" s="1118">
        <v>890500.0</v>
      </c>
      <c r="I723" s="1118">
        <f t="shared" si="1"/>
        <v>809550</v>
      </c>
      <c r="J723" s="1110"/>
    </row>
    <row r="724" ht="18.75" customHeight="1">
      <c r="A724" s="1110"/>
      <c r="B724" s="1115" t="s">
        <v>5265</v>
      </c>
      <c r="C724" s="1108" t="s">
        <v>4496</v>
      </c>
      <c r="D724" s="1108" t="s">
        <v>5636</v>
      </c>
      <c r="E724" s="1116" t="s">
        <v>5637</v>
      </c>
      <c r="F724" s="1117">
        <v>0.1</v>
      </c>
      <c r="G724" s="1109">
        <v>0.0</v>
      </c>
      <c r="H724" s="1118">
        <v>996300.0</v>
      </c>
      <c r="I724" s="1118">
        <f t="shared" si="1"/>
        <v>905730</v>
      </c>
      <c r="J724" s="1110"/>
    </row>
    <row r="725" ht="18.75" customHeight="1">
      <c r="A725" s="1110"/>
      <c r="B725" s="1115" t="s">
        <v>5265</v>
      </c>
      <c r="C725" s="1108" t="s">
        <v>4496</v>
      </c>
      <c r="D725" s="1108" t="s">
        <v>5638</v>
      </c>
      <c r="E725" s="1116" t="s">
        <v>5639</v>
      </c>
      <c r="F725" s="1117">
        <v>0.1</v>
      </c>
      <c r="G725" s="1109">
        <v>0.0</v>
      </c>
      <c r="H725" s="1118">
        <v>386900.0</v>
      </c>
      <c r="I725" s="1118">
        <f t="shared" si="1"/>
        <v>351730</v>
      </c>
      <c r="J725" s="1110"/>
    </row>
    <row r="726" ht="18.75" customHeight="1">
      <c r="A726" s="1110"/>
      <c r="B726" s="1115" t="s">
        <v>5265</v>
      </c>
      <c r="C726" s="1108" t="s">
        <v>4496</v>
      </c>
      <c r="D726" s="1108" t="s">
        <v>5640</v>
      </c>
      <c r="E726" s="1116" t="s">
        <v>5641</v>
      </c>
      <c r="F726" s="1117">
        <v>0.1</v>
      </c>
      <c r="G726" s="1109">
        <v>0.0</v>
      </c>
      <c r="H726" s="1118">
        <v>403600.0</v>
      </c>
      <c r="I726" s="1118">
        <f t="shared" si="1"/>
        <v>366910</v>
      </c>
      <c r="J726" s="1110"/>
    </row>
    <row r="727" ht="18.75" customHeight="1">
      <c r="A727" s="1110"/>
      <c r="B727" s="1115" t="s">
        <v>5265</v>
      </c>
      <c r="C727" s="1108" t="s">
        <v>4496</v>
      </c>
      <c r="D727" s="1108" t="s">
        <v>5642</v>
      </c>
      <c r="E727" s="1116" t="s">
        <v>5643</v>
      </c>
      <c r="F727" s="1117">
        <v>0.1</v>
      </c>
      <c r="G727" s="1109">
        <v>0.0</v>
      </c>
      <c r="H727" s="1118">
        <v>420100.0</v>
      </c>
      <c r="I727" s="1118">
        <f t="shared" si="1"/>
        <v>381910</v>
      </c>
      <c r="J727" s="1110"/>
    </row>
    <row r="728" ht="18.75" customHeight="1">
      <c r="A728" s="1110"/>
      <c r="B728" s="1115" t="s">
        <v>5265</v>
      </c>
      <c r="C728" s="1108" t="s">
        <v>4496</v>
      </c>
      <c r="D728" s="1108" t="s">
        <v>5644</v>
      </c>
      <c r="E728" s="1116" t="s">
        <v>5645</v>
      </c>
      <c r="F728" s="1117">
        <v>0.1</v>
      </c>
      <c r="G728" s="1109">
        <v>0.0</v>
      </c>
      <c r="H728" s="1118">
        <v>437200.0</v>
      </c>
      <c r="I728" s="1118">
        <f t="shared" si="1"/>
        <v>397450</v>
      </c>
      <c r="J728" s="1110"/>
    </row>
    <row r="729" ht="18.75" customHeight="1">
      <c r="A729" s="1110"/>
      <c r="B729" s="1115" t="s">
        <v>5265</v>
      </c>
      <c r="C729" s="1108" t="s">
        <v>4496</v>
      </c>
      <c r="D729" s="1108" t="s">
        <v>5646</v>
      </c>
      <c r="E729" s="1116" t="s">
        <v>5647</v>
      </c>
      <c r="F729" s="1117">
        <v>0.1</v>
      </c>
      <c r="G729" s="1109">
        <v>0.0</v>
      </c>
      <c r="H729" s="1118">
        <v>452800.0</v>
      </c>
      <c r="I729" s="1118">
        <f t="shared" si="1"/>
        <v>411640</v>
      </c>
      <c r="J729" s="1110"/>
    </row>
    <row r="730" ht="18.75" customHeight="1">
      <c r="A730" s="1110"/>
      <c r="B730" s="1115" t="s">
        <v>5265</v>
      </c>
      <c r="C730" s="1108" t="s">
        <v>4496</v>
      </c>
      <c r="D730" s="1108" t="s">
        <v>5648</v>
      </c>
      <c r="E730" s="1116" t="s">
        <v>5649</v>
      </c>
      <c r="F730" s="1117">
        <v>0.1</v>
      </c>
      <c r="G730" s="1109">
        <v>0.0</v>
      </c>
      <c r="H730" s="1118">
        <v>469800.0</v>
      </c>
      <c r="I730" s="1118">
        <f t="shared" si="1"/>
        <v>427090</v>
      </c>
      <c r="J730" s="1110"/>
    </row>
    <row r="731" ht="18.75" customHeight="1">
      <c r="A731" s="1110"/>
      <c r="B731" s="1115" t="s">
        <v>5265</v>
      </c>
      <c r="C731" s="1108" t="s">
        <v>4496</v>
      </c>
      <c r="D731" s="1108" t="s">
        <v>5650</v>
      </c>
      <c r="E731" s="1116" t="s">
        <v>5651</v>
      </c>
      <c r="F731" s="1117">
        <v>0.1</v>
      </c>
      <c r="G731" s="1109">
        <v>0.0</v>
      </c>
      <c r="H731" s="1118">
        <v>483200.0</v>
      </c>
      <c r="I731" s="1118">
        <f t="shared" si="1"/>
        <v>439270</v>
      </c>
      <c r="J731" s="1110"/>
    </row>
    <row r="732" ht="18.75" customHeight="1">
      <c r="A732" s="1110"/>
      <c r="B732" s="1115" t="s">
        <v>5265</v>
      </c>
      <c r="C732" s="1108" t="s">
        <v>4496</v>
      </c>
      <c r="D732" s="1108" t="s">
        <v>5652</v>
      </c>
      <c r="E732" s="1116" t="s">
        <v>5653</v>
      </c>
      <c r="F732" s="1117">
        <v>0.1</v>
      </c>
      <c r="G732" s="1109">
        <v>0.0</v>
      </c>
      <c r="H732" s="1118">
        <v>503900.0</v>
      </c>
      <c r="I732" s="1118">
        <f t="shared" si="1"/>
        <v>458090</v>
      </c>
      <c r="J732" s="1110"/>
    </row>
    <row r="733" ht="18.75" customHeight="1">
      <c r="A733" s="1110"/>
      <c r="B733" s="1115" t="s">
        <v>5265</v>
      </c>
      <c r="C733" s="1108" t="s">
        <v>4496</v>
      </c>
      <c r="D733" s="1108" t="s">
        <v>5654</v>
      </c>
      <c r="E733" s="1116" t="s">
        <v>5655</v>
      </c>
      <c r="F733" s="1117">
        <v>0.1</v>
      </c>
      <c r="G733" s="1109">
        <v>0.0</v>
      </c>
      <c r="H733" s="1118">
        <v>514100.0</v>
      </c>
      <c r="I733" s="1118">
        <f t="shared" si="1"/>
        <v>467360</v>
      </c>
      <c r="J733" s="1110"/>
    </row>
    <row r="734" ht="18.75" customHeight="1">
      <c r="A734" s="1110"/>
      <c r="B734" s="1115" t="s">
        <v>5265</v>
      </c>
      <c r="C734" s="1108" t="s">
        <v>4496</v>
      </c>
      <c r="D734" s="1108" t="s">
        <v>5656</v>
      </c>
      <c r="E734" s="1116" t="s">
        <v>5657</v>
      </c>
      <c r="F734" s="1117">
        <v>0.1</v>
      </c>
      <c r="G734" s="1109">
        <v>0.0</v>
      </c>
      <c r="H734" s="1118">
        <v>524100.0</v>
      </c>
      <c r="I734" s="1118">
        <f t="shared" si="1"/>
        <v>476450</v>
      </c>
      <c r="J734" s="1110"/>
    </row>
    <row r="735" ht="18.75" customHeight="1">
      <c r="A735" s="1110"/>
      <c r="B735" s="1115" t="s">
        <v>5265</v>
      </c>
      <c r="C735" s="1108" t="s">
        <v>4496</v>
      </c>
      <c r="D735" s="1108" t="s">
        <v>5658</v>
      </c>
      <c r="E735" s="1116" t="s">
        <v>5659</v>
      </c>
      <c r="F735" s="1117">
        <v>0.1</v>
      </c>
      <c r="G735" s="1109">
        <v>0.0</v>
      </c>
      <c r="H735" s="1118">
        <v>542300.0</v>
      </c>
      <c r="I735" s="1118">
        <f t="shared" si="1"/>
        <v>493000</v>
      </c>
      <c r="J735" s="1110"/>
    </row>
    <row r="736" ht="18.75" customHeight="1">
      <c r="A736" s="1110"/>
      <c r="B736" s="1115" t="s">
        <v>5265</v>
      </c>
      <c r="C736" s="1108" t="s">
        <v>4496</v>
      </c>
      <c r="D736" s="1108" t="s">
        <v>5660</v>
      </c>
      <c r="E736" s="1116" t="s">
        <v>5661</v>
      </c>
      <c r="F736" s="1117">
        <v>0.1</v>
      </c>
      <c r="G736" s="1109">
        <v>0.0</v>
      </c>
      <c r="H736" s="1118">
        <v>543900.0</v>
      </c>
      <c r="I736" s="1118">
        <f t="shared" si="1"/>
        <v>494450</v>
      </c>
      <c r="J736" s="1110"/>
    </row>
    <row r="737" ht="18.75" customHeight="1">
      <c r="A737" s="1110"/>
      <c r="B737" s="1115" t="s">
        <v>5265</v>
      </c>
      <c r="C737" s="1108" t="s">
        <v>4496</v>
      </c>
      <c r="D737" s="1108" t="s">
        <v>5662</v>
      </c>
      <c r="E737" s="1116" t="s">
        <v>5663</v>
      </c>
      <c r="F737" s="1117">
        <v>0.1</v>
      </c>
      <c r="G737" s="1109">
        <v>0.0</v>
      </c>
      <c r="H737" s="1118">
        <v>570700.0</v>
      </c>
      <c r="I737" s="1118">
        <f t="shared" si="1"/>
        <v>518820</v>
      </c>
      <c r="J737" s="1110"/>
    </row>
    <row r="738" ht="18.75" customHeight="1">
      <c r="A738" s="1110"/>
      <c r="B738" s="1115" t="s">
        <v>5265</v>
      </c>
      <c r="C738" s="1108" t="s">
        <v>4496</v>
      </c>
      <c r="D738" s="1108" t="s">
        <v>5664</v>
      </c>
      <c r="E738" s="1116" t="s">
        <v>5665</v>
      </c>
      <c r="F738" s="1117">
        <v>0.1</v>
      </c>
      <c r="G738" s="1109">
        <v>0.0</v>
      </c>
      <c r="H738" s="1118">
        <v>589000.0</v>
      </c>
      <c r="I738" s="1118">
        <f t="shared" si="1"/>
        <v>535450</v>
      </c>
      <c r="J738" s="1110"/>
    </row>
    <row r="739" ht="18.75" customHeight="1">
      <c r="A739" s="1110"/>
      <c r="B739" s="1115" t="s">
        <v>5265</v>
      </c>
      <c r="C739" s="1108" t="s">
        <v>4496</v>
      </c>
      <c r="D739" s="1108" t="s">
        <v>5666</v>
      </c>
      <c r="E739" s="1116" t="s">
        <v>5667</v>
      </c>
      <c r="F739" s="1117">
        <v>0.1</v>
      </c>
      <c r="G739" s="1109">
        <v>0.0</v>
      </c>
      <c r="H739" s="1118">
        <v>596700.0</v>
      </c>
      <c r="I739" s="1118">
        <f t="shared" si="1"/>
        <v>542450</v>
      </c>
      <c r="J739" s="1110"/>
    </row>
    <row r="740" ht="18.75" customHeight="1">
      <c r="A740" s="1110"/>
      <c r="B740" s="1115" t="s">
        <v>5265</v>
      </c>
      <c r="C740" s="1108" t="s">
        <v>4496</v>
      </c>
      <c r="D740" s="1108" t="s">
        <v>5668</v>
      </c>
      <c r="E740" s="1116" t="s">
        <v>5669</v>
      </c>
      <c r="F740" s="1117">
        <v>0.1</v>
      </c>
      <c r="G740" s="1109">
        <v>0.0</v>
      </c>
      <c r="H740" s="1118">
        <v>599900.0</v>
      </c>
      <c r="I740" s="1118">
        <f t="shared" si="1"/>
        <v>545360</v>
      </c>
      <c r="J740" s="1110"/>
    </row>
    <row r="741" ht="18.75" customHeight="1">
      <c r="A741" s="1110"/>
      <c r="B741" s="1115" t="s">
        <v>5265</v>
      </c>
      <c r="C741" s="1108" t="s">
        <v>4496</v>
      </c>
      <c r="D741" s="1108" t="s">
        <v>5670</v>
      </c>
      <c r="E741" s="1116" t="s">
        <v>5671</v>
      </c>
      <c r="F741" s="1117">
        <v>0.1</v>
      </c>
      <c r="G741" s="1109">
        <v>0.0</v>
      </c>
      <c r="H741" s="1118">
        <v>622200.0</v>
      </c>
      <c r="I741" s="1118">
        <f t="shared" si="1"/>
        <v>565640</v>
      </c>
      <c r="J741" s="1110"/>
    </row>
    <row r="742" ht="18.75" customHeight="1">
      <c r="A742" s="1110"/>
      <c r="B742" s="1115" t="s">
        <v>5265</v>
      </c>
      <c r="C742" s="1108" t="s">
        <v>4496</v>
      </c>
      <c r="D742" s="1108" t="s">
        <v>5672</v>
      </c>
      <c r="E742" s="1116" t="s">
        <v>5673</v>
      </c>
      <c r="F742" s="1117">
        <v>0.1</v>
      </c>
      <c r="G742" s="1109">
        <v>0.0</v>
      </c>
      <c r="H742" s="1118">
        <v>684300.0</v>
      </c>
      <c r="I742" s="1118">
        <f t="shared" si="1"/>
        <v>622090</v>
      </c>
      <c r="J742" s="1110"/>
    </row>
    <row r="743" ht="18.75" customHeight="1">
      <c r="A743" s="1110"/>
      <c r="B743" s="1115" t="s">
        <v>5265</v>
      </c>
      <c r="C743" s="1108" t="s">
        <v>4496</v>
      </c>
      <c r="D743" s="1108" t="s">
        <v>5674</v>
      </c>
      <c r="E743" s="1116" t="s">
        <v>5675</v>
      </c>
      <c r="F743" s="1117">
        <v>0.1</v>
      </c>
      <c r="G743" s="1109">
        <v>0.0</v>
      </c>
      <c r="H743" s="1118">
        <v>768100.0</v>
      </c>
      <c r="I743" s="1118">
        <f t="shared" si="1"/>
        <v>698270</v>
      </c>
      <c r="J743" s="1110"/>
    </row>
    <row r="744" ht="18.75" customHeight="1">
      <c r="A744" s="1110"/>
      <c r="B744" s="1115" t="s">
        <v>5265</v>
      </c>
      <c r="C744" s="1108" t="s">
        <v>4496</v>
      </c>
      <c r="D744" s="1108" t="s">
        <v>5676</v>
      </c>
      <c r="E744" s="1116" t="s">
        <v>5677</v>
      </c>
      <c r="F744" s="1117">
        <v>0.1</v>
      </c>
      <c r="G744" s="1109">
        <v>0.0</v>
      </c>
      <c r="H744" s="1118">
        <v>783100.0</v>
      </c>
      <c r="I744" s="1118">
        <f t="shared" si="1"/>
        <v>711910</v>
      </c>
      <c r="J744" s="1110"/>
    </row>
    <row r="745" ht="18.75" customHeight="1">
      <c r="A745" s="1110"/>
      <c r="B745" s="1115" t="s">
        <v>5265</v>
      </c>
      <c r="C745" s="1108" t="s">
        <v>4496</v>
      </c>
      <c r="D745" s="1108" t="s">
        <v>5678</v>
      </c>
      <c r="E745" s="1116" t="s">
        <v>5679</v>
      </c>
      <c r="F745" s="1117">
        <v>0.1</v>
      </c>
      <c r="G745" s="1109">
        <v>0.0</v>
      </c>
      <c r="H745" s="1118">
        <v>796100.0</v>
      </c>
      <c r="I745" s="1118">
        <f t="shared" si="1"/>
        <v>723730</v>
      </c>
      <c r="J745" s="1110"/>
    </row>
    <row r="746" ht="18.75" customHeight="1">
      <c r="A746" s="1110"/>
      <c r="B746" s="1115" t="s">
        <v>5265</v>
      </c>
      <c r="C746" s="1108" t="s">
        <v>4496</v>
      </c>
      <c r="D746" s="1108" t="s">
        <v>5680</v>
      </c>
      <c r="E746" s="1116" t="s">
        <v>5681</v>
      </c>
      <c r="F746" s="1117">
        <v>0.1</v>
      </c>
      <c r="G746" s="1109">
        <v>0.0</v>
      </c>
      <c r="H746" s="1118">
        <v>897400.0</v>
      </c>
      <c r="I746" s="1118">
        <f t="shared" si="1"/>
        <v>815820</v>
      </c>
      <c r="J746" s="1110"/>
    </row>
    <row r="747" ht="18.75" customHeight="1">
      <c r="A747" s="1110"/>
      <c r="B747" s="1115" t="s">
        <v>5265</v>
      </c>
      <c r="C747" s="1108" t="s">
        <v>4496</v>
      </c>
      <c r="D747" s="1108" t="s">
        <v>5682</v>
      </c>
      <c r="E747" s="1116" t="s">
        <v>5683</v>
      </c>
      <c r="F747" s="1117">
        <v>0.1</v>
      </c>
      <c r="G747" s="1109">
        <v>0.0</v>
      </c>
      <c r="H747" s="1118">
        <v>1150700.0</v>
      </c>
      <c r="I747" s="1118">
        <f t="shared" si="1"/>
        <v>1046090</v>
      </c>
      <c r="J747" s="1110"/>
    </row>
    <row r="748" ht="18.75" customHeight="1">
      <c r="A748" s="1110"/>
      <c r="B748" s="1115" t="s">
        <v>5265</v>
      </c>
      <c r="C748" s="1108" t="s">
        <v>4496</v>
      </c>
      <c r="D748" s="1108" t="s">
        <v>5684</v>
      </c>
      <c r="E748" s="1116" t="s">
        <v>5685</v>
      </c>
      <c r="F748" s="1117">
        <v>0.1</v>
      </c>
      <c r="G748" s="1109">
        <v>0.0</v>
      </c>
      <c r="H748" s="1118">
        <v>1171600.0</v>
      </c>
      <c r="I748" s="1118">
        <f t="shared" si="1"/>
        <v>1065090</v>
      </c>
      <c r="J748" s="1110"/>
    </row>
    <row r="749" ht="18.75" customHeight="1">
      <c r="A749" s="1110"/>
      <c r="B749" s="1115" t="s">
        <v>5265</v>
      </c>
      <c r="C749" s="1108" t="s">
        <v>4496</v>
      </c>
      <c r="D749" s="1108" t="s">
        <v>5686</v>
      </c>
      <c r="E749" s="1116" t="s">
        <v>5687</v>
      </c>
      <c r="F749" s="1117">
        <v>0.1</v>
      </c>
      <c r="G749" s="1109">
        <v>0.0</v>
      </c>
      <c r="H749" s="1118">
        <v>1225600.0</v>
      </c>
      <c r="I749" s="1118">
        <f t="shared" si="1"/>
        <v>1114180</v>
      </c>
      <c r="J749" s="1110"/>
    </row>
    <row r="750" ht="18.75" customHeight="1">
      <c r="A750" s="1110"/>
      <c r="B750" s="1115" t="s">
        <v>5265</v>
      </c>
      <c r="C750" s="1108" t="s">
        <v>4496</v>
      </c>
      <c r="D750" s="1108" t="s">
        <v>5688</v>
      </c>
      <c r="E750" s="1116" t="s">
        <v>5689</v>
      </c>
      <c r="F750" s="1117">
        <v>0.1</v>
      </c>
      <c r="G750" s="1109">
        <v>0.0</v>
      </c>
      <c r="H750" s="1118">
        <v>1275500.0</v>
      </c>
      <c r="I750" s="1118">
        <f t="shared" si="1"/>
        <v>1159550</v>
      </c>
      <c r="J750" s="1110"/>
    </row>
    <row r="751" ht="18.75" customHeight="1">
      <c r="A751" s="1110"/>
      <c r="B751" s="1115" t="s">
        <v>5265</v>
      </c>
      <c r="C751" s="1108" t="s">
        <v>4496</v>
      </c>
      <c r="D751" s="1108" t="s">
        <v>5690</v>
      </c>
      <c r="E751" s="1116" t="s">
        <v>5691</v>
      </c>
      <c r="F751" s="1117">
        <v>0.1</v>
      </c>
      <c r="G751" s="1109">
        <v>0.0</v>
      </c>
      <c r="H751" s="1118">
        <v>14400.0</v>
      </c>
      <c r="I751" s="1118">
        <f t="shared" si="1"/>
        <v>13090</v>
      </c>
      <c r="J751" s="1110"/>
    </row>
    <row r="752" ht="18.75" customHeight="1">
      <c r="A752" s="1110"/>
      <c r="B752" s="1115" t="s">
        <v>5265</v>
      </c>
      <c r="C752" s="1108" t="s">
        <v>4496</v>
      </c>
      <c r="D752" s="1108" t="s">
        <v>5692</v>
      </c>
      <c r="E752" s="1116" t="s">
        <v>5693</v>
      </c>
      <c r="F752" s="1117">
        <v>0.1</v>
      </c>
      <c r="G752" s="1109">
        <v>0.0</v>
      </c>
      <c r="H752" s="1118">
        <v>11900.0</v>
      </c>
      <c r="I752" s="1118">
        <f t="shared" si="1"/>
        <v>10820</v>
      </c>
      <c r="J752" s="1110"/>
    </row>
    <row r="753" ht="18.75" customHeight="1">
      <c r="A753" s="1110"/>
      <c r="B753" s="1115" t="s">
        <v>5265</v>
      </c>
      <c r="C753" s="1108" t="s">
        <v>4496</v>
      </c>
      <c r="D753" s="1108" t="s">
        <v>5694</v>
      </c>
      <c r="E753" s="1116" t="s">
        <v>5695</v>
      </c>
      <c r="F753" s="1117">
        <v>0.1</v>
      </c>
      <c r="G753" s="1109">
        <v>0.0</v>
      </c>
      <c r="H753" s="1118">
        <v>26000.0</v>
      </c>
      <c r="I753" s="1118">
        <f t="shared" si="1"/>
        <v>23640</v>
      </c>
      <c r="J753" s="1110"/>
    </row>
    <row r="754" ht="18.75" customHeight="1">
      <c r="A754" s="1110"/>
      <c r="B754" s="1115" t="s">
        <v>5265</v>
      </c>
      <c r="C754" s="1108" t="s">
        <v>4496</v>
      </c>
      <c r="D754" s="1108" t="s">
        <v>5696</v>
      </c>
      <c r="E754" s="1116" t="s">
        <v>5697</v>
      </c>
      <c r="F754" s="1117">
        <v>0.1</v>
      </c>
      <c r="G754" s="1109">
        <v>0.0</v>
      </c>
      <c r="H754" s="1118">
        <v>30800.0</v>
      </c>
      <c r="I754" s="1118">
        <f t="shared" si="1"/>
        <v>28000</v>
      </c>
      <c r="J754" s="1110"/>
    </row>
    <row r="755" ht="18.75" customHeight="1">
      <c r="A755" s="1110"/>
      <c r="B755" s="1115" t="s">
        <v>5265</v>
      </c>
      <c r="C755" s="1108" t="s">
        <v>4496</v>
      </c>
      <c r="D755" s="1108" t="s">
        <v>5698</v>
      </c>
      <c r="E755" s="1116" t="s">
        <v>5699</v>
      </c>
      <c r="F755" s="1117">
        <v>0.1</v>
      </c>
      <c r="G755" s="1109">
        <v>0.0</v>
      </c>
      <c r="H755" s="1118">
        <v>35400.0</v>
      </c>
      <c r="I755" s="1118">
        <f t="shared" si="1"/>
        <v>32180</v>
      </c>
      <c r="J755" s="1110"/>
    </row>
    <row r="756" ht="18.75" customHeight="1">
      <c r="A756" s="1110"/>
      <c r="B756" s="1115" t="s">
        <v>5265</v>
      </c>
      <c r="C756" s="1108" t="s">
        <v>4496</v>
      </c>
      <c r="D756" s="1108" t="s">
        <v>5700</v>
      </c>
      <c r="E756" s="1116" t="s">
        <v>5701</v>
      </c>
      <c r="F756" s="1117">
        <v>0.1</v>
      </c>
      <c r="G756" s="1109">
        <v>0.0</v>
      </c>
      <c r="H756" s="1118">
        <v>42400.0</v>
      </c>
      <c r="I756" s="1118">
        <f t="shared" si="1"/>
        <v>38550</v>
      </c>
      <c r="J756" s="1110"/>
    </row>
    <row r="757" ht="18.75" customHeight="1">
      <c r="A757" s="1110"/>
      <c r="B757" s="1115" t="s">
        <v>5265</v>
      </c>
      <c r="C757" s="1108" t="s">
        <v>4496</v>
      </c>
      <c r="D757" s="1108" t="s">
        <v>5702</v>
      </c>
      <c r="E757" s="1116" t="s">
        <v>5703</v>
      </c>
      <c r="F757" s="1117">
        <v>0.1</v>
      </c>
      <c r="G757" s="1109">
        <v>0.0</v>
      </c>
      <c r="H757" s="1118">
        <v>56800.0</v>
      </c>
      <c r="I757" s="1118">
        <f t="shared" si="1"/>
        <v>51640</v>
      </c>
      <c r="J757" s="1110"/>
    </row>
    <row r="758" ht="18.75" customHeight="1">
      <c r="A758" s="1110"/>
      <c r="B758" s="1115" t="s">
        <v>5265</v>
      </c>
      <c r="C758" s="1108" t="s">
        <v>4496</v>
      </c>
      <c r="D758" s="1108" t="s">
        <v>5704</v>
      </c>
      <c r="E758" s="1116" t="s">
        <v>5705</v>
      </c>
      <c r="F758" s="1117">
        <v>0.1</v>
      </c>
      <c r="G758" s="1109">
        <v>0.0</v>
      </c>
      <c r="H758" s="1118">
        <v>56800.0</v>
      </c>
      <c r="I758" s="1118">
        <f t="shared" si="1"/>
        <v>51640</v>
      </c>
      <c r="J758" s="1110"/>
    </row>
    <row r="759" ht="18.75" customHeight="1">
      <c r="A759" s="1110"/>
      <c r="B759" s="1115" t="s">
        <v>5265</v>
      </c>
      <c r="C759" s="1108" t="s">
        <v>4496</v>
      </c>
      <c r="D759" s="1108" t="s">
        <v>5706</v>
      </c>
      <c r="E759" s="1116" t="s">
        <v>5707</v>
      </c>
      <c r="F759" s="1117">
        <v>0.1</v>
      </c>
      <c r="G759" s="1109">
        <v>0.0</v>
      </c>
      <c r="H759" s="1118">
        <v>60100.0</v>
      </c>
      <c r="I759" s="1118">
        <f t="shared" si="1"/>
        <v>54640</v>
      </c>
      <c r="J759" s="1110"/>
    </row>
    <row r="760" ht="18.75" customHeight="1">
      <c r="A760" s="1110"/>
      <c r="B760" s="1115" t="s">
        <v>5265</v>
      </c>
      <c r="C760" s="1108" t="s">
        <v>4496</v>
      </c>
      <c r="D760" s="1108" t="s">
        <v>5708</v>
      </c>
      <c r="E760" s="1116" t="s">
        <v>5709</v>
      </c>
      <c r="F760" s="1117">
        <v>0.1</v>
      </c>
      <c r="G760" s="1109">
        <v>0.0</v>
      </c>
      <c r="H760" s="1118">
        <v>70300.0</v>
      </c>
      <c r="I760" s="1118">
        <f t="shared" si="1"/>
        <v>63910</v>
      </c>
      <c r="J760" s="1110"/>
    </row>
    <row r="761" ht="18.75" customHeight="1">
      <c r="A761" s="1110"/>
      <c r="B761" s="1115" t="s">
        <v>5265</v>
      </c>
      <c r="C761" s="1108" t="s">
        <v>4496</v>
      </c>
      <c r="D761" s="1108" t="s">
        <v>5710</v>
      </c>
      <c r="E761" s="1116" t="s">
        <v>5711</v>
      </c>
      <c r="F761" s="1117">
        <v>0.1</v>
      </c>
      <c r="G761" s="1109">
        <v>0.0</v>
      </c>
      <c r="H761" s="1118">
        <v>93700.0</v>
      </c>
      <c r="I761" s="1118">
        <f t="shared" si="1"/>
        <v>85180</v>
      </c>
      <c r="J761" s="1110"/>
    </row>
    <row r="762" ht="18.75" customHeight="1">
      <c r="A762" s="1110"/>
      <c r="B762" s="1115" t="s">
        <v>5265</v>
      </c>
      <c r="C762" s="1108" t="s">
        <v>4496</v>
      </c>
      <c r="D762" s="1108" t="s">
        <v>5712</v>
      </c>
      <c r="E762" s="1116" t="s">
        <v>5713</v>
      </c>
      <c r="F762" s="1117">
        <v>0.1</v>
      </c>
      <c r="G762" s="1109">
        <v>0.0</v>
      </c>
      <c r="H762" s="1118">
        <v>35400.0</v>
      </c>
      <c r="I762" s="1118">
        <f t="shared" si="1"/>
        <v>32180</v>
      </c>
      <c r="J762" s="1110"/>
    </row>
    <row r="763" ht="18.75" customHeight="1">
      <c r="A763" s="1110"/>
      <c r="B763" s="1115" t="s">
        <v>5265</v>
      </c>
      <c r="C763" s="1108" t="s">
        <v>4496</v>
      </c>
      <c r="D763" s="1108" t="s">
        <v>5714</v>
      </c>
      <c r="E763" s="1116" t="s">
        <v>5715</v>
      </c>
      <c r="F763" s="1117">
        <v>0.1</v>
      </c>
      <c r="G763" s="1109">
        <v>0.0</v>
      </c>
      <c r="H763" s="1118">
        <v>49100.0</v>
      </c>
      <c r="I763" s="1118">
        <f t="shared" si="1"/>
        <v>44640</v>
      </c>
      <c r="J763" s="1110"/>
    </row>
    <row r="764" ht="18.75" customHeight="1">
      <c r="A764" s="1110"/>
      <c r="B764" s="1115" t="s">
        <v>5265</v>
      </c>
      <c r="C764" s="1108" t="s">
        <v>4496</v>
      </c>
      <c r="D764" s="1108" t="s">
        <v>5716</v>
      </c>
      <c r="E764" s="1116" t="s">
        <v>5717</v>
      </c>
      <c r="F764" s="1117">
        <v>0.1</v>
      </c>
      <c r="G764" s="1109">
        <v>0.0</v>
      </c>
      <c r="H764" s="1118">
        <v>23300.0</v>
      </c>
      <c r="I764" s="1118">
        <f t="shared" si="1"/>
        <v>21180</v>
      </c>
      <c r="J764" s="1110"/>
    </row>
    <row r="765" ht="18.75" customHeight="1">
      <c r="A765" s="1110"/>
      <c r="B765" s="1115" t="s">
        <v>5265</v>
      </c>
      <c r="C765" s="1108" t="s">
        <v>4496</v>
      </c>
      <c r="D765" s="1108" t="s">
        <v>5718</v>
      </c>
      <c r="E765" s="1116" t="s">
        <v>5719</v>
      </c>
      <c r="F765" s="1117">
        <v>0.1</v>
      </c>
      <c r="G765" s="1109">
        <v>0.0</v>
      </c>
      <c r="H765" s="1118">
        <v>26800.0</v>
      </c>
      <c r="I765" s="1118">
        <f t="shared" si="1"/>
        <v>24360</v>
      </c>
      <c r="J765" s="1110"/>
    </row>
    <row r="766" ht="18.75" customHeight="1">
      <c r="A766" s="1110"/>
      <c r="B766" s="1115" t="s">
        <v>5265</v>
      </c>
      <c r="C766" s="1108" t="s">
        <v>4496</v>
      </c>
      <c r="D766" s="1108" t="s">
        <v>5720</v>
      </c>
      <c r="E766" s="1116" t="s">
        <v>5721</v>
      </c>
      <c r="F766" s="1117">
        <v>0.1</v>
      </c>
      <c r="G766" s="1109">
        <v>0.0</v>
      </c>
      <c r="H766" s="1118">
        <v>30800.0</v>
      </c>
      <c r="I766" s="1118">
        <f t="shared" si="1"/>
        <v>28000</v>
      </c>
      <c r="J766" s="1110"/>
    </row>
    <row r="767" ht="18.75" customHeight="1">
      <c r="A767" s="1110"/>
      <c r="B767" s="1115" t="s">
        <v>5265</v>
      </c>
      <c r="C767" s="1108" t="s">
        <v>4496</v>
      </c>
      <c r="D767" s="1108" t="s">
        <v>5722</v>
      </c>
      <c r="E767" s="1116" t="s">
        <v>5723</v>
      </c>
      <c r="F767" s="1117">
        <v>0.1</v>
      </c>
      <c r="G767" s="1109">
        <v>0.0</v>
      </c>
      <c r="H767" s="1118">
        <v>34300.0</v>
      </c>
      <c r="I767" s="1118">
        <f t="shared" si="1"/>
        <v>31180</v>
      </c>
      <c r="J767" s="1110"/>
    </row>
    <row r="768" ht="18.75" customHeight="1">
      <c r="A768" s="1110"/>
      <c r="B768" s="1115" t="s">
        <v>5265</v>
      </c>
      <c r="C768" s="1108" t="s">
        <v>4496</v>
      </c>
      <c r="D768" s="1108" t="s">
        <v>5724</v>
      </c>
      <c r="E768" s="1116" t="s">
        <v>5725</v>
      </c>
      <c r="F768" s="1117">
        <v>0.1</v>
      </c>
      <c r="G768" s="1109">
        <v>0.0</v>
      </c>
      <c r="H768" s="1118">
        <v>36500.0</v>
      </c>
      <c r="I768" s="1118">
        <f t="shared" si="1"/>
        <v>33180</v>
      </c>
      <c r="J768" s="1110"/>
    </row>
    <row r="769" ht="18.75" customHeight="1">
      <c r="A769" s="1110"/>
      <c r="B769" s="1115" t="s">
        <v>5265</v>
      </c>
      <c r="C769" s="1108" t="s">
        <v>4496</v>
      </c>
      <c r="D769" s="1108" t="s">
        <v>5726</v>
      </c>
      <c r="E769" s="1116" t="s">
        <v>5727</v>
      </c>
      <c r="F769" s="1117">
        <v>0.1</v>
      </c>
      <c r="G769" s="1109">
        <v>0.0</v>
      </c>
      <c r="H769" s="1118">
        <v>41000.0</v>
      </c>
      <c r="I769" s="1118">
        <f t="shared" si="1"/>
        <v>37270</v>
      </c>
      <c r="J769" s="1110"/>
    </row>
    <row r="770" ht="18.75" customHeight="1">
      <c r="A770" s="1110"/>
      <c r="B770" s="1115" t="s">
        <v>5265</v>
      </c>
      <c r="C770" s="1108" t="s">
        <v>4496</v>
      </c>
      <c r="D770" s="1108" t="s">
        <v>5728</v>
      </c>
      <c r="E770" s="1116" t="s">
        <v>5729</v>
      </c>
      <c r="F770" s="1117">
        <v>0.1</v>
      </c>
      <c r="G770" s="1109">
        <v>0.0</v>
      </c>
      <c r="H770" s="1118">
        <v>45200.0</v>
      </c>
      <c r="I770" s="1118">
        <f t="shared" si="1"/>
        <v>41090</v>
      </c>
      <c r="J770" s="1110"/>
    </row>
    <row r="771" ht="18.75" customHeight="1">
      <c r="A771" s="1110"/>
      <c r="B771" s="1115" t="s">
        <v>5265</v>
      </c>
      <c r="C771" s="1108" t="s">
        <v>4496</v>
      </c>
      <c r="D771" s="1108" t="s">
        <v>5730</v>
      </c>
      <c r="E771" s="1116" t="s">
        <v>5731</v>
      </c>
      <c r="F771" s="1117">
        <v>0.1</v>
      </c>
      <c r="G771" s="1109">
        <v>0.0</v>
      </c>
      <c r="H771" s="1118">
        <v>49400.0</v>
      </c>
      <c r="I771" s="1118">
        <f t="shared" si="1"/>
        <v>44910</v>
      </c>
      <c r="J771" s="1110"/>
    </row>
    <row r="772" ht="18.75" customHeight="1">
      <c r="A772" s="1110"/>
      <c r="B772" s="1115" t="s">
        <v>5265</v>
      </c>
      <c r="C772" s="1108" t="s">
        <v>4496</v>
      </c>
      <c r="D772" s="1108" t="s">
        <v>5732</v>
      </c>
      <c r="E772" s="1116" t="s">
        <v>5733</v>
      </c>
      <c r="F772" s="1117">
        <v>0.1</v>
      </c>
      <c r="G772" s="1109">
        <v>0.0</v>
      </c>
      <c r="H772" s="1118">
        <v>55200.0</v>
      </c>
      <c r="I772" s="1118">
        <f t="shared" si="1"/>
        <v>50180</v>
      </c>
      <c r="J772" s="1110"/>
    </row>
    <row r="773" ht="18.75" customHeight="1">
      <c r="A773" s="1110"/>
      <c r="B773" s="1115" t="s">
        <v>5265</v>
      </c>
      <c r="C773" s="1108" t="s">
        <v>4496</v>
      </c>
      <c r="D773" s="1108" t="s">
        <v>5734</v>
      </c>
      <c r="E773" s="1116" t="s">
        <v>5735</v>
      </c>
      <c r="F773" s="1117">
        <v>0.1</v>
      </c>
      <c r="G773" s="1109">
        <v>0.0</v>
      </c>
      <c r="H773" s="1118">
        <v>57800.0</v>
      </c>
      <c r="I773" s="1118">
        <f t="shared" si="1"/>
        <v>52550</v>
      </c>
      <c r="J773" s="1110"/>
    </row>
    <row r="774" ht="18.75" customHeight="1">
      <c r="A774" s="1110"/>
      <c r="B774" s="1115" t="s">
        <v>5265</v>
      </c>
      <c r="C774" s="1108" t="s">
        <v>4496</v>
      </c>
      <c r="D774" s="1108" t="s">
        <v>5736</v>
      </c>
      <c r="E774" s="1116" t="s">
        <v>5737</v>
      </c>
      <c r="F774" s="1117">
        <v>0.1</v>
      </c>
      <c r="G774" s="1109">
        <v>0.0</v>
      </c>
      <c r="H774" s="1118">
        <v>69300.0</v>
      </c>
      <c r="I774" s="1118">
        <f t="shared" si="1"/>
        <v>63000</v>
      </c>
      <c r="J774" s="1110"/>
    </row>
    <row r="775" ht="18.75" customHeight="1">
      <c r="A775" s="1110"/>
      <c r="B775" s="1115" t="s">
        <v>5265</v>
      </c>
      <c r="C775" s="1108" t="s">
        <v>4496</v>
      </c>
      <c r="D775" s="1108" t="s">
        <v>5738</v>
      </c>
      <c r="E775" s="1116" t="s">
        <v>5739</v>
      </c>
      <c r="F775" s="1117">
        <v>0.1</v>
      </c>
      <c r="G775" s="1109">
        <v>0.0</v>
      </c>
      <c r="H775" s="1118">
        <v>23300.0</v>
      </c>
      <c r="I775" s="1118">
        <f t="shared" si="1"/>
        <v>21180</v>
      </c>
      <c r="J775" s="1110"/>
    </row>
    <row r="776" ht="18.75" customHeight="1">
      <c r="A776" s="1110"/>
      <c r="B776" s="1115" t="s">
        <v>5265</v>
      </c>
      <c r="C776" s="1108" t="s">
        <v>4496</v>
      </c>
      <c r="D776" s="1108" t="s">
        <v>5740</v>
      </c>
      <c r="E776" s="1116" t="s">
        <v>5741</v>
      </c>
      <c r="F776" s="1117">
        <v>0.1</v>
      </c>
      <c r="G776" s="1109">
        <v>0.0</v>
      </c>
      <c r="H776" s="1118">
        <v>26800.0</v>
      </c>
      <c r="I776" s="1118">
        <f t="shared" si="1"/>
        <v>24360</v>
      </c>
      <c r="J776" s="1110"/>
    </row>
    <row r="777" ht="18.75" customHeight="1">
      <c r="A777" s="1110"/>
      <c r="B777" s="1115" t="s">
        <v>5265</v>
      </c>
      <c r="C777" s="1108" t="s">
        <v>4496</v>
      </c>
      <c r="D777" s="1108" t="s">
        <v>5742</v>
      </c>
      <c r="E777" s="1116" t="s">
        <v>5743</v>
      </c>
      <c r="F777" s="1117">
        <v>0.1</v>
      </c>
      <c r="G777" s="1109">
        <v>0.0</v>
      </c>
      <c r="H777" s="1118">
        <v>36500.0</v>
      </c>
      <c r="I777" s="1118">
        <f t="shared" si="1"/>
        <v>33180</v>
      </c>
      <c r="J777" s="1110"/>
    </row>
    <row r="778" ht="18.75" customHeight="1">
      <c r="A778" s="1110"/>
      <c r="B778" s="1115" t="s">
        <v>5265</v>
      </c>
      <c r="C778" s="1108" t="s">
        <v>4496</v>
      </c>
      <c r="D778" s="1108" t="s">
        <v>5744</v>
      </c>
      <c r="E778" s="1116" t="s">
        <v>5745</v>
      </c>
      <c r="F778" s="1117">
        <v>0.1</v>
      </c>
      <c r="G778" s="1109">
        <v>0.0</v>
      </c>
      <c r="H778" s="1118">
        <v>76600.0</v>
      </c>
      <c r="I778" s="1118">
        <f t="shared" si="1"/>
        <v>69640</v>
      </c>
      <c r="J778" s="1110"/>
    </row>
    <row r="779" ht="18.75" customHeight="1">
      <c r="A779" s="1110"/>
      <c r="B779" s="1115" t="s">
        <v>5265</v>
      </c>
      <c r="C779" s="1108" t="s">
        <v>4496</v>
      </c>
      <c r="D779" s="1108" t="s">
        <v>5746</v>
      </c>
      <c r="E779" s="1116" t="s">
        <v>5747</v>
      </c>
      <c r="F779" s="1117">
        <v>0.1</v>
      </c>
      <c r="G779" s="1109">
        <v>0.0</v>
      </c>
      <c r="H779" s="1118">
        <v>85600.0</v>
      </c>
      <c r="I779" s="1118">
        <f t="shared" si="1"/>
        <v>77820</v>
      </c>
      <c r="J779" s="1110"/>
    </row>
    <row r="780" ht="18.75" customHeight="1">
      <c r="A780" s="1110"/>
      <c r="B780" s="1115" t="s">
        <v>5265</v>
      </c>
      <c r="C780" s="1108" t="s">
        <v>4496</v>
      </c>
      <c r="D780" s="1108" t="s">
        <v>5748</v>
      </c>
      <c r="E780" s="1116" t="s">
        <v>5749</v>
      </c>
      <c r="F780" s="1117">
        <v>0.1</v>
      </c>
      <c r="G780" s="1109">
        <v>0.0</v>
      </c>
      <c r="H780" s="1118">
        <v>89900.0</v>
      </c>
      <c r="I780" s="1118">
        <f t="shared" si="1"/>
        <v>81730</v>
      </c>
      <c r="J780" s="1110"/>
    </row>
    <row r="781" ht="18.75" customHeight="1">
      <c r="A781" s="1110"/>
      <c r="B781" s="1115" t="s">
        <v>5265</v>
      </c>
      <c r="C781" s="1108" t="s">
        <v>4496</v>
      </c>
      <c r="D781" s="1108" t="s">
        <v>5750</v>
      </c>
      <c r="E781" s="1116" t="s">
        <v>5751</v>
      </c>
      <c r="F781" s="1117">
        <v>0.1</v>
      </c>
      <c r="G781" s="1109">
        <v>0.0</v>
      </c>
      <c r="H781" s="1118">
        <v>101800.0</v>
      </c>
      <c r="I781" s="1118">
        <f t="shared" si="1"/>
        <v>92550</v>
      </c>
      <c r="J781" s="1110"/>
    </row>
    <row r="782" ht="18.75" customHeight="1">
      <c r="A782" s="1110"/>
      <c r="B782" s="1115" t="s">
        <v>5752</v>
      </c>
      <c r="C782" s="1108" t="s">
        <v>5753</v>
      </c>
      <c r="D782" s="1108" t="s">
        <v>5754</v>
      </c>
      <c r="E782" s="1116" t="s">
        <v>5755</v>
      </c>
      <c r="F782" s="1117">
        <v>0.1</v>
      </c>
      <c r="G782" s="1109">
        <v>0.0</v>
      </c>
      <c r="H782" s="1116"/>
      <c r="I782" s="1118" t="str">
        <f t="shared" si="1"/>
        <v/>
      </c>
      <c r="J782" s="1110"/>
    </row>
    <row r="783" ht="18.75" customHeight="1">
      <c r="A783" s="1110"/>
      <c r="B783" s="1115" t="s">
        <v>5752</v>
      </c>
      <c r="C783" s="1108" t="s">
        <v>5753</v>
      </c>
      <c r="D783" s="1108" t="s">
        <v>5756</v>
      </c>
      <c r="E783" s="1116" t="s">
        <v>5757</v>
      </c>
      <c r="F783" s="1117">
        <v>0.1</v>
      </c>
      <c r="G783" s="1109">
        <v>0.0</v>
      </c>
      <c r="H783" s="1116"/>
      <c r="I783" s="1118" t="str">
        <f t="shared" si="1"/>
        <v/>
      </c>
      <c r="J783" s="1110"/>
    </row>
    <row r="784" ht="18.75" customHeight="1">
      <c r="A784" s="1110"/>
      <c r="B784" s="1115" t="s">
        <v>5752</v>
      </c>
      <c r="C784" s="1108" t="s">
        <v>5753</v>
      </c>
      <c r="D784" s="1108" t="s">
        <v>5758</v>
      </c>
      <c r="E784" s="1116" t="s">
        <v>5759</v>
      </c>
      <c r="F784" s="1117">
        <v>0.1</v>
      </c>
      <c r="G784" s="1109">
        <v>0.0</v>
      </c>
      <c r="H784" s="1116"/>
      <c r="I784" s="1118" t="str">
        <f t="shared" si="1"/>
        <v/>
      </c>
      <c r="J784" s="1110"/>
    </row>
    <row r="785" ht="18.75" customHeight="1">
      <c r="A785" s="1110"/>
      <c r="B785" s="1115" t="s">
        <v>5752</v>
      </c>
      <c r="C785" s="1108" t="s">
        <v>5753</v>
      </c>
      <c r="D785" s="1108" t="s">
        <v>5760</v>
      </c>
      <c r="E785" s="1116" t="s">
        <v>5761</v>
      </c>
      <c r="F785" s="1117">
        <v>0.1</v>
      </c>
      <c r="G785" s="1109">
        <v>0.0</v>
      </c>
      <c r="H785" s="1116"/>
      <c r="I785" s="1118" t="str">
        <f t="shared" si="1"/>
        <v/>
      </c>
      <c r="J785" s="1110"/>
    </row>
    <row r="786" ht="18.75" customHeight="1">
      <c r="A786" s="1110"/>
      <c r="B786" s="1115" t="s">
        <v>5752</v>
      </c>
      <c r="C786" s="1108" t="s">
        <v>5753</v>
      </c>
      <c r="D786" s="1108" t="s">
        <v>5762</v>
      </c>
      <c r="E786" s="1116" t="s">
        <v>5763</v>
      </c>
      <c r="F786" s="1117">
        <v>0.1</v>
      </c>
      <c r="G786" s="1109">
        <v>0.0</v>
      </c>
      <c r="H786" s="1116"/>
      <c r="I786" s="1118" t="str">
        <f t="shared" si="1"/>
        <v/>
      </c>
      <c r="J786" s="1110"/>
    </row>
    <row r="787" ht="18.75" customHeight="1">
      <c r="A787" s="1110"/>
      <c r="B787" s="1115" t="s">
        <v>5752</v>
      </c>
      <c r="C787" s="1108" t="s">
        <v>5753</v>
      </c>
      <c r="D787" s="1108" t="s">
        <v>5764</v>
      </c>
      <c r="E787" s="1116" t="s">
        <v>5765</v>
      </c>
      <c r="F787" s="1117">
        <v>0.1</v>
      </c>
      <c r="G787" s="1109">
        <v>0.0</v>
      </c>
      <c r="H787" s="1116"/>
      <c r="I787" s="1118" t="str">
        <f t="shared" si="1"/>
        <v/>
      </c>
      <c r="J787" s="1110"/>
    </row>
    <row r="788" ht="18.75" customHeight="1">
      <c r="A788" s="1110"/>
      <c r="B788" s="1115" t="s">
        <v>5752</v>
      </c>
      <c r="C788" s="1108" t="s">
        <v>5753</v>
      </c>
      <c r="D788" s="1108" t="s">
        <v>5766</v>
      </c>
      <c r="E788" s="1116" t="s">
        <v>5767</v>
      </c>
      <c r="F788" s="1117">
        <v>0.1</v>
      </c>
      <c r="G788" s="1109">
        <v>0.0</v>
      </c>
      <c r="H788" s="1116"/>
      <c r="I788" s="1118" t="str">
        <f t="shared" si="1"/>
        <v/>
      </c>
      <c r="J788" s="1110"/>
    </row>
    <row r="789" ht="18.75" customHeight="1">
      <c r="A789" s="1110"/>
      <c r="B789" s="1115" t="s">
        <v>5752</v>
      </c>
      <c r="C789" s="1108" t="s">
        <v>5753</v>
      </c>
      <c r="D789" s="1108" t="s">
        <v>5768</v>
      </c>
      <c r="E789" s="1116" t="s">
        <v>5769</v>
      </c>
      <c r="F789" s="1117">
        <v>0.1</v>
      </c>
      <c r="G789" s="1109">
        <v>0.0</v>
      </c>
      <c r="H789" s="1116"/>
      <c r="I789" s="1118" t="str">
        <f t="shared" si="1"/>
        <v/>
      </c>
      <c r="J789" s="1110"/>
    </row>
    <row r="790" ht="18.75" customHeight="1">
      <c r="A790" s="1110"/>
      <c r="B790" s="1115" t="s">
        <v>5752</v>
      </c>
      <c r="C790" s="1108" t="s">
        <v>5753</v>
      </c>
      <c r="D790" s="1108" t="s">
        <v>5770</v>
      </c>
      <c r="E790" s="1116" t="s">
        <v>5771</v>
      </c>
      <c r="F790" s="1117">
        <v>0.1</v>
      </c>
      <c r="G790" s="1109">
        <v>0.0</v>
      </c>
      <c r="H790" s="1116"/>
      <c r="I790" s="1118" t="str">
        <f t="shared" si="1"/>
        <v/>
      </c>
      <c r="J790" s="1110"/>
    </row>
    <row r="791" ht="18.75" customHeight="1">
      <c r="A791" s="1110"/>
      <c r="B791" s="1115" t="s">
        <v>5752</v>
      </c>
      <c r="C791" s="1108" t="s">
        <v>5753</v>
      </c>
      <c r="D791" s="1108" t="s">
        <v>5772</v>
      </c>
      <c r="E791" s="1116" t="s">
        <v>5773</v>
      </c>
      <c r="F791" s="1117">
        <v>0.1</v>
      </c>
      <c r="G791" s="1109">
        <v>0.0</v>
      </c>
      <c r="H791" s="1116"/>
      <c r="I791" s="1118" t="str">
        <f t="shared" si="1"/>
        <v/>
      </c>
      <c r="J791" s="1110"/>
    </row>
    <row r="792" ht="18.75" customHeight="1">
      <c r="A792" s="1110"/>
      <c r="B792" s="1115" t="s">
        <v>5752</v>
      </c>
      <c r="C792" s="1108" t="s">
        <v>5753</v>
      </c>
      <c r="D792" s="1108" t="s">
        <v>5774</v>
      </c>
      <c r="E792" s="1116" t="s">
        <v>5775</v>
      </c>
      <c r="F792" s="1117">
        <v>0.1</v>
      </c>
      <c r="G792" s="1109">
        <v>0.0</v>
      </c>
      <c r="H792" s="1116"/>
      <c r="I792" s="1118" t="str">
        <f t="shared" si="1"/>
        <v/>
      </c>
      <c r="J792" s="1110"/>
    </row>
    <row r="793" ht="18.75" customHeight="1">
      <c r="A793" s="1110"/>
      <c r="B793" s="1115" t="s">
        <v>5752</v>
      </c>
      <c r="C793" s="1108" t="s">
        <v>5753</v>
      </c>
      <c r="D793" s="1108" t="s">
        <v>5776</v>
      </c>
      <c r="E793" s="1116" t="s">
        <v>5777</v>
      </c>
      <c r="F793" s="1117">
        <v>0.1</v>
      </c>
      <c r="G793" s="1109">
        <v>0.0</v>
      </c>
      <c r="H793" s="1116"/>
      <c r="I793" s="1118" t="str">
        <f t="shared" si="1"/>
        <v/>
      </c>
      <c r="J793" s="1110"/>
    </row>
    <row r="794" ht="18.75" customHeight="1">
      <c r="A794" s="1110"/>
      <c r="B794" s="1115" t="s">
        <v>5752</v>
      </c>
      <c r="C794" s="1108" t="s">
        <v>5753</v>
      </c>
      <c r="D794" s="1108" t="s">
        <v>5778</v>
      </c>
      <c r="E794" s="1116" t="s">
        <v>5779</v>
      </c>
      <c r="F794" s="1117">
        <v>0.1</v>
      </c>
      <c r="G794" s="1109">
        <v>0.0</v>
      </c>
      <c r="H794" s="1116"/>
      <c r="I794" s="1118" t="str">
        <f t="shared" si="1"/>
        <v/>
      </c>
      <c r="J794" s="1110"/>
    </row>
    <row r="795" ht="18.75" customHeight="1">
      <c r="A795" s="1110"/>
      <c r="B795" s="1115" t="s">
        <v>5752</v>
      </c>
      <c r="C795" s="1108" t="s">
        <v>5753</v>
      </c>
      <c r="D795" s="1108" t="s">
        <v>5780</v>
      </c>
      <c r="E795" s="1116" t="s">
        <v>5781</v>
      </c>
      <c r="F795" s="1117">
        <v>0.1</v>
      </c>
      <c r="G795" s="1109">
        <v>0.0</v>
      </c>
      <c r="H795" s="1118">
        <v>10100.0</v>
      </c>
      <c r="I795" s="1118">
        <f t="shared" si="1"/>
        <v>9180</v>
      </c>
      <c r="J795" s="1110"/>
    </row>
    <row r="796" ht="18.75" customHeight="1">
      <c r="A796" s="1110"/>
      <c r="B796" s="1115" t="s">
        <v>5752</v>
      </c>
      <c r="C796" s="1108" t="s">
        <v>5753</v>
      </c>
      <c r="D796" s="1108" t="s">
        <v>5782</v>
      </c>
      <c r="E796" s="1116" t="s">
        <v>5783</v>
      </c>
      <c r="F796" s="1117">
        <v>0.1</v>
      </c>
      <c r="G796" s="1109">
        <v>0.0</v>
      </c>
      <c r="H796" s="1116"/>
      <c r="I796" s="1118" t="str">
        <f t="shared" si="1"/>
        <v/>
      </c>
      <c r="J796" s="1110"/>
    </row>
    <row r="797" ht="18.75" customHeight="1">
      <c r="A797" s="1110"/>
      <c r="B797" s="1115" t="s">
        <v>5752</v>
      </c>
      <c r="C797" s="1108" t="s">
        <v>5753</v>
      </c>
      <c r="D797" s="1108" t="s">
        <v>5784</v>
      </c>
      <c r="E797" s="1116" t="s">
        <v>5785</v>
      </c>
      <c r="F797" s="1117">
        <v>0.1</v>
      </c>
      <c r="G797" s="1109">
        <v>0.0</v>
      </c>
      <c r="H797" s="1118">
        <v>13400.0</v>
      </c>
      <c r="I797" s="1118">
        <f t="shared" si="1"/>
        <v>12180</v>
      </c>
      <c r="J797" s="1110"/>
    </row>
    <row r="798" ht="18.75" customHeight="1">
      <c r="A798" s="1110"/>
      <c r="B798" s="1115" t="s">
        <v>5752</v>
      </c>
      <c r="C798" s="1108" t="s">
        <v>5753</v>
      </c>
      <c r="D798" s="1108" t="s">
        <v>5786</v>
      </c>
      <c r="E798" s="1116" t="s">
        <v>5787</v>
      </c>
      <c r="F798" s="1117">
        <v>0.1</v>
      </c>
      <c r="G798" s="1109">
        <v>0.0</v>
      </c>
      <c r="H798" s="1116"/>
      <c r="I798" s="1118" t="str">
        <f t="shared" si="1"/>
        <v/>
      </c>
      <c r="J798" s="1110"/>
    </row>
    <row r="799" ht="18.75" customHeight="1">
      <c r="A799" s="1110"/>
      <c r="B799" s="1115" t="s">
        <v>5752</v>
      </c>
      <c r="C799" s="1108" t="s">
        <v>5753</v>
      </c>
      <c r="D799" s="1108" t="s">
        <v>5788</v>
      </c>
      <c r="E799" s="1116" t="s">
        <v>5789</v>
      </c>
      <c r="F799" s="1117">
        <v>0.1</v>
      </c>
      <c r="G799" s="1109">
        <v>0.0</v>
      </c>
      <c r="H799" s="1118">
        <v>16000.0</v>
      </c>
      <c r="I799" s="1118">
        <f t="shared" si="1"/>
        <v>14550</v>
      </c>
      <c r="J799" s="1110"/>
    </row>
    <row r="800" ht="18.75" customHeight="1">
      <c r="A800" s="1110"/>
      <c r="B800" s="1115" t="s">
        <v>5752</v>
      </c>
      <c r="C800" s="1108" t="s">
        <v>5753</v>
      </c>
      <c r="D800" s="1108" t="s">
        <v>5790</v>
      </c>
      <c r="E800" s="1116" t="s">
        <v>5791</v>
      </c>
      <c r="F800" s="1117">
        <v>0.1</v>
      </c>
      <c r="G800" s="1109">
        <v>0.0</v>
      </c>
      <c r="H800" s="1116"/>
      <c r="I800" s="1118" t="str">
        <f t="shared" si="1"/>
        <v/>
      </c>
      <c r="J800" s="1110"/>
    </row>
    <row r="801" ht="18.75" customHeight="1">
      <c r="A801" s="1110"/>
      <c r="B801" s="1115" t="s">
        <v>5752</v>
      </c>
      <c r="C801" s="1108" t="s">
        <v>5753</v>
      </c>
      <c r="D801" s="1108" t="s">
        <v>1208</v>
      </c>
      <c r="E801" s="1116" t="s">
        <v>1209</v>
      </c>
      <c r="F801" s="1117">
        <v>0.1</v>
      </c>
      <c r="G801" s="1109">
        <v>0.0</v>
      </c>
      <c r="H801" s="1118">
        <v>23400.0</v>
      </c>
      <c r="I801" s="1118">
        <f t="shared" si="1"/>
        <v>21270</v>
      </c>
      <c r="J801" s="1110"/>
    </row>
    <row r="802" ht="18.75" customHeight="1">
      <c r="A802" s="1110"/>
      <c r="B802" s="1115" t="s">
        <v>5752</v>
      </c>
      <c r="C802" s="1108" t="s">
        <v>5753</v>
      </c>
      <c r="D802" s="1108" t="s">
        <v>5792</v>
      </c>
      <c r="E802" s="1116" t="s">
        <v>5793</v>
      </c>
      <c r="F802" s="1117">
        <v>0.1</v>
      </c>
      <c r="G802" s="1109">
        <v>0.0</v>
      </c>
      <c r="H802" s="1116"/>
      <c r="I802" s="1118" t="str">
        <f t="shared" si="1"/>
        <v/>
      </c>
      <c r="J802" s="1110"/>
    </row>
    <row r="803" ht="18.75" customHeight="1">
      <c r="A803" s="1110"/>
      <c r="B803" s="1115" t="s">
        <v>5752</v>
      </c>
      <c r="C803" s="1108" t="s">
        <v>5753</v>
      </c>
      <c r="D803" s="1108" t="s">
        <v>5794</v>
      </c>
      <c r="E803" s="1116" t="s">
        <v>5795</v>
      </c>
      <c r="F803" s="1117">
        <v>0.1</v>
      </c>
      <c r="G803" s="1109">
        <v>0.0</v>
      </c>
      <c r="H803" s="1118"/>
      <c r="I803" s="1118" t="str">
        <f t="shared" si="1"/>
        <v/>
      </c>
      <c r="J803" s="1110"/>
    </row>
    <row r="804" ht="18.75" customHeight="1">
      <c r="A804" s="1110"/>
      <c r="B804" s="1115" t="s">
        <v>5752</v>
      </c>
      <c r="C804" s="1108" t="s">
        <v>5753</v>
      </c>
      <c r="D804" s="1108" t="s">
        <v>5796</v>
      </c>
      <c r="E804" s="1116" t="s">
        <v>5797</v>
      </c>
      <c r="F804" s="1117">
        <v>0.1</v>
      </c>
      <c r="G804" s="1109">
        <v>0.0</v>
      </c>
      <c r="H804" s="1116"/>
      <c r="I804" s="1118" t="str">
        <f t="shared" si="1"/>
        <v/>
      </c>
      <c r="J804" s="1110"/>
    </row>
    <row r="805" ht="18.75" customHeight="1">
      <c r="A805" s="1110"/>
      <c r="B805" s="1115" t="s">
        <v>5752</v>
      </c>
      <c r="C805" s="1108" t="s">
        <v>5753</v>
      </c>
      <c r="D805" s="1108" t="s">
        <v>5798</v>
      </c>
      <c r="E805" s="1116" t="s">
        <v>5799</v>
      </c>
      <c r="F805" s="1117">
        <v>0.1</v>
      </c>
      <c r="G805" s="1109">
        <v>0.0</v>
      </c>
      <c r="H805" s="1116"/>
      <c r="I805" s="1118" t="str">
        <f t="shared" si="1"/>
        <v/>
      </c>
      <c r="J805" s="1110"/>
    </row>
    <row r="806" ht="18.75" customHeight="1">
      <c r="A806" s="1110"/>
      <c r="B806" s="1115" t="s">
        <v>5752</v>
      </c>
      <c r="C806" s="1108" t="s">
        <v>5753</v>
      </c>
      <c r="D806" s="1108" t="s">
        <v>5800</v>
      </c>
      <c r="E806" s="1116" t="s">
        <v>5801</v>
      </c>
      <c r="F806" s="1117">
        <v>0.1</v>
      </c>
      <c r="G806" s="1109">
        <v>0.0</v>
      </c>
      <c r="H806" s="1116"/>
      <c r="I806" s="1118" t="str">
        <f t="shared" si="1"/>
        <v/>
      </c>
      <c r="J806" s="1110"/>
    </row>
    <row r="807" ht="18.75" customHeight="1">
      <c r="A807" s="1110"/>
      <c r="B807" s="1115" t="s">
        <v>5752</v>
      </c>
      <c r="C807" s="1108" t="s">
        <v>5753</v>
      </c>
      <c r="D807" s="1108" t="s">
        <v>5802</v>
      </c>
      <c r="E807" s="1116" t="s">
        <v>5803</v>
      </c>
      <c r="F807" s="1117">
        <v>0.1</v>
      </c>
      <c r="G807" s="1109">
        <v>0.0</v>
      </c>
      <c r="H807" s="1116"/>
      <c r="I807" s="1118" t="str">
        <f t="shared" si="1"/>
        <v/>
      </c>
      <c r="J807" s="1110"/>
    </row>
    <row r="808" ht="18.75" customHeight="1">
      <c r="A808" s="1110"/>
      <c r="B808" s="1115" t="s">
        <v>5752</v>
      </c>
      <c r="C808" s="1108" t="s">
        <v>5753</v>
      </c>
      <c r="D808" s="1108" t="s">
        <v>5804</v>
      </c>
      <c r="E808" s="1116" t="s">
        <v>5805</v>
      </c>
      <c r="F808" s="1117">
        <v>0.1</v>
      </c>
      <c r="G808" s="1109">
        <v>0.0</v>
      </c>
      <c r="H808" s="1116"/>
      <c r="I808" s="1118" t="str">
        <f t="shared" si="1"/>
        <v/>
      </c>
      <c r="J808" s="1110"/>
    </row>
    <row r="809" ht="18.75" customHeight="1">
      <c r="A809" s="1110"/>
      <c r="B809" s="1115" t="s">
        <v>5752</v>
      </c>
      <c r="C809" s="1108" t="s">
        <v>5753</v>
      </c>
      <c r="D809" s="1108" t="s">
        <v>5806</v>
      </c>
      <c r="E809" s="1116" t="s">
        <v>5807</v>
      </c>
      <c r="F809" s="1117">
        <v>0.1</v>
      </c>
      <c r="G809" s="1109">
        <v>0.0</v>
      </c>
      <c r="H809" s="1118">
        <v>8800.0</v>
      </c>
      <c r="I809" s="1118">
        <f t="shared" si="1"/>
        <v>8000</v>
      </c>
      <c r="J809" s="1110"/>
    </row>
    <row r="810" ht="18.75" customHeight="1">
      <c r="A810" s="1110"/>
      <c r="B810" s="1115" t="s">
        <v>5752</v>
      </c>
      <c r="C810" s="1108" t="s">
        <v>5753</v>
      </c>
      <c r="D810" s="1108" t="s">
        <v>1142</v>
      </c>
      <c r="E810" s="1116" t="s">
        <v>1143</v>
      </c>
      <c r="F810" s="1117">
        <v>0.1</v>
      </c>
      <c r="G810" s="1109">
        <v>0.0</v>
      </c>
      <c r="H810" s="1118">
        <v>13200.0</v>
      </c>
      <c r="I810" s="1118">
        <f t="shared" si="1"/>
        <v>12000</v>
      </c>
      <c r="J810" s="1110"/>
    </row>
    <row r="811" ht="18.75" customHeight="1">
      <c r="A811" s="1110"/>
      <c r="B811" s="1115" t="s">
        <v>5752</v>
      </c>
      <c r="C811" s="1108" t="s">
        <v>5753</v>
      </c>
      <c r="D811" s="1108" t="s">
        <v>5808</v>
      </c>
      <c r="E811" s="1116" t="s">
        <v>5809</v>
      </c>
      <c r="F811" s="1117">
        <v>0.1</v>
      </c>
      <c r="G811" s="1109">
        <v>0.0</v>
      </c>
      <c r="H811" s="1116"/>
      <c r="I811" s="1118" t="str">
        <f t="shared" si="1"/>
        <v/>
      </c>
      <c r="J811" s="1110"/>
    </row>
    <row r="812" ht="18.75" customHeight="1">
      <c r="A812" s="1110"/>
      <c r="B812" s="1115" t="s">
        <v>5752</v>
      </c>
      <c r="C812" s="1108" t="s">
        <v>5753</v>
      </c>
      <c r="D812" s="1108" t="s">
        <v>1158</v>
      </c>
      <c r="E812" s="1116" t="s">
        <v>1159</v>
      </c>
      <c r="F812" s="1117">
        <v>0.1</v>
      </c>
      <c r="G812" s="1109">
        <v>0.0</v>
      </c>
      <c r="H812" s="1118">
        <v>18400.0</v>
      </c>
      <c r="I812" s="1118">
        <f t="shared" si="1"/>
        <v>16730</v>
      </c>
      <c r="J812" s="1110"/>
    </row>
    <row r="813" ht="18.75" customHeight="1">
      <c r="A813" s="1110"/>
      <c r="B813" s="1115" t="s">
        <v>5752</v>
      </c>
      <c r="C813" s="1108" t="s">
        <v>5753</v>
      </c>
      <c r="D813" s="1108" t="s">
        <v>5810</v>
      </c>
      <c r="E813" s="1116" t="s">
        <v>5811</v>
      </c>
      <c r="F813" s="1117">
        <v>0.1</v>
      </c>
      <c r="G813" s="1109">
        <v>0.0</v>
      </c>
      <c r="H813" s="1116"/>
      <c r="I813" s="1118" t="str">
        <f t="shared" si="1"/>
        <v/>
      </c>
      <c r="J813" s="1110"/>
    </row>
    <row r="814" ht="18.75" customHeight="1">
      <c r="A814" s="1110"/>
      <c r="B814" s="1115" t="s">
        <v>5752</v>
      </c>
      <c r="C814" s="1108" t="s">
        <v>5753</v>
      </c>
      <c r="D814" s="1108" t="s">
        <v>1170</v>
      </c>
      <c r="E814" s="1116" t="s">
        <v>1171</v>
      </c>
      <c r="F814" s="1117">
        <v>0.1</v>
      </c>
      <c r="G814" s="1109">
        <v>0.0</v>
      </c>
      <c r="H814" s="1118">
        <v>23400.0</v>
      </c>
      <c r="I814" s="1118">
        <f t="shared" si="1"/>
        <v>21270</v>
      </c>
      <c r="J814" s="1110"/>
    </row>
    <row r="815" ht="18.75" customHeight="1">
      <c r="A815" s="1110"/>
      <c r="B815" s="1115" t="s">
        <v>5752</v>
      </c>
      <c r="C815" s="1108" t="s">
        <v>5753</v>
      </c>
      <c r="D815" s="1108" t="s">
        <v>5812</v>
      </c>
      <c r="E815" s="1116" t="s">
        <v>5813</v>
      </c>
      <c r="F815" s="1117">
        <v>0.1</v>
      </c>
      <c r="G815" s="1109">
        <v>0.0</v>
      </c>
      <c r="H815" s="1118">
        <v>21000.0</v>
      </c>
      <c r="I815" s="1118">
        <f t="shared" si="1"/>
        <v>19090</v>
      </c>
      <c r="J815" s="1110"/>
    </row>
    <row r="816" ht="18.75" customHeight="1">
      <c r="A816" s="1110"/>
      <c r="B816" s="1115" t="s">
        <v>5752</v>
      </c>
      <c r="C816" s="1108" t="s">
        <v>5753</v>
      </c>
      <c r="D816" s="1108" t="s">
        <v>5814</v>
      </c>
      <c r="E816" s="1116" t="s">
        <v>5815</v>
      </c>
      <c r="F816" s="1117">
        <v>0.1</v>
      </c>
      <c r="G816" s="1109">
        <v>0.0</v>
      </c>
      <c r="H816" s="1116"/>
      <c r="I816" s="1118" t="str">
        <f t="shared" si="1"/>
        <v/>
      </c>
      <c r="J816" s="1110"/>
    </row>
    <row r="817" ht="18.75" customHeight="1">
      <c r="A817" s="1110"/>
      <c r="B817" s="1115" t="s">
        <v>5752</v>
      </c>
      <c r="C817" s="1108" t="s">
        <v>5753</v>
      </c>
      <c r="D817" s="1108" t="s">
        <v>1194</v>
      </c>
      <c r="E817" s="1116" t="s">
        <v>1195</v>
      </c>
      <c r="F817" s="1117">
        <v>0.1</v>
      </c>
      <c r="G817" s="1109">
        <v>0.0</v>
      </c>
      <c r="H817" s="1118">
        <v>29600.0</v>
      </c>
      <c r="I817" s="1118">
        <f t="shared" si="1"/>
        <v>26910</v>
      </c>
      <c r="J817" s="1110"/>
    </row>
    <row r="818" ht="18.75" customHeight="1">
      <c r="A818" s="1110"/>
      <c r="B818" s="1115" t="s">
        <v>5752</v>
      </c>
      <c r="C818" s="1108" t="s">
        <v>5753</v>
      </c>
      <c r="D818" s="1108" t="s">
        <v>5816</v>
      </c>
      <c r="E818" s="1116" t="s">
        <v>5817</v>
      </c>
      <c r="F818" s="1117">
        <v>0.1</v>
      </c>
      <c r="G818" s="1109">
        <v>0.0</v>
      </c>
      <c r="H818" s="1116"/>
      <c r="I818" s="1118" t="str">
        <f t="shared" si="1"/>
        <v/>
      </c>
      <c r="J818" s="1110"/>
    </row>
    <row r="819" ht="18.75" customHeight="1">
      <c r="A819" s="1110"/>
      <c r="B819" s="1115" t="s">
        <v>5752</v>
      </c>
      <c r="C819" s="1108" t="s">
        <v>5753</v>
      </c>
      <c r="D819" s="1108" t="s">
        <v>1210</v>
      </c>
      <c r="E819" s="1116" t="s">
        <v>1211</v>
      </c>
      <c r="F819" s="1117">
        <v>0.1</v>
      </c>
      <c r="G819" s="1109">
        <v>0.0</v>
      </c>
      <c r="H819" s="1118">
        <v>34700.0</v>
      </c>
      <c r="I819" s="1118">
        <f t="shared" si="1"/>
        <v>31550</v>
      </c>
      <c r="J819" s="1110"/>
    </row>
    <row r="820" ht="18.75" customHeight="1">
      <c r="A820" s="1110"/>
      <c r="B820" s="1115" t="s">
        <v>5752</v>
      </c>
      <c r="C820" s="1108" t="s">
        <v>5753</v>
      </c>
      <c r="D820" s="1108" t="s">
        <v>5818</v>
      </c>
      <c r="E820" s="1116" t="s">
        <v>5819</v>
      </c>
      <c r="F820" s="1117">
        <v>0.1</v>
      </c>
      <c r="G820" s="1109">
        <v>0.0</v>
      </c>
      <c r="H820" s="1116"/>
      <c r="I820" s="1118" t="str">
        <f t="shared" si="1"/>
        <v/>
      </c>
      <c r="J820" s="1110"/>
    </row>
    <row r="821" ht="18.75" customHeight="1">
      <c r="A821" s="1110"/>
      <c r="B821" s="1115" t="s">
        <v>5752</v>
      </c>
      <c r="C821" s="1108" t="s">
        <v>5753</v>
      </c>
      <c r="D821" s="1108" t="s">
        <v>5820</v>
      </c>
      <c r="E821" s="1116" t="s">
        <v>5821</v>
      </c>
      <c r="F821" s="1117">
        <v>0.1</v>
      </c>
      <c r="G821" s="1109">
        <v>0.0</v>
      </c>
      <c r="H821" s="1118">
        <v>33700.0</v>
      </c>
      <c r="I821" s="1118">
        <f t="shared" si="1"/>
        <v>30640</v>
      </c>
      <c r="J821" s="1110"/>
    </row>
    <row r="822" ht="18.75" customHeight="1">
      <c r="A822" s="1110"/>
      <c r="B822" s="1115" t="s">
        <v>5752</v>
      </c>
      <c r="C822" s="1108" t="s">
        <v>5753</v>
      </c>
      <c r="D822" s="1108" t="s">
        <v>5822</v>
      </c>
      <c r="E822" s="1116" t="s">
        <v>5823</v>
      </c>
      <c r="F822" s="1117">
        <v>0.1</v>
      </c>
      <c r="G822" s="1109">
        <v>0.0</v>
      </c>
      <c r="H822" s="1116"/>
      <c r="I822" s="1118" t="str">
        <f t="shared" si="1"/>
        <v/>
      </c>
      <c r="J822" s="1110"/>
    </row>
    <row r="823" ht="18.75" customHeight="1">
      <c r="A823" s="1110"/>
      <c r="B823" s="1115" t="s">
        <v>5752</v>
      </c>
      <c r="C823" s="1108" t="s">
        <v>5753</v>
      </c>
      <c r="D823" s="1108" t="s">
        <v>5824</v>
      </c>
      <c r="E823" s="1116" t="s">
        <v>5825</v>
      </c>
      <c r="F823" s="1117">
        <v>0.1</v>
      </c>
      <c r="G823" s="1109">
        <v>0.0</v>
      </c>
      <c r="H823" s="1116"/>
      <c r="I823" s="1118" t="str">
        <f t="shared" si="1"/>
        <v/>
      </c>
      <c r="J823" s="1110"/>
    </row>
    <row r="824" ht="18.75" customHeight="1">
      <c r="A824" s="1110"/>
      <c r="B824" s="1115" t="s">
        <v>5752</v>
      </c>
      <c r="C824" s="1108" t="s">
        <v>5753</v>
      </c>
      <c r="D824" s="1108" t="s">
        <v>1214</v>
      </c>
      <c r="E824" s="1116" t="s">
        <v>1215</v>
      </c>
      <c r="F824" s="1117">
        <v>0.1</v>
      </c>
      <c r="G824" s="1109">
        <v>0.0</v>
      </c>
      <c r="H824" s="1118">
        <v>50900.0</v>
      </c>
      <c r="I824" s="1118">
        <f t="shared" si="1"/>
        <v>46270</v>
      </c>
      <c r="J824" s="1110"/>
    </row>
    <row r="825" ht="18.75" customHeight="1">
      <c r="A825" s="1110"/>
      <c r="B825" s="1115" t="s">
        <v>5752</v>
      </c>
      <c r="C825" s="1108" t="s">
        <v>5753</v>
      </c>
      <c r="D825" s="1108" t="s">
        <v>5826</v>
      </c>
      <c r="E825" s="1116" t="s">
        <v>5827</v>
      </c>
      <c r="F825" s="1117">
        <v>0.1</v>
      </c>
      <c r="G825" s="1109">
        <v>0.0</v>
      </c>
      <c r="H825" s="1116"/>
      <c r="I825" s="1118" t="str">
        <f t="shared" si="1"/>
        <v/>
      </c>
      <c r="J825" s="1110"/>
    </row>
    <row r="826" ht="18.75" customHeight="1">
      <c r="A826" s="1110"/>
      <c r="B826" s="1115" t="s">
        <v>5752</v>
      </c>
      <c r="C826" s="1108" t="s">
        <v>5753</v>
      </c>
      <c r="D826" s="1108" t="s">
        <v>5828</v>
      </c>
      <c r="E826" s="1116" t="s">
        <v>5829</v>
      </c>
      <c r="F826" s="1117">
        <v>0.1</v>
      </c>
      <c r="G826" s="1109">
        <v>0.0</v>
      </c>
      <c r="H826" s="1116"/>
      <c r="I826" s="1118" t="str">
        <f t="shared" si="1"/>
        <v/>
      </c>
      <c r="J826" s="1110"/>
    </row>
    <row r="827" ht="18.75" customHeight="1">
      <c r="A827" s="1110"/>
      <c r="B827" s="1115" t="s">
        <v>5752</v>
      </c>
      <c r="C827" s="1108" t="s">
        <v>5753</v>
      </c>
      <c r="D827" s="1108" t="s">
        <v>5830</v>
      </c>
      <c r="E827" s="1116" t="s">
        <v>5831</v>
      </c>
      <c r="F827" s="1117">
        <v>0.1</v>
      </c>
      <c r="G827" s="1109">
        <v>0.0</v>
      </c>
      <c r="H827" s="1116"/>
      <c r="I827" s="1118" t="str">
        <f t="shared" si="1"/>
        <v/>
      </c>
      <c r="J827" s="1110"/>
    </row>
    <row r="828" ht="18.75" customHeight="1">
      <c r="A828" s="1110"/>
      <c r="B828" s="1115" t="s">
        <v>5752</v>
      </c>
      <c r="C828" s="1108" t="s">
        <v>5753</v>
      </c>
      <c r="D828" s="1108" t="s">
        <v>5832</v>
      </c>
      <c r="E828" s="1116" t="s">
        <v>5833</v>
      </c>
      <c r="F828" s="1117">
        <v>0.1</v>
      </c>
      <c r="G828" s="1109">
        <v>0.0</v>
      </c>
      <c r="H828" s="1118"/>
      <c r="I828" s="1118" t="str">
        <f t="shared" si="1"/>
        <v/>
      </c>
      <c r="J828" s="1110"/>
    </row>
    <row r="829" ht="18.75" customHeight="1">
      <c r="A829" s="1110"/>
      <c r="B829" s="1115" t="s">
        <v>5752</v>
      </c>
      <c r="C829" s="1108" t="s">
        <v>5753</v>
      </c>
      <c r="D829" s="1108" t="s">
        <v>5834</v>
      </c>
      <c r="E829" s="1116" t="s">
        <v>5835</v>
      </c>
      <c r="F829" s="1117">
        <v>0.1</v>
      </c>
      <c r="G829" s="1109">
        <v>0.0</v>
      </c>
      <c r="H829" s="1116"/>
      <c r="I829" s="1118" t="str">
        <f t="shared" si="1"/>
        <v/>
      </c>
      <c r="J829" s="1110"/>
    </row>
    <row r="830" ht="18.75" customHeight="1">
      <c r="A830" s="1110"/>
      <c r="B830" s="1115" t="s">
        <v>5752</v>
      </c>
      <c r="C830" s="1108" t="s">
        <v>5753</v>
      </c>
      <c r="D830" s="1108" t="s">
        <v>5836</v>
      </c>
      <c r="E830" s="1116" t="s">
        <v>5837</v>
      </c>
      <c r="F830" s="1117">
        <v>0.1</v>
      </c>
      <c r="G830" s="1109">
        <v>0.0</v>
      </c>
      <c r="H830" s="1116"/>
      <c r="I830" s="1118" t="str">
        <f t="shared" si="1"/>
        <v/>
      </c>
      <c r="J830" s="1110"/>
    </row>
    <row r="831" ht="18.75" customHeight="1">
      <c r="A831" s="1110"/>
      <c r="B831" s="1115" t="s">
        <v>5752</v>
      </c>
      <c r="C831" s="1108" t="s">
        <v>5753</v>
      </c>
      <c r="D831" s="1108" t="s">
        <v>5838</v>
      </c>
      <c r="E831" s="1116" t="s">
        <v>5839</v>
      </c>
      <c r="F831" s="1117">
        <v>0.1</v>
      </c>
      <c r="G831" s="1109">
        <v>0.0</v>
      </c>
      <c r="H831" s="1116"/>
      <c r="I831" s="1118" t="str">
        <f t="shared" si="1"/>
        <v/>
      </c>
      <c r="J831" s="1110"/>
    </row>
    <row r="832" ht="18.75" customHeight="1">
      <c r="A832" s="1110"/>
      <c r="B832" s="1115" t="s">
        <v>5752</v>
      </c>
      <c r="C832" s="1108" t="s">
        <v>5753</v>
      </c>
      <c r="D832" s="1108" t="s">
        <v>5840</v>
      </c>
      <c r="E832" s="1116" t="s">
        <v>5841</v>
      </c>
      <c r="F832" s="1117">
        <v>0.1</v>
      </c>
      <c r="G832" s="1109">
        <v>0.0</v>
      </c>
      <c r="H832" s="1116"/>
      <c r="I832" s="1118" t="str">
        <f t="shared" si="1"/>
        <v/>
      </c>
      <c r="J832" s="1110"/>
    </row>
    <row r="833" ht="18.75" customHeight="1">
      <c r="A833" s="1110"/>
      <c r="B833" s="1115" t="s">
        <v>5752</v>
      </c>
      <c r="C833" s="1108" t="s">
        <v>5753</v>
      </c>
      <c r="D833" s="1108" t="s">
        <v>1149</v>
      </c>
      <c r="E833" s="1116" t="s">
        <v>1150</v>
      </c>
      <c r="F833" s="1117">
        <v>0.1</v>
      </c>
      <c r="G833" s="1109">
        <v>0.0</v>
      </c>
      <c r="H833" s="1118">
        <v>24400.0</v>
      </c>
      <c r="I833" s="1118">
        <f t="shared" si="1"/>
        <v>22180</v>
      </c>
      <c r="J833" s="1110"/>
    </row>
    <row r="834" ht="18.75" customHeight="1">
      <c r="A834" s="1110"/>
      <c r="B834" s="1115" t="s">
        <v>5752</v>
      </c>
      <c r="C834" s="1108" t="s">
        <v>5753</v>
      </c>
      <c r="D834" s="1108" t="s">
        <v>5842</v>
      </c>
      <c r="E834" s="1116" t="s">
        <v>5843</v>
      </c>
      <c r="F834" s="1117">
        <v>0.1</v>
      </c>
      <c r="G834" s="1109">
        <v>0.0</v>
      </c>
      <c r="H834" s="1118">
        <v>23500.0</v>
      </c>
      <c r="I834" s="1118">
        <f t="shared" si="1"/>
        <v>21360</v>
      </c>
      <c r="J834" s="1110"/>
    </row>
    <row r="835" ht="18.75" customHeight="1">
      <c r="A835" s="1110"/>
      <c r="B835" s="1115" t="s">
        <v>5752</v>
      </c>
      <c r="C835" s="1108" t="s">
        <v>5753</v>
      </c>
      <c r="D835" s="1108" t="s">
        <v>5844</v>
      </c>
      <c r="E835" s="1116" t="s">
        <v>5845</v>
      </c>
      <c r="F835" s="1117">
        <v>0.1</v>
      </c>
      <c r="G835" s="1109">
        <v>0.0</v>
      </c>
      <c r="H835" s="1118">
        <v>25300.0</v>
      </c>
      <c r="I835" s="1118">
        <f t="shared" si="1"/>
        <v>23000</v>
      </c>
      <c r="J835" s="1110"/>
    </row>
    <row r="836" ht="18.75" customHeight="1">
      <c r="A836" s="1110"/>
      <c r="B836" s="1115" t="s">
        <v>5752</v>
      </c>
      <c r="C836" s="1108" t="s">
        <v>5753</v>
      </c>
      <c r="D836" s="1108" t="s">
        <v>1166</v>
      </c>
      <c r="E836" s="1116" t="s">
        <v>1167</v>
      </c>
      <c r="F836" s="1117">
        <v>0.1</v>
      </c>
      <c r="G836" s="1109">
        <v>0.0</v>
      </c>
      <c r="H836" s="1118">
        <v>33700.0</v>
      </c>
      <c r="I836" s="1118">
        <f t="shared" si="1"/>
        <v>30640</v>
      </c>
      <c r="J836" s="1110"/>
    </row>
    <row r="837" ht="18.75" customHeight="1">
      <c r="A837" s="1110"/>
      <c r="B837" s="1115" t="s">
        <v>5752</v>
      </c>
      <c r="C837" s="1108" t="s">
        <v>5753</v>
      </c>
      <c r="D837" s="1108" t="s">
        <v>5846</v>
      </c>
      <c r="E837" s="1116" t="s">
        <v>5847</v>
      </c>
      <c r="F837" s="1117">
        <v>0.1</v>
      </c>
      <c r="G837" s="1109">
        <v>0.0</v>
      </c>
      <c r="H837" s="1116"/>
      <c r="I837" s="1118" t="str">
        <f t="shared" si="1"/>
        <v/>
      </c>
      <c r="J837" s="1110"/>
    </row>
    <row r="838" ht="18.75" customHeight="1">
      <c r="A838" s="1110"/>
      <c r="B838" s="1115" t="s">
        <v>5752</v>
      </c>
      <c r="C838" s="1108" t="s">
        <v>5753</v>
      </c>
      <c r="D838" s="1108" t="s">
        <v>1177</v>
      </c>
      <c r="E838" s="1116" t="s">
        <v>1178</v>
      </c>
      <c r="F838" s="1117">
        <v>0.1</v>
      </c>
      <c r="G838" s="1109">
        <v>0.0</v>
      </c>
      <c r="H838" s="1118">
        <v>41800.0</v>
      </c>
      <c r="I838" s="1118">
        <f t="shared" si="1"/>
        <v>38000</v>
      </c>
      <c r="J838" s="1110"/>
    </row>
    <row r="839" ht="18.75" customHeight="1">
      <c r="A839" s="1110"/>
      <c r="B839" s="1115" t="s">
        <v>5752</v>
      </c>
      <c r="C839" s="1108" t="s">
        <v>5753</v>
      </c>
      <c r="D839" s="1108" t="s">
        <v>1191</v>
      </c>
      <c r="E839" s="1116" t="s">
        <v>1192</v>
      </c>
      <c r="F839" s="1117">
        <v>0.1</v>
      </c>
      <c r="G839" s="1109">
        <v>0.0</v>
      </c>
      <c r="H839" s="1118">
        <v>44800.0</v>
      </c>
      <c r="I839" s="1118">
        <f t="shared" si="1"/>
        <v>40730</v>
      </c>
      <c r="J839" s="1110"/>
    </row>
    <row r="840" ht="18.75" customHeight="1">
      <c r="A840" s="1110"/>
      <c r="B840" s="1115" t="s">
        <v>5752</v>
      </c>
      <c r="C840" s="1108" t="s">
        <v>5753</v>
      </c>
      <c r="D840" s="1108" t="s">
        <v>5848</v>
      </c>
      <c r="E840" s="1116" t="s">
        <v>5849</v>
      </c>
      <c r="F840" s="1117">
        <v>0.1</v>
      </c>
      <c r="G840" s="1109">
        <v>0.0</v>
      </c>
      <c r="H840" s="1118">
        <v>40400.0</v>
      </c>
      <c r="I840" s="1118">
        <f t="shared" si="1"/>
        <v>36730</v>
      </c>
      <c r="J840" s="1110"/>
    </row>
    <row r="841" ht="18.75" customHeight="1">
      <c r="A841" s="1110"/>
      <c r="B841" s="1115" t="s">
        <v>5752</v>
      </c>
      <c r="C841" s="1108" t="s">
        <v>5753</v>
      </c>
      <c r="D841" s="1108" t="s">
        <v>5850</v>
      </c>
      <c r="E841" s="1116" t="s">
        <v>5851</v>
      </c>
      <c r="F841" s="1117">
        <v>0.1</v>
      </c>
      <c r="G841" s="1109">
        <v>0.0</v>
      </c>
      <c r="H841" s="1116"/>
      <c r="I841" s="1118" t="str">
        <f t="shared" si="1"/>
        <v/>
      </c>
      <c r="J841" s="1110"/>
    </row>
    <row r="842" ht="18.75" customHeight="1">
      <c r="A842" s="1110"/>
      <c r="B842" s="1115" t="s">
        <v>5752</v>
      </c>
      <c r="C842" s="1108" t="s">
        <v>5753</v>
      </c>
      <c r="D842" s="1108" t="s">
        <v>5852</v>
      </c>
      <c r="E842" s="1116" t="s">
        <v>5853</v>
      </c>
      <c r="F842" s="1117">
        <v>0.1</v>
      </c>
      <c r="G842" s="1109">
        <v>0.0</v>
      </c>
      <c r="H842" s="1116"/>
      <c r="I842" s="1118" t="str">
        <f t="shared" si="1"/>
        <v/>
      </c>
      <c r="J842" s="1110"/>
    </row>
    <row r="843" ht="18.75" customHeight="1">
      <c r="A843" s="1110"/>
      <c r="B843" s="1115" t="s">
        <v>5752</v>
      </c>
      <c r="C843" s="1108" t="s">
        <v>5753</v>
      </c>
      <c r="D843" s="1108" t="s">
        <v>5854</v>
      </c>
      <c r="E843" s="1116" t="s">
        <v>5855</v>
      </c>
      <c r="F843" s="1117">
        <v>0.1</v>
      </c>
      <c r="G843" s="1109">
        <v>0.0</v>
      </c>
      <c r="H843" s="1118"/>
      <c r="I843" s="1118" t="str">
        <f t="shared" si="1"/>
        <v/>
      </c>
      <c r="J843" s="1110"/>
    </row>
    <row r="844" ht="18.75" customHeight="1">
      <c r="A844" s="1110"/>
      <c r="B844" s="1115" t="s">
        <v>5752</v>
      </c>
      <c r="C844" s="1108" t="s">
        <v>5753</v>
      </c>
      <c r="D844" s="1108" t="s">
        <v>5856</v>
      </c>
      <c r="E844" s="1116" t="s">
        <v>5857</v>
      </c>
      <c r="F844" s="1117">
        <v>0.1</v>
      </c>
      <c r="G844" s="1109">
        <v>0.0</v>
      </c>
      <c r="H844" s="1116"/>
      <c r="I844" s="1118" t="str">
        <f t="shared" si="1"/>
        <v/>
      </c>
      <c r="J844" s="1110"/>
    </row>
    <row r="845" ht="18.75" customHeight="1">
      <c r="A845" s="1110"/>
      <c r="B845" s="1115" t="s">
        <v>5752</v>
      </c>
      <c r="C845" s="1108" t="s">
        <v>5753</v>
      </c>
      <c r="D845" s="1108" t="s">
        <v>5858</v>
      </c>
      <c r="E845" s="1116" t="s">
        <v>5859</v>
      </c>
      <c r="F845" s="1117">
        <v>0.1</v>
      </c>
      <c r="G845" s="1109">
        <v>0.0</v>
      </c>
      <c r="H845" s="1116"/>
      <c r="I845" s="1118" t="str">
        <f t="shared" si="1"/>
        <v/>
      </c>
      <c r="J845" s="1110"/>
    </row>
    <row r="846" ht="18.75" customHeight="1">
      <c r="A846" s="1110"/>
      <c r="B846" s="1115" t="s">
        <v>5752</v>
      </c>
      <c r="C846" s="1108" t="s">
        <v>5753</v>
      </c>
      <c r="D846" s="1108" t="s">
        <v>5860</v>
      </c>
      <c r="E846" s="1116" t="s">
        <v>5861</v>
      </c>
      <c r="F846" s="1117">
        <v>0.1</v>
      </c>
      <c r="G846" s="1109">
        <v>0.0</v>
      </c>
      <c r="H846" s="1118">
        <v>80700.0</v>
      </c>
      <c r="I846" s="1118">
        <f t="shared" si="1"/>
        <v>73360</v>
      </c>
      <c r="J846" s="1110"/>
    </row>
    <row r="847" ht="18.75" customHeight="1">
      <c r="A847" s="1110"/>
      <c r="B847" s="1115" t="s">
        <v>5752</v>
      </c>
      <c r="C847" s="1108" t="s">
        <v>5753</v>
      </c>
      <c r="D847" s="1108" t="s">
        <v>5862</v>
      </c>
      <c r="E847" s="1116" t="s">
        <v>5863</v>
      </c>
      <c r="F847" s="1117">
        <v>0.1</v>
      </c>
      <c r="G847" s="1109">
        <v>0.0</v>
      </c>
      <c r="H847" s="1116"/>
      <c r="I847" s="1118" t="str">
        <f t="shared" si="1"/>
        <v/>
      </c>
      <c r="J847" s="1110"/>
    </row>
    <row r="848" ht="18.75" customHeight="1">
      <c r="A848" s="1110"/>
      <c r="B848" s="1115" t="s">
        <v>5752</v>
      </c>
      <c r="C848" s="1108" t="s">
        <v>5753</v>
      </c>
      <c r="D848" s="1108" t="s">
        <v>5864</v>
      </c>
      <c r="E848" s="1116" t="s">
        <v>5865</v>
      </c>
      <c r="F848" s="1117">
        <v>0.1</v>
      </c>
      <c r="G848" s="1109">
        <v>0.0</v>
      </c>
      <c r="H848" s="1116"/>
      <c r="I848" s="1118" t="str">
        <f t="shared" si="1"/>
        <v/>
      </c>
      <c r="J848" s="1110"/>
    </row>
    <row r="849" ht="18.75" customHeight="1">
      <c r="A849" s="1110"/>
      <c r="B849" s="1115" t="s">
        <v>5752</v>
      </c>
      <c r="C849" s="1108" t="s">
        <v>5753</v>
      </c>
      <c r="D849" s="1108" t="s">
        <v>5866</v>
      </c>
      <c r="E849" s="1116" t="s">
        <v>5867</v>
      </c>
      <c r="F849" s="1117">
        <v>0.1</v>
      </c>
      <c r="G849" s="1109">
        <v>0.0</v>
      </c>
      <c r="H849" s="1116"/>
      <c r="I849" s="1118" t="str">
        <f t="shared" si="1"/>
        <v/>
      </c>
      <c r="J849" s="1110"/>
    </row>
    <row r="850" ht="18.75" customHeight="1">
      <c r="A850" s="1110"/>
      <c r="B850" s="1115" t="s">
        <v>5752</v>
      </c>
      <c r="C850" s="1108" t="s">
        <v>5753</v>
      </c>
      <c r="D850" s="1108" t="s">
        <v>5868</v>
      </c>
      <c r="E850" s="1116" t="s">
        <v>5869</v>
      </c>
      <c r="F850" s="1117">
        <v>0.1</v>
      </c>
      <c r="G850" s="1109">
        <v>0.0</v>
      </c>
      <c r="H850" s="1118">
        <v>113600.0</v>
      </c>
      <c r="I850" s="1118">
        <f t="shared" si="1"/>
        <v>103270</v>
      </c>
      <c r="J850" s="1110"/>
    </row>
    <row r="851" ht="18.75" customHeight="1">
      <c r="A851" s="1110"/>
      <c r="B851" s="1115" t="s">
        <v>5752</v>
      </c>
      <c r="C851" s="1108" t="s">
        <v>5753</v>
      </c>
      <c r="D851" s="1108" t="s">
        <v>5870</v>
      </c>
      <c r="E851" s="1116" t="s">
        <v>5871</v>
      </c>
      <c r="F851" s="1117">
        <v>0.1</v>
      </c>
      <c r="G851" s="1109">
        <v>0.0</v>
      </c>
      <c r="H851" s="1116"/>
      <c r="I851" s="1118" t="str">
        <f t="shared" si="1"/>
        <v/>
      </c>
      <c r="J851" s="1110"/>
    </row>
    <row r="852" ht="18.75" customHeight="1">
      <c r="A852" s="1110"/>
      <c r="B852" s="1115" t="s">
        <v>5752</v>
      </c>
      <c r="C852" s="1108" t="s">
        <v>5753</v>
      </c>
      <c r="D852" s="1108" t="s">
        <v>5872</v>
      </c>
      <c r="E852" s="1116" t="s">
        <v>5873</v>
      </c>
      <c r="F852" s="1117">
        <v>0.1</v>
      </c>
      <c r="G852" s="1109">
        <v>0.0</v>
      </c>
      <c r="H852" s="1116"/>
      <c r="I852" s="1118" t="str">
        <f t="shared" si="1"/>
        <v/>
      </c>
      <c r="J852" s="1110"/>
    </row>
    <row r="853" ht="18.75" customHeight="1">
      <c r="A853" s="1110"/>
      <c r="B853" s="1115" t="s">
        <v>5752</v>
      </c>
      <c r="C853" s="1108" t="s">
        <v>5753</v>
      </c>
      <c r="D853" s="1108" t="s">
        <v>5874</v>
      </c>
      <c r="E853" s="1116" t="s">
        <v>5875</v>
      </c>
      <c r="F853" s="1117">
        <v>0.1</v>
      </c>
      <c r="G853" s="1109">
        <v>0.0</v>
      </c>
      <c r="H853" s="1116"/>
      <c r="I853" s="1118" t="str">
        <f t="shared" si="1"/>
        <v/>
      </c>
      <c r="J853" s="1110"/>
    </row>
    <row r="854" ht="18.75" customHeight="1">
      <c r="A854" s="1110"/>
      <c r="B854" s="1115" t="s">
        <v>5752</v>
      </c>
      <c r="C854" s="1108" t="s">
        <v>5753</v>
      </c>
      <c r="D854" s="1108" t="s">
        <v>5876</v>
      </c>
      <c r="E854" s="1116" t="s">
        <v>5877</v>
      </c>
      <c r="F854" s="1117">
        <v>0.1</v>
      </c>
      <c r="G854" s="1109">
        <v>0.0</v>
      </c>
      <c r="H854" s="1116"/>
      <c r="I854" s="1118" t="str">
        <f t="shared" si="1"/>
        <v/>
      </c>
      <c r="J854" s="1110"/>
    </row>
    <row r="855" ht="18.75" customHeight="1">
      <c r="A855" s="1110"/>
      <c r="B855" s="1115" t="s">
        <v>5752</v>
      </c>
      <c r="C855" s="1108" t="s">
        <v>5753</v>
      </c>
      <c r="D855" s="1108" t="s">
        <v>5878</v>
      </c>
      <c r="E855" s="1116" t="s">
        <v>5879</v>
      </c>
      <c r="F855" s="1117">
        <v>0.1</v>
      </c>
      <c r="G855" s="1109">
        <v>0.0</v>
      </c>
      <c r="H855" s="1116"/>
      <c r="I855" s="1118" t="str">
        <f t="shared" si="1"/>
        <v/>
      </c>
      <c r="J855" s="1110"/>
    </row>
    <row r="856" ht="18.75" customHeight="1">
      <c r="A856" s="1110"/>
      <c r="B856" s="1115" t="s">
        <v>5752</v>
      </c>
      <c r="C856" s="1108" t="s">
        <v>5753</v>
      </c>
      <c r="D856" s="1108" t="s">
        <v>5880</v>
      </c>
      <c r="E856" s="1116" t="s">
        <v>5881</v>
      </c>
      <c r="F856" s="1117">
        <v>0.1</v>
      </c>
      <c r="G856" s="1109">
        <v>0.0</v>
      </c>
      <c r="H856" s="1118">
        <v>38700.0</v>
      </c>
      <c r="I856" s="1118">
        <f t="shared" si="1"/>
        <v>35180</v>
      </c>
      <c r="J856" s="1110"/>
    </row>
    <row r="857" ht="18.75" customHeight="1">
      <c r="A857" s="1110"/>
      <c r="B857" s="1115" t="s">
        <v>5752</v>
      </c>
      <c r="C857" s="1108" t="s">
        <v>5753</v>
      </c>
      <c r="D857" s="1108" t="s">
        <v>5882</v>
      </c>
      <c r="E857" s="1116" t="s">
        <v>5883</v>
      </c>
      <c r="F857" s="1117">
        <v>0.1</v>
      </c>
      <c r="G857" s="1109">
        <v>0.0</v>
      </c>
      <c r="H857" s="1116"/>
      <c r="I857" s="1118" t="str">
        <f t="shared" si="1"/>
        <v/>
      </c>
      <c r="J857" s="1110"/>
    </row>
    <row r="858" ht="18.75" customHeight="1">
      <c r="A858" s="1110"/>
      <c r="B858" s="1115" t="s">
        <v>5752</v>
      </c>
      <c r="C858" s="1108" t="s">
        <v>5753</v>
      </c>
      <c r="D858" s="1108" t="s">
        <v>5884</v>
      </c>
      <c r="E858" s="1116" t="s">
        <v>5885</v>
      </c>
      <c r="F858" s="1117">
        <v>0.1</v>
      </c>
      <c r="G858" s="1109">
        <v>0.0</v>
      </c>
      <c r="H858" s="1116"/>
      <c r="I858" s="1118" t="str">
        <f t="shared" si="1"/>
        <v/>
      </c>
      <c r="J858" s="1110"/>
    </row>
    <row r="859" ht="18.75" customHeight="1">
      <c r="A859" s="1110"/>
      <c r="B859" s="1115" t="s">
        <v>5752</v>
      </c>
      <c r="C859" s="1108" t="s">
        <v>5753</v>
      </c>
      <c r="D859" s="1108" t="s">
        <v>5886</v>
      </c>
      <c r="E859" s="1116" t="s">
        <v>5887</v>
      </c>
      <c r="F859" s="1117">
        <v>0.1</v>
      </c>
      <c r="G859" s="1109">
        <v>0.0</v>
      </c>
      <c r="H859" s="1118">
        <v>48800.0</v>
      </c>
      <c r="I859" s="1118">
        <f t="shared" si="1"/>
        <v>44360</v>
      </c>
      <c r="J859" s="1110"/>
    </row>
    <row r="860" ht="18.75" customHeight="1">
      <c r="A860" s="1110"/>
      <c r="B860" s="1115" t="s">
        <v>5752</v>
      </c>
      <c r="C860" s="1108" t="s">
        <v>5753</v>
      </c>
      <c r="D860" s="1108" t="s">
        <v>5888</v>
      </c>
      <c r="E860" s="1116" t="s">
        <v>5889</v>
      </c>
      <c r="F860" s="1117">
        <v>0.1</v>
      </c>
      <c r="G860" s="1109">
        <v>0.0</v>
      </c>
      <c r="H860" s="1118">
        <v>50500.0</v>
      </c>
      <c r="I860" s="1118">
        <f t="shared" si="1"/>
        <v>45910</v>
      </c>
      <c r="J860" s="1110"/>
    </row>
    <row r="861" ht="18.75" customHeight="1">
      <c r="A861" s="1110"/>
      <c r="B861" s="1115" t="s">
        <v>5752</v>
      </c>
      <c r="C861" s="1108" t="s">
        <v>5753</v>
      </c>
      <c r="D861" s="1108" t="s">
        <v>5890</v>
      </c>
      <c r="E861" s="1116" t="s">
        <v>5891</v>
      </c>
      <c r="F861" s="1117">
        <v>0.1</v>
      </c>
      <c r="G861" s="1109">
        <v>0.0</v>
      </c>
      <c r="H861" s="1116"/>
      <c r="I861" s="1118" t="str">
        <f t="shared" si="1"/>
        <v/>
      </c>
      <c r="J861" s="1110"/>
    </row>
    <row r="862" ht="18.75" customHeight="1">
      <c r="A862" s="1110"/>
      <c r="B862" s="1115" t="s">
        <v>5752</v>
      </c>
      <c r="C862" s="1108" t="s">
        <v>5753</v>
      </c>
      <c r="D862" s="1108" t="s">
        <v>5892</v>
      </c>
      <c r="E862" s="1116" t="s">
        <v>5893</v>
      </c>
      <c r="F862" s="1117">
        <v>0.1</v>
      </c>
      <c r="G862" s="1109">
        <v>0.0</v>
      </c>
      <c r="H862" s="1116"/>
      <c r="I862" s="1118" t="str">
        <f t="shared" si="1"/>
        <v/>
      </c>
      <c r="J862" s="1110"/>
    </row>
    <row r="863" ht="18.75" customHeight="1">
      <c r="A863" s="1110"/>
      <c r="B863" s="1115" t="s">
        <v>5752</v>
      </c>
      <c r="C863" s="1108" t="s">
        <v>5753</v>
      </c>
      <c r="D863" s="1108" t="s">
        <v>5894</v>
      </c>
      <c r="E863" s="1116" t="s">
        <v>5895</v>
      </c>
      <c r="F863" s="1117">
        <v>0.1</v>
      </c>
      <c r="G863" s="1109">
        <v>0.0</v>
      </c>
      <c r="H863" s="1116"/>
      <c r="I863" s="1118" t="str">
        <f t="shared" si="1"/>
        <v/>
      </c>
      <c r="J863" s="1110"/>
    </row>
    <row r="864" ht="18.75" customHeight="1">
      <c r="A864" s="1110"/>
      <c r="B864" s="1115" t="s">
        <v>5752</v>
      </c>
      <c r="C864" s="1108" t="s">
        <v>5753</v>
      </c>
      <c r="D864" s="1108" t="s">
        <v>5896</v>
      </c>
      <c r="E864" s="1116" t="s">
        <v>5897</v>
      </c>
      <c r="F864" s="1117">
        <v>0.1</v>
      </c>
      <c r="G864" s="1109">
        <v>0.0</v>
      </c>
      <c r="H864" s="1116"/>
      <c r="I864" s="1118" t="str">
        <f t="shared" si="1"/>
        <v/>
      </c>
      <c r="J864" s="1110"/>
    </row>
    <row r="865" ht="18.75" customHeight="1">
      <c r="A865" s="1110"/>
      <c r="B865" s="1115" t="s">
        <v>5752</v>
      </c>
      <c r="C865" s="1108" t="s">
        <v>5753</v>
      </c>
      <c r="D865" s="1108" t="s">
        <v>5898</v>
      </c>
      <c r="E865" s="1116" t="s">
        <v>5899</v>
      </c>
      <c r="F865" s="1117">
        <v>0.1</v>
      </c>
      <c r="G865" s="1109">
        <v>0.0</v>
      </c>
      <c r="H865" s="1118">
        <v>75800.0</v>
      </c>
      <c r="I865" s="1118">
        <f t="shared" si="1"/>
        <v>68910</v>
      </c>
      <c r="J865" s="1110"/>
    </row>
    <row r="866" ht="18.75" customHeight="1">
      <c r="A866" s="1110"/>
      <c r="B866" s="1115" t="s">
        <v>5752</v>
      </c>
      <c r="C866" s="1108" t="s">
        <v>5753</v>
      </c>
      <c r="D866" s="1108" t="s">
        <v>5900</v>
      </c>
      <c r="E866" s="1116" t="s">
        <v>5901</v>
      </c>
      <c r="F866" s="1117">
        <v>0.1</v>
      </c>
      <c r="G866" s="1109">
        <v>0.0</v>
      </c>
      <c r="H866" s="1116"/>
      <c r="I866" s="1118" t="str">
        <f t="shared" si="1"/>
        <v/>
      </c>
      <c r="J866" s="1110"/>
    </row>
    <row r="867" ht="18.75" customHeight="1">
      <c r="A867" s="1110"/>
      <c r="B867" s="1115" t="s">
        <v>5752</v>
      </c>
      <c r="C867" s="1108" t="s">
        <v>5753</v>
      </c>
      <c r="D867" s="1108" t="s">
        <v>5902</v>
      </c>
      <c r="E867" s="1116" t="s">
        <v>5903</v>
      </c>
      <c r="F867" s="1117">
        <v>0.1</v>
      </c>
      <c r="G867" s="1109">
        <v>0.0</v>
      </c>
      <c r="H867" s="1118">
        <v>90100.0</v>
      </c>
      <c r="I867" s="1118">
        <f t="shared" si="1"/>
        <v>81910</v>
      </c>
      <c r="J867" s="1110"/>
    </row>
    <row r="868" ht="18.75" customHeight="1">
      <c r="A868" s="1110"/>
      <c r="B868" s="1115" t="s">
        <v>5752</v>
      </c>
      <c r="C868" s="1108" t="s">
        <v>5753</v>
      </c>
      <c r="D868" s="1108" t="s">
        <v>5904</v>
      </c>
      <c r="E868" s="1116" t="s">
        <v>5905</v>
      </c>
      <c r="F868" s="1117">
        <v>0.1</v>
      </c>
      <c r="G868" s="1109">
        <v>0.0</v>
      </c>
      <c r="H868" s="1116"/>
      <c r="I868" s="1118" t="str">
        <f t="shared" si="1"/>
        <v/>
      </c>
      <c r="J868" s="1110"/>
    </row>
    <row r="869" ht="18.75" customHeight="1">
      <c r="A869" s="1110"/>
      <c r="B869" s="1115" t="s">
        <v>5752</v>
      </c>
      <c r="C869" s="1108" t="s">
        <v>5753</v>
      </c>
      <c r="D869" s="1108" t="s">
        <v>5906</v>
      </c>
      <c r="E869" s="1116" t="s">
        <v>5907</v>
      </c>
      <c r="F869" s="1117">
        <v>0.1</v>
      </c>
      <c r="G869" s="1109">
        <v>0.0</v>
      </c>
      <c r="H869" s="1116"/>
      <c r="I869" s="1118" t="str">
        <f t="shared" si="1"/>
        <v/>
      </c>
      <c r="J869" s="1110"/>
    </row>
    <row r="870" ht="18.75" customHeight="1">
      <c r="A870" s="1110"/>
      <c r="B870" s="1115" t="s">
        <v>5752</v>
      </c>
      <c r="C870" s="1108" t="s">
        <v>5753</v>
      </c>
      <c r="D870" s="1108" t="s">
        <v>5908</v>
      </c>
      <c r="E870" s="1116" t="s">
        <v>5909</v>
      </c>
      <c r="F870" s="1117">
        <v>0.1</v>
      </c>
      <c r="G870" s="1109">
        <v>0.0</v>
      </c>
      <c r="H870" s="1118">
        <v>112800.0</v>
      </c>
      <c r="I870" s="1118">
        <f t="shared" si="1"/>
        <v>102550</v>
      </c>
      <c r="J870" s="1110"/>
    </row>
    <row r="871" ht="18.75" customHeight="1">
      <c r="A871" s="1110"/>
      <c r="B871" s="1115" t="s">
        <v>5752</v>
      </c>
      <c r="C871" s="1108" t="s">
        <v>5753</v>
      </c>
      <c r="D871" s="1108" t="s">
        <v>5910</v>
      </c>
      <c r="E871" s="1116" t="s">
        <v>5911</v>
      </c>
      <c r="F871" s="1117">
        <v>0.1</v>
      </c>
      <c r="G871" s="1109">
        <v>0.0</v>
      </c>
      <c r="H871" s="1116"/>
      <c r="I871" s="1118" t="str">
        <f t="shared" si="1"/>
        <v/>
      </c>
      <c r="J871" s="1110"/>
    </row>
    <row r="872" ht="18.75" customHeight="1">
      <c r="A872" s="1110"/>
      <c r="B872" s="1115" t="s">
        <v>5752</v>
      </c>
      <c r="C872" s="1108" t="s">
        <v>5753</v>
      </c>
      <c r="D872" s="1108" t="s">
        <v>1226</v>
      </c>
      <c r="E872" s="1116" t="s">
        <v>1227</v>
      </c>
      <c r="F872" s="1117">
        <v>0.1</v>
      </c>
      <c r="G872" s="1109">
        <v>0.0</v>
      </c>
      <c r="H872" s="1118">
        <v>162900.0</v>
      </c>
      <c r="I872" s="1118">
        <f t="shared" si="1"/>
        <v>148090</v>
      </c>
      <c r="J872" s="1110"/>
    </row>
    <row r="873" ht="18.75" customHeight="1">
      <c r="A873" s="1110"/>
      <c r="B873" s="1115" t="s">
        <v>5752</v>
      </c>
      <c r="C873" s="1108" t="s">
        <v>5753</v>
      </c>
      <c r="D873" s="1108" t="s">
        <v>5912</v>
      </c>
      <c r="E873" s="1116" t="s">
        <v>5913</v>
      </c>
      <c r="F873" s="1117">
        <v>0.1</v>
      </c>
      <c r="G873" s="1109">
        <v>0.0</v>
      </c>
      <c r="H873" s="1116"/>
      <c r="I873" s="1118" t="str">
        <f t="shared" si="1"/>
        <v/>
      </c>
      <c r="J873" s="1110"/>
    </row>
    <row r="874" ht="18.75" customHeight="1">
      <c r="A874" s="1110"/>
      <c r="B874" s="1115" t="s">
        <v>5752</v>
      </c>
      <c r="C874" s="1108" t="s">
        <v>5753</v>
      </c>
      <c r="D874" s="1108" t="s">
        <v>5914</v>
      </c>
      <c r="E874" s="1116" t="s">
        <v>5915</v>
      </c>
      <c r="F874" s="1117">
        <v>0.1</v>
      </c>
      <c r="G874" s="1109">
        <v>0.0</v>
      </c>
      <c r="H874" s="1116"/>
      <c r="I874" s="1118" t="str">
        <f t="shared" si="1"/>
        <v/>
      </c>
      <c r="J874" s="1110"/>
    </row>
    <row r="875" ht="18.75" customHeight="1">
      <c r="A875" s="1110"/>
      <c r="B875" s="1115" t="s">
        <v>5752</v>
      </c>
      <c r="C875" s="1108" t="s">
        <v>5753</v>
      </c>
      <c r="D875" s="1108" t="s">
        <v>5916</v>
      </c>
      <c r="E875" s="1116" t="s">
        <v>5917</v>
      </c>
      <c r="F875" s="1117">
        <v>0.1</v>
      </c>
      <c r="G875" s="1109">
        <v>0.0</v>
      </c>
      <c r="H875" s="1116"/>
      <c r="I875" s="1118" t="str">
        <f t="shared" si="1"/>
        <v/>
      </c>
      <c r="J875" s="1110"/>
    </row>
    <row r="876" ht="18.75" customHeight="1">
      <c r="A876" s="1110"/>
      <c r="B876" s="1115" t="s">
        <v>5752</v>
      </c>
      <c r="C876" s="1108" t="s">
        <v>5753</v>
      </c>
      <c r="D876" s="1108" t="s">
        <v>5918</v>
      </c>
      <c r="E876" s="1116" t="s">
        <v>5919</v>
      </c>
      <c r="F876" s="1117">
        <v>0.1</v>
      </c>
      <c r="G876" s="1109">
        <v>0.0</v>
      </c>
      <c r="H876" s="1116"/>
      <c r="I876" s="1118" t="str">
        <f t="shared" si="1"/>
        <v/>
      </c>
      <c r="J876" s="1110"/>
    </row>
    <row r="877" ht="18.75" customHeight="1">
      <c r="A877" s="1110"/>
      <c r="B877" s="1115" t="s">
        <v>5752</v>
      </c>
      <c r="C877" s="1108" t="s">
        <v>5753</v>
      </c>
      <c r="D877" s="1108" t="s">
        <v>5920</v>
      </c>
      <c r="E877" s="1116" t="s">
        <v>5921</v>
      </c>
      <c r="F877" s="1117">
        <v>0.1</v>
      </c>
      <c r="G877" s="1109">
        <v>0.0</v>
      </c>
      <c r="H877" s="1116"/>
      <c r="I877" s="1118" t="str">
        <f t="shared" si="1"/>
        <v/>
      </c>
      <c r="J877" s="1110"/>
    </row>
    <row r="878" ht="18.75" customHeight="1">
      <c r="A878" s="1110"/>
      <c r="B878" s="1115" t="s">
        <v>5752</v>
      </c>
      <c r="C878" s="1108" t="s">
        <v>5753</v>
      </c>
      <c r="D878" s="1108" t="s">
        <v>5922</v>
      </c>
      <c r="E878" s="1116" t="s">
        <v>5923</v>
      </c>
      <c r="F878" s="1117">
        <v>0.1</v>
      </c>
      <c r="G878" s="1109">
        <v>0.0</v>
      </c>
      <c r="H878" s="1116"/>
      <c r="I878" s="1118" t="str">
        <f t="shared" si="1"/>
        <v/>
      </c>
      <c r="J878" s="1110"/>
    </row>
    <row r="879" ht="18.75" customHeight="1">
      <c r="A879" s="1110"/>
      <c r="B879" s="1115" t="s">
        <v>5752</v>
      </c>
      <c r="C879" s="1108" t="s">
        <v>5753</v>
      </c>
      <c r="D879" s="1108" t="s">
        <v>5924</v>
      </c>
      <c r="E879" s="1116" t="s">
        <v>5925</v>
      </c>
      <c r="F879" s="1117">
        <v>0.1</v>
      </c>
      <c r="G879" s="1109">
        <v>0.0</v>
      </c>
      <c r="H879" s="1116"/>
      <c r="I879" s="1118" t="str">
        <f t="shared" si="1"/>
        <v/>
      </c>
      <c r="J879" s="1110"/>
    </row>
    <row r="880" ht="18.75" customHeight="1">
      <c r="A880" s="1110"/>
      <c r="B880" s="1115" t="s">
        <v>5752</v>
      </c>
      <c r="C880" s="1108" t="s">
        <v>5753</v>
      </c>
      <c r="D880" s="1108" t="s">
        <v>5926</v>
      </c>
      <c r="E880" s="1116" t="s">
        <v>5927</v>
      </c>
      <c r="F880" s="1117">
        <v>0.1</v>
      </c>
      <c r="G880" s="1109">
        <v>0.0</v>
      </c>
      <c r="H880" s="1116"/>
      <c r="I880" s="1118" t="str">
        <f t="shared" si="1"/>
        <v/>
      </c>
      <c r="J880" s="1110"/>
    </row>
    <row r="881" ht="18.75" customHeight="1">
      <c r="A881" s="1110"/>
      <c r="B881" s="1115" t="s">
        <v>5752</v>
      </c>
      <c r="C881" s="1108" t="s">
        <v>5753</v>
      </c>
      <c r="D881" s="1108" t="s">
        <v>5928</v>
      </c>
      <c r="E881" s="1116" t="s">
        <v>5929</v>
      </c>
      <c r="F881" s="1117">
        <v>0.1</v>
      </c>
      <c r="G881" s="1109">
        <v>0.0</v>
      </c>
      <c r="H881" s="1116"/>
      <c r="I881" s="1118" t="str">
        <f t="shared" si="1"/>
        <v/>
      </c>
      <c r="J881" s="1110"/>
    </row>
    <row r="882" ht="18.75" customHeight="1">
      <c r="A882" s="1110"/>
      <c r="B882" s="1115" t="s">
        <v>5752</v>
      </c>
      <c r="C882" s="1108" t="s">
        <v>5753</v>
      </c>
      <c r="D882" s="1108" t="s">
        <v>5930</v>
      </c>
      <c r="E882" s="1116" t="s">
        <v>5931</v>
      </c>
      <c r="F882" s="1117">
        <v>0.1</v>
      </c>
      <c r="G882" s="1109">
        <v>0.0</v>
      </c>
      <c r="H882" s="1116"/>
      <c r="I882" s="1118" t="str">
        <f t="shared" si="1"/>
        <v/>
      </c>
      <c r="J882" s="1110"/>
    </row>
    <row r="883" ht="18.75" customHeight="1">
      <c r="A883" s="1110"/>
      <c r="B883" s="1115" t="s">
        <v>5752</v>
      </c>
      <c r="C883" s="1108" t="s">
        <v>5753</v>
      </c>
      <c r="D883" s="1108" t="s">
        <v>1187</v>
      </c>
      <c r="E883" s="1116" t="s">
        <v>1188</v>
      </c>
      <c r="F883" s="1117">
        <v>0.1</v>
      </c>
      <c r="G883" s="1109">
        <v>0.0</v>
      </c>
      <c r="H883" s="1118">
        <v>129400.0</v>
      </c>
      <c r="I883" s="1118">
        <f t="shared" si="1"/>
        <v>117640</v>
      </c>
      <c r="J883" s="1110"/>
    </row>
    <row r="884" ht="18.75" customHeight="1">
      <c r="A884" s="1110"/>
      <c r="B884" s="1115" t="s">
        <v>5752</v>
      </c>
      <c r="C884" s="1108" t="s">
        <v>5753</v>
      </c>
      <c r="D884" s="1108" t="s">
        <v>5932</v>
      </c>
      <c r="E884" s="1116" t="s">
        <v>5933</v>
      </c>
      <c r="F884" s="1117">
        <v>0.1</v>
      </c>
      <c r="G884" s="1109">
        <v>0.0</v>
      </c>
      <c r="H884" s="1116"/>
      <c r="I884" s="1118" t="str">
        <f t="shared" si="1"/>
        <v/>
      </c>
      <c r="J884" s="1110"/>
    </row>
    <row r="885" ht="18.75" customHeight="1">
      <c r="A885" s="1110"/>
      <c r="B885" s="1115" t="s">
        <v>5752</v>
      </c>
      <c r="C885" s="1108" t="s">
        <v>5753</v>
      </c>
      <c r="D885" s="1108" t="s">
        <v>5934</v>
      </c>
      <c r="E885" s="1116" t="s">
        <v>5935</v>
      </c>
      <c r="F885" s="1117">
        <v>0.1</v>
      </c>
      <c r="G885" s="1109">
        <v>0.0</v>
      </c>
      <c r="H885" s="1116"/>
      <c r="I885" s="1118" t="str">
        <f t="shared" si="1"/>
        <v/>
      </c>
      <c r="J885" s="1110"/>
    </row>
    <row r="886" ht="18.75" customHeight="1">
      <c r="A886" s="1110"/>
      <c r="B886" s="1115" t="s">
        <v>5752</v>
      </c>
      <c r="C886" s="1108" t="s">
        <v>5753</v>
      </c>
      <c r="D886" s="1108" t="s">
        <v>5936</v>
      </c>
      <c r="E886" s="1116" t="s">
        <v>5937</v>
      </c>
      <c r="F886" s="1117">
        <v>0.1</v>
      </c>
      <c r="G886" s="1109">
        <v>0.0</v>
      </c>
      <c r="H886" s="1116"/>
      <c r="I886" s="1118" t="str">
        <f t="shared" si="1"/>
        <v/>
      </c>
      <c r="J886" s="1110"/>
    </row>
    <row r="887" ht="18.75" customHeight="1">
      <c r="A887" s="1110"/>
      <c r="B887" s="1115" t="s">
        <v>5752</v>
      </c>
      <c r="C887" s="1108" t="s">
        <v>5753</v>
      </c>
      <c r="D887" s="1108" t="s">
        <v>5938</v>
      </c>
      <c r="E887" s="1116" t="s">
        <v>5939</v>
      </c>
      <c r="F887" s="1117">
        <v>0.1</v>
      </c>
      <c r="G887" s="1109">
        <v>0.0</v>
      </c>
      <c r="H887" s="1116"/>
      <c r="I887" s="1118" t="str">
        <f t="shared" si="1"/>
        <v/>
      </c>
      <c r="J887" s="1110"/>
    </row>
    <row r="888" ht="18.75" customHeight="1">
      <c r="A888" s="1110"/>
      <c r="B888" s="1115" t="s">
        <v>5752</v>
      </c>
      <c r="C888" s="1108" t="s">
        <v>5753</v>
      </c>
      <c r="D888" s="1108" t="s">
        <v>5940</v>
      </c>
      <c r="E888" s="1116" t="s">
        <v>5941</v>
      </c>
      <c r="F888" s="1117">
        <v>0.1</v>
      </c>
      <c r="G888" s="1109">
        <v>0.0</v>
      </c>
      <c r="H888" s="1118"/>
      <c r="I888" s="1118" t="str">
        <f t="shared" si="1"/>
        <v/>
      </c>
      <c r="J888" s="1110"/>
    </row>
    <row r="889" ht="18.75" customHeight="1">
      <c r="A889" s="1110"/>
      <c r="B889" s="1115" t="s">
        <v>5752</v>
      </c>
      <c r="C889" s="1108" t="s">
        <v>5753</v>
      </c>
      <c r="D889" s="1108" t="s">
        <v>5942</v>
      </c>
      <c r="E889" s="1116" t="s">
        <v>5943</v>
      </c>
      <c r="F889" s="1117">
        <v>0.1</v>
      </c>
      <c r="G889" s="1109">
        <v>0.0</v>
      </c>
      <c r="H889" s="1116"/>
      <c r="I889" s="1118" t="str">
        <f t="shared" si="1"/>
        <v/>
      </c>
      <c r="J889" s="1110"/>
    </row>
    <row r="890" ht="18.75" customHeight="1">
      <c r="A890" s="1110"/>
      <c r="B890" s="1115" t="s">
        <v>5752</v>
      </c>
      <c r="C890" s="1108" t="s">
        <v>5753</v>
      </c>
      <c r="D890" s="1108" t="s">
        <v>5944</v>
      </c>
      <c r="E890" s="1116" t="s">
        <v>5945</v>
      </c>
      <c r="F890" s="1117">
        <v>0.1</v>
      </c>
      <c r="G890" s="1109">
        <v>0.0</v>
      </c>
      <c r="H890" s="1116"/>
      <c r="I890" s="1118" t="str">
        <f t="shared" si="1"/>
        <v/>
      </c>
      <c r="J890" s="1110"/>
    </row>
    <row r="891" ht="18.75" customHeight="1">
      <c r="A891" s="1110"/>
      <c r="B891" s="1115" t="s">
        <v>5752</v>
      </c>
      <c r="C891" s="1108" t="s">
        <v>5753</v>
      </c>
      <c r="D891" s="1108" t="s">
        <v>5946</v>
      </c>
      <c r="E891" s="1116" t="s">
        <v>5947</v>
      </c>
      <c r="F891" s="1117">
        <v>0.1</v>
      </c>
      <c r="G891" s="1109">
        <v>0.0</v>
      </c>
      <c r="H891" s="1116"/>
      <c r="I891" s="1118" t="str">
        <f t="shared" si="1"/>
        <v/>
      </c>
      <c r="J891" s="1110"/>
    </row>
    <row r="892" ht="18.75" customHeight="1">
      <c r="A892" s="1110"/>
      <c r="B892" s="1115" t="s">
        <v>5752</v>
      </c>
      <c r="C892" s="1108" t="s">
        <v>5753</v>
      </c>
      <c r="D892" s="1108" t="s">
        <v>5948</v>
      </c>
      <c r="E892" s="1116" t="s">
        <v>5949</v>
      </c>
      <c r="F892" s="1117">
        <v>0.1</v>
      </c>
      <c r="G892" s="1109">
        <v>0.0</v>
      </c>
      <c r="H892" s="1116"/>
      <c r="I892" s="1118" t="str">
        <f t="shared" si="1"/>
        <v/>
      </c>
      <c r="J892" s="1110"/>
    </row>
    <row r="893" ht="18.75" customHeight="1">
      <c r="A893" s="1110"/>
      <c r="B893" s="1115" t="s">
        <v>5752</v>
      </c>
      <c r="C893" s="1108" t="s">
        <v>5753</v>
      </c>
      <c r="D893" s="1108" t="s">
        <v>5950</v>
      </c>
      <c r="E893" s="1116" t="s">
        <v>5951</v>
      </c>
      <c r="F893" s="1117">
        <v>0.1</v>
      </c>
      <c r="G893" s="1109">
        <v>0.0</v>
      </c>
      <c r="H893" s="1116"/>
      <c r="I893" s="1118" t="str">
        <f t="shared" si="1"/>
        <v/>
      </c>
      <c r="J893" s="1110"/>
    </row>
    <row r="894" ht="18.75" customHeight="1">
      <c r="A894" s="1110"/>
      <c r="B894" s="1115" t="s">
        <v>5752</v>
      </c>
      <c r="C894" s="1108" t="s">
        <v>5753</v>
      </c>
      <c r="D894" s="1108" t="s">
        <v>5952</v>
      </c>
      <c r="E894" s="1116" t="s">
        <v>5953</v>
      </c>
      <c r="F894" s="1117">
        <v>0.1</v>
      </c>
      <c r="G894" s="1109">
        <v>0.0</v>
      </c>
      <c r="H894" s="1116"/>
      <c r="I894" s="1118" t="str">
        <f t="shared" si="1"/>
        <v/>
      </c>
      <c r="J894" s="1110"/>
    </row>
    <row r="895" ht="18.75" customHeight="1">
      <c r="A895" s="1110"/>
      <c r="B895" s="1115" t="s">
        <v>5752</v>
      </c>
      <c r="C895" s="1108" t="s">
        <v>5753</v>
      </c>
      <c r="D895" s="1108" t="s">
        <v>5954</v>
      </c>
      <c r="E895" s="1116" t="s">
        <v>5955</v>
      </c>
      <c r="F895" s="1117">
        <v>0.1</v>
      </c>
      <c r="G895" s="1109">
        <v>0.0</v>
      </c>
      <c r="H895" s="1118">
        <v>285200.0</v>
      </c>
      <c r="I895" s="1118">
        <f t="shared" si="1"/>
        <v>259270</v>
      </c>
      <c r="J895" s="1110"/>
    </row>
    <row r="896" ht="18.75" customHeight="1">
      <c r="A896" s="1110"/>
      <c r="B896" s="1115" t="s">
        <v>5752</v>
      </c>
      <c r="C896" s="1108" t="s">
        <v>5753</v>
      </c>
      <c r="D896" s="1108" t="s">
        <v>5956</v>
      </c>
      <c r="E896" s="1116" t="s">
        <v>5957</v>
      </c>
      <c r="F896" s="1117">
        <v>0.1</v>
      </c>
      <c r="G896" s="1109">
        <v>0.0</v>
      </c>
      <c r="H896" s="1116"/>
      <c r="I896" s="1118" t="str">
        <f t="shared" si="1"/>
        <v/>
      </c>
      <c r="J896" s="1110"/>
    </row>
    <row r="897" ht="18.75" customHeight="1">
      <c r="A897" s="1110"/>
      <c r="B897" s="1115" t="s">
        <v>5752</v>
      </c>
      <c r="C897" s="1108" t="s">
        <v>5753</v>
      </c>
      <c r="D897" s="1108" t="s">
        <v>5958</v>
      </c>
      <c r="E897" s="1116" t="s">
        <v>5959</v>
      </c>
      <c r="F897" s="1117">
        <v>0.1</v>
      </c>
      <c r="G897" s="1109">
        <v>0.0</v>
      </c>
      <c r="H897" s="1116"/>
      <c r="I897" s="1118" t="str">
        <f t="shared" si="1"/>
        <v/>
      </c>
      <c r="J897" s="1110"/>
    </row>
    <row r="898" ht="18.75" customHeight="1">
      <c r="A898" s="1110"/>
      <c r="B898" s="1115" t="s">
        <v>5752</v>
      </c>
      <c r="C898" s="1108" t="s">
        <v>5753</v>
      </c>
      <c r="D898" s="1108" t="s">
        <v>5960</v>
      </c>
      <c r="E898" s="1116" t="s">
        <v>5961</v>
      </c>
      <c r="F898" s="1117">
        <v>0.1</v>
      </c>
      <c r="G898" s="1109">
        <v>0.0</v>
      </c>
      <c r="H898" s="1116"/>
      <c r="I898" s="1118" t="str">
        <f t="shared" si="1"/>
        <v/>
      </c>
      <c r="J898" s="1110"/>
    </row>
    <row r="899" ht="18.75" customHeight="1">
      <c r="A899" s="1110"/>
      <c r="B899" s="1115" t="s">
        <v>5752</v>
      </c>
      <c r="C899" s="1108" t="s">
        <v>5753</v>
      </c>
      <c r="D899" s="1108" t="s">
        <v>5962</v>
      </c>
      <c r="E899" s="1116" t="s">
        <v>5963</v>
      </c>
      <c r="F899" s="1117">
        <v>0.1</v>
      </c>
      <c r="G899" s="1109">
        <v>0.0</v>
      </c>
      <c r="H899" s="1116"/>
      <c r="I899" s="1118" t="str">
        <f t="shared" si="1"/>
        <v/>
      </c>
      <c r="J899" s="1110"/>
    </row>
    <row r="900" ht="18.75" customHeight="1">
      <c r="A900" s="1110"/>
      <c r="B900" s="1115" t="s">
        <v>5752</v>
      </c>
      <c r="C900" s="1108" t="s">
        <v>5753</v>
      </c>
      <c r="D900" s="1108" t="s">
        <v>5964</v>
      </c>
      <c r="E900" s="1116" t="s">
        <v>5965</v>
      </c>
      <c r="F900" s="1117">
        <v>0.1</v>
      </c>
      <c r="G900" s="1109">
        <v>0.0</v>
      </c>
      <c r="H900" s="1116"/>
      <c r="I900" s="1118" t="str">
        <f t="shared" si="1"/>
        <v/>
      </c>
      <c r="J900" s="1110"/>
    </row>
    <row r="901" ht="18.75" customHeight="1">
      <c r="A901" s="1110"/>
      <c r="B901" s="1115" t="s">
        <v>5752</v>
      </c>
      <c r="C901" s="1108" t="s">
        <v>5753</v>
      </c>
      <c r="D901" s="1108" t="s">
        <v>5966</v>
      </c>
      <c r="E901" s="1116" t="s">
        <v>5967</v>
      </c>
      <c r="F901" s="1117">
        <v>0.1</v>
      </c>
      <c r="G901" s="1109">
        <v>0.0</v>
      </c>
      <c r="H901" s="1116"/>
      <c r="I901" s="1118" t="str">
        <f t="shared" si="1"/>
        <v/>
      </c>
      <c r="J901" s="1110"/>
    </row>
    <row r="902" ht="18.75" customHeight="1">
      <c r="A902" s="1110"/>
      <c r="B902" s="1115" t="s">
        <v>5752</v>
      </c>
      <c r="C902" s="1108" t="s">
        <v>5753</v>
      </c>
      <c r="D902" s="1108" t="s">
        <v>5968</v>
      </c>
      <c r="E902" s="1116" t="s">
        <v>5969</v>
      </c>
      <c r="F902" s="1117">
        <v>0.1</v>
      </c>
      <c r="G902" s="1109">
        <v>0.0</v>
      </c>
      <c r="H902" s="1116"/>
      <c r="I902" s="1118" t="str">
        <f t="shared" si="1"/>
        <v/>
      </c>
      <c r="J902" s="1110"/>
    </row>
    <row r="903" ht="18.75" customHeight="1">
      <c r="A903" s="1110"/>
      <c r="B903" s="1115" t="s">
        <v>5752</v>
      </c>
      <c r="C903" s="1108" t="s">
        <v>5753</v>
      </c>
      <c r="D903" s="1108" t="s">
        <v>5970</v>
      </c>
      <c r="E903" s="1116" t="s">
        <v>5971</v>
      </c>
      <c r="F903" s="1117">
        <v>0.1</v>
      </c>
      <c r="G903" s="1109">
        <v>0.0</v>
      </c>
      <c r="H903" s="1116"/>
      <c r="I903" s="1118" t="str">
        <f t="shared" si="1"/>
        <v/>
      </c>
      <c r="J903" s="1110"/>
    </row>
    <row r="904" ht="18.75" customHeight="1">
      <c r="A904" s="1110"/>
      <c r="B904" s="1115" t="s">
        <v>5752</v>
      </c>
      <c r="C904" s="1108" t="s">
        <v>5753</v>
      </c>
      <c r="D904" s="1108" t="s">
        <v>5972</v>
      </c>
      <c r="E904" s="1116" t="s">
        <v>5973</v>
      </c>
      <c r="F904" s="1117">
        <v>0.1</v>
      </c>
      <c r="G904" s="1109">
        <v>0.0</v>
      </c>
      <c r="H904" s="1116"/>
      <c r="I904" s="1118" t="str">
        <f t="shared" si="1"/>
        <v/>
      </c>
      <c r="J904" s="1110"/>
    </row>
    <row r="905" ht="18.75" customHeight="1">
      <c r="A905" s="1110"/>
      <c r="B905" s="1115" t="s">
        <v>5752</v>
      </c>
      <c r="C905" s="1108" t="s">
        <v>5753</v>
      </c>
      <c r="D905" s="1108" t="s">
        <v>5974</v>
      </c>
      <c r="E905" s="1116" t="s">
        <v>5975</v>
      </c>
      <c r="F905" s="1117">
        <v>0.1</v>
      </c>
      <c r="G905" s="1109">
        <v>0.0</v>
      </c>
      <c r="H905" s="1116"/>
      <c r="I905" s="1118" t="str">
        <f t="shared" si="1"/>
        <v/>
      </c>
      <c r="J905" s="1110"/>
    </row>
    <row r="906" ht="18.75" customHeight="1">
      <c r="A906" s="1110"/>
      <c r="B906" s="1115" t="s">
        <v>5752</v>
      </c>
      <c r="C906" s="1108" t="s">
        <v>5753</v>
      </c>
      <c r="D906" s="1108" t="s">
        <v>1206</v>
      </c>
      <c r="E906" s="1116" t="s">
        <v>1207</v>
      </c>
      <c r="F906" s="1117">
        <v>0.1</v>
      </c>
      <c r="G906" s="1109">
        <v>0.0</v>
      </c>
      <c r="H906" s="1118">
        <v>207800.0</v>
      </c>
      <c r="I906" s="1118">
        <f t="shared" si="1"/>
        <v>188910</v>
      </c>
      <c r="J906" s="1110"/>
    </row>
    <row r="907" ht="18.75" customHeight="1">
      <c r="A907" s="1110"/>
      <c r="B907" s="1115" t="s">
        <v>5752</v>
      </c>
      <c r="C907" s="1108" t="s">
        <v>5753</v>
      </c>
      <c r="D907" s="1108" t="s">
        <v>5976</v>
      </c>
      <c r="E907" s="1116" t="s">
        <v>5977</v>
      </c>
      <c r="F907" s="1117">
        <v>0.1</v>
      </c>
      <c r="G907" s="1109">
        <v>0.0</v>
      </c>
      <c r="H907" s="1116"/>
      <c r="I907" s="1118" t="str">
        <f t="shared" si="1"/>
        <v/>
      </c>
      <c r="J907" s="1110"/>
    </row>
    <row r="908" ht="18.75" customHeight="1">
      <c r="A908" s="1110"/>
      <c r="B908" s="1115" t="s">
        <v>5752</v>
      </c>
      <c r="C908" s="1108" t="s">
        <v>5753</v>
      </c>
      <c r="D908" s="1108" t="s">
        <v>5978</v>
      </c>
      <c r="E908" s="1116" t="s">
        <v>5979</v>
      </c>
      <c r="F908" s="1117">
        <v>0.1</v>
      </c>
      <c r="G908" s="1109">
        <v>0.0</v>
      </c>
      <c r="H908" s="1116"/>
      <c r="I908" s="1118" t="str">
        <f t="shared" si="1"/>
        <v/>
      </c>
      <c r="J908" s="1110"/>
    </row>
    <row r="909" ht="18.75" customHeight="1">
      <c r="A909" s="1110"/>
      <c r="B909" s="1115" t="s">
        <v>5752</v>
      </c>
      <c r="C909" s="1108" t="s">
        <v>5753</v>
      </c>
      <c r="D909" s="1108" t="s">
        <v>1212</v>
      </c>
      <c r="E909" s="1116" t="s">
        <v>1213</v>
      </c>
      <c r="F909" s="1117">
        <v>0.1</v>
      </c>
      <c r="G909" s="1109">
        <v>0.0</v>
      </c>
      <c r="H909" s="1118">
        <v>267900.0</v>
      </c>
      <c r="I909" s="1118">
        <f t="shared" si="1"/>
        <v>243550</v>
      </c>
      <c r="J909" s="1110"/>
    </row>
    <row r="910" ht="18.75" customHeight="1">
      <c r="A910" s="1110"/>
      <c r="B910" s="1115" t="s">
        <v>5752</v>
      </c>
      <c r="C910" s="1108" t="s">
        <v>5753</v>
      </c>
      <c r="D910" s="1108" t="s">
        <v>5980</v>
      </c>
      <c r="E910" s="1116" t="s">
        <v>5981</v>
      </c>
      <c r="F910" s="1117">
        <v>0.1</v>
      </c>
      <c r="G910" s="1109">
        <v>0.0</v>
      </c>
      <c r="H910" s="1116"/>
      <c r="I910" s="1118" t="str">
        <f t="shared" si="1"/>
        <v/>
      </c>
      <c r="J910" s="1110"/>
    </row>
    <row r="911" ht="18.75" customHeight="1">
      <c r="A911" s="1110"/>
      <c r="B911" s="1115" t="s">
        <v>5752</v>
      </c>
      <c r="C911" s="1108" t="s">
        <v>5753</v>
      </c>
      <c r="D911" s="1108" t="s">
        <v>1218</v>
      </c>
      <c r="E911" s="1116" t="s">
        <v>1219</v>
      </c>
      <c r="F911" s="1117">
        <v>0.1</v>
      </c>
      <c r="G911" s="1109">
        <v>0.0</v>
      </c>
      <c r="H911" s="1118">
        <v>385000.0</v>
      </c>
      <c r="I911" s="1118">
        <f t="shared" si="1"/>
        <v>350000</v>
      </c>
      <c r="J911" s="1110"/>
    </row>
    <row r="912" ht="18.75" customHeight="1">
      <c r="A912" s="1110"/>
      <c r="B912" s="1115" t="s">
        <v>5752</v>
      </c>
      <c r="C912" s="1108" t="s">
        <v>5753</v>
      </c>
      <c r="D912" s="1108" t="s">
        <v>5982</v>
      </c>
      <c r="E912" s="1116" t="s">
        <v>5983</v>
      </c>
      <c r="F912" s="1117">
        <v>0.1</v>
      </c>
      <c r="G912" s="1109">
        <v>0.0</v>
      </c>
      <c r="H912" s="1116"/>
      <c r="I912" s="1118" t="str">
        <f t="shared" si="1"/>
        <v/>
      </c>
      <c r="J912" s="1110"/>
    </row>
    <row r="913" ht="18.75" customHeight="1">
      <c r="A913" s="1110"/>
      <c r="B913" s="1115" t="s">
        <v>5752</v>
      </c>
      <c r="C913" s="1108" t="s">
        <v>5753</v>
      </c>
      <c r="D913" s="1108" t="s">
        <v>5984</v>
      </c>
      <c r="E913" s="1116" t="s">
        <v>5985</v>
      </c>
      <c r="F913" s="1117">
        <v>0.1</v>
      </c>
      <c r="G913" s="1109">
        <v>0.0</v>
      </c>
      <c r="H913" s="1116"/>
      <c r="I913" s="1118" t="str">
        <f t="shared" si="1"/>
        <v/>
      </c>
      <c r="J913" s="1110"/>
    </row>
    <row r="914" ht="18.75" customHeight="1">
      <c r="A914" s="1110"/>
      <c r="B914" s="1115" t="s">
        <v>5752</v>
      </c>
      <c r="C914" s="1108" t="s">
        <v>5753</v>
      </c>
      <c r="D914" s="1108" t="s">
        <v>5986</v>
      </c>
      <c r="E914" s="1116" t="s">
        <v>5987</v>
      </c>
      <c r="F914" s="1117">
        <v>0.1</v>
      </c>
      <c r="G914" s="1109">
        <v>0.0</v>
      </c>
      <c r="H914" s="1116"/>
      <c r="I914" s="1118" t="str">
        <f t="shared" si="1"/>
        <v/>
      </c>
      <c r="J914" s="1110"/>
    </row>
    <row r="915" ht="18.75" customHeight="1">
      <c r="A915" s="1110"/>
      <c r="B915" s="1115" t="s">
        <v>5752</v>
      </c>
      <c r="C915" s="1108" t="s">
        <v>5753</v>
      </c>
      <c r="D915" s="1108" t="s">
        <v>1228</v>
      </c>
      <c r="E915" s="1116" t="s">
        <v>1229</v>
      </c>
      <c r="F915" s="1117">
        <v>0.1</v>
      </c>
      <c r="G915" s="1109">
        <v>0.0</v>
      </c>
      <c r="H915" s="1118">
        <v>426900.0</v>
      </c>
      <c r="I915" s="1118">
        <f t="shared" si="1"/>
        <v>388090</v>
      </c>
      <c r="J915" s="1110"/>
    </row>
    <row r="916" ht="18.75" customHeight="1">
      <c r="A916" s="1110"/>
      <c r="B916" s="1115" t="s">
        <v>5752</v>
      </c>
      <c r="C916" s="1108" t="s">
        <v>5753</v>
      </c>
      <c r="D916" s="1108" t="s">
        <v>5988</v>
      </c>
      <c r="E916" s="1116" t="s">
        <v>5989</v>
      </c>
      <c r="F916" s="1117">
        <v>0.1</v>
      </c>
      <c r="G916" s="1109">
        <v>0.0</v>
      </c>
      <c r="H916" s="1116"/>
      <c r="I916" s="1118" t="str">
        <f t="shared" si="1"/>
        <v/>
      </c>
      <c r="J916" s="1110"/>
    </row>
    <row r="917" ht="18.75" customHeight="1">
      <c r="A917" s="1110"/>
      <c r="B917" s="1115" t="s">
        <v>5752</v>
      </c>
      <c r="C917" s="1108" t="s">
        <v>5753</v>
      </c>
      <c r="D917" s="1108" t="s">
        <v>1234</v>
      </c>
      <c r="E917" s="1116" t="s">
        <v>1235</v>
      </c>
      <c r="F917" s="1117">
        <v>0.1</v>
      </c>
      <c r="G917" s="1109">
        <v>0.0</v>
      </c>
      <c r="H917" s="1118">
        <v>574400.0</v>
      </c>
      <c r="I917" s="1118">
        <f t="shared" si="1"/>
        <v>522180</v>
      </c>
      <c r="J917" s="1110"/>
    </row>
    <row r="918" ht="18.75" customHeight="1">
      <c r="A918" s="1110"/>
      <c r="B918" s="1115" t="s">
        <v>5752</v>
      </c>
      <c r="C918" s="1108" t="s">
        <v>5753</v>
      </c>
      <c r="D918" s="1108" t="s">
        <v>5990</v>
      </c>
      <c r="E918" s="1116" t="s">
        <v>5991</v>
      </c>
      <c r="F918" s="1117">
        <v>0.1</v>
      </c>
      <c r="G918" s="1109">
        <v>0.0</v>
      </c>
      <c r="H918" s="1116"/>
      <c r="I918" s="1118" t="str">
        <f t="shared" si="1"/>
        <v/>
      </c>
      <c r="J918" s="1110"/>
    </row>
    <row r="919" ht="18.75" customHeight="1">
      <c r="A919" s="1110"/>
      <c r="B919" s="1115" t="s">
        <v>5752</v>
      </c>
      <c r="C919" s="1108" t="s">
        <v>5753</v>
      </c>
      <c r="D919" s="1108" t="s">
        <v>5992</v>
      </c>
      <c r="E919" s="1116" t="s">
        <v>5993</v>
      </c>
      <c r="F919" s="1117">
        <v>0.1</v>
      </c>
      <c r="G919" s="1109">
        <v>0.0</v>
      </c>
      <c r="H919" s="1116"/>
      <c r="I919" s="1118" t="str">
        <f t="shared" si="1"/>
        <v/>
      </c>
      <c r="J919" s="1110"/>
    </row>
    <row r="920" ht="18.75" customHeight="1">
      <c r="A920" s="1110"/>
      <c r="B920" s="1115" t="s">
        <v>5752</v>
      </c>
      <c r="C920" s="1108" t="s">
        <v>5753</v>
      </c>
      <c r="D920" s="1108" t="s">
        <v>5994</v>
      </c>
      <c r="E920" s="1116" t="s">
        <v>5995</v>
      </c>
      <c r="F920" s="1117">
        <v>0.1</v>
      </c>
      <c r="G920" s="1109">
        <v>0.0</v>
      </c>
      <c r="H920" s="1116"/>
      <c r="I920" s="1118" t="str">
        <f t="shared" si="1"/>
        <v/>
      </c>
      <c r="J920" s="1110"/>
    </row>
    <row r="921" ht="18.75" customHeight="1">
      <c r="A921" s="1110"/>
      <c r="B921" s="1115" t="s">
        <v>5752</v>
      </c>
      <c r="C921" s="1108" t="s">
        <v>5753</v>
      </c>
      <c r="D921" s="1108" t="s">
        <v>5996</v>
      </c>
      <c r="E921" s="1116" t="s">
        <v>5997</v>
      </c>
      <c r="F921" s="1117">
        <v>0.1</v>
      </c>
      <c r="G921" s="1109">
        <v>0.0</v>
      </c>
      <c r="H921" s="1116"/>
      <c r="I921" s="1118" t="str">
        <f t="shared" si="1"/>
        <v/>
      </c>
      <c r="J921" s="1110"/>
    </row>
    <row r="922" ht="18.75" customHeight="1">
      <c r="A922" s="1110"/>
      <c r="B922" s="1115" t="s">
        <v>5752</v>
      </c>
      <c r="C922" s="1108" t="s">
        <v>5753</v>
      </c>
      <c r="D922" s="1108" t="s">
        <v>5998</v>
      </c>
      <c r="E922" s="1116" t="s">
        <v>5999</v>
      </c>
      <c r="F922" s="1117">
        <v>0.1</v>
      </c>
      <c r="G922" s="1109">
        <v>0.0</v>
      </c>
      <c r="H922" s="1116"/>
      <c r="I922" s="1118" t="str">
        <f t="shared" si="1"/>
        <v/>
      </c>
      <c r="J922" s="1110"/>
    </row>
    <row r="923" ht="18.75" customHeight="1">
      <c r="A923" s="1110"/>
      <c r="B923" s="1115" t="s">
        <v>5752</v>
      </c>
      <c r="C923" s="1108" t="s">
        <v>5753</v>
      </c>
      <c r="D923" s="1108" t="s">
        <v>6000</v>
      </c>
      <c r="E923" s="1116" t="s">
        <v>6001</v>
      </c>
      <c r="F923" s="1117">
        <v>0.1</v>
      </c>
      <c r="G923" s="1109">
        <v>0.0</v>
      </c>
      <c r="H923" s="1116"/>
      <c r="I923" s="1118" t="str">
        <f t="shared" si="1"/>
        <v/>
      </c>
      <c r="J923" s="1110"/>
    </row>
    <row r="924" ht="18.75" customHeight="1">
      <c r="A924" s="1110"/>
      <c r="B924" s="1115" t="s">
        <v>5752</v>
      </c>
      <c r="C924" s="1108" t="s">
        <v>5753</v>
      </c>
      <c r="D924" s="1108" t="s">
        <v>6002</v>
      </c>
      <c r="E924" s="1116" t="s">
        <v>6003</v>
      </c>
      <c r="F924" s="1117">
        <v>0.1</v>
      </c>
      <c r="G924" s="1109">
        <v>0.0</v>
      </c>
      <c r="H924" s="1116"/>
      <c r="I924" s="1118" t="str">
        <f t="shared" si="1"/>
        <v/>
      </c>
      <c r="J924" s="1110"/>
    </row>
    <row r="925" ht="18.75" customHeight="1">
      <c r="A925" s="1110"/>
      <c r="B925" s="1115" t="s">
        <v>5752</v>
      </c>
      <c r="C925" s="1108" t="s">
        <v>5753</v>
      </c>
      <c r="D925" s="1108" t="s">
        <v>6004</v>
      </c>
      <c r="E925" s="1116" t="s">
        <v>6005</v>
      </c>
      <c r="F925" s="1117">
        <v>0.1</v>
      </c>
      <c r="G925" s="1109">
        <v>0.0</v>
      </c>
      <c r="H925" s="1116"/>
      <c r="I925" s="1118" t="str">
        <f t="shared" si="1"/>
        <v/>
      </c>
      <c r="J925" s="1110"/>
    </row>
    <row r="926" ht="18.75" customHeight="1">
      <c r="A926" s="1110"/>
      <c r="B926" s="1115" t="s">
        <v>5752</v>
      </c>
      <c r="C926" s="1108" t="s">
        <v>5753</v>
      </c>
      <c r="D926" s="1108" t="s">
        <v>6006</v>
      </c>
      <c r="E926" s="1116" t="s">
        <v>6007</v>
      </c>
      <c r="F926" s="1117">
        <v>0.1</v>
      </c>
      <c r="G926" s="1109">
        <v>0.0</v>
      </c>
      <c r="H926" s="1116"/>
      <c r="I926" s="1118" t="str">
        <f t="shared" si="1"/>
        <v/>
      </c>
      <c r="J926" s="1110"/>
    </row>
    <row r="927" ht="18.75" customHeight="1">
      <c r="A927" s="1110"/>
      <c r="B927" s="1115" t="s">
        <v>5752</v>
      </c>
      <c r="C927" s="1108" t="s">
        <v>5753</v>
      </c>
      <c r="D927" s="1108" t="s">
        <v>6008</v>
      </c>
      <c r="E927" s="1116" t="s">
        <v>6009</v>
      </c>
      <c r="F927" s="1117">
        <v>0.1</v>
      </c>
      <c r="G927" s="1109">
        <v>0.0</v>
      </c>
      <c r="H927" s="1116"/>
      <c r="I927" s="1118" t="str">
        <f t="shared" si="1"/>
        <v/>
      </c>
      <c r="J927" s="1110"/>
    </row>
    <row r="928" ht="18.75" customHeight="1">
      <c r="A928" s="1110"/>
      <c r="B928" s="1115" t="s">
        <v>5752</v>
      </c>
      <c r="C928" s="1108" t="s">
        <v>5753</v>
      </c>
      <c r="D928" s="1108" t="s">
        <v>6010</v>
      </c>
      <c r="E928" s="1116" t="s">
        <v>6011</v>
      </c>
      <c r="F928" s="1117">
        <v>0.1</v>
      </c>
      <c r="G928" s="1109">
        <v>0.0</v>
      </c>
      <c r="H928" s="1116"/>
      <c r="I928" s="1118" t="str">
        <f t="shared" si="1"/>
        <v/>
      </c>
      <c r="J928" s="1110"/>
    </row>
    <row r="929" ht="18.75" customHeight="1">
      <c r="A929" s="1110"/>
      <c r="B929" s="1115" t="s">
        <v>5752</v>
      </c>
      <c r="C929" s="1108" t="s">
        <v>5753</v>
      </c>
      <c r="D929" s="1108" t="s">
        <v>6012</v>
      </c>
      <c r="E929" s="1116" t="s">
        <v>6013</v>
      </c>
      <c r="F929" s="1117">
        <v>0.1</v>
      </c>
      <c r="G929" s="1109">
        <v>0.0</v>
      </c>
      <c r="H929" s="1116"/>
      <c r="I929" s="1118" t="str">
        <f t="shared" si="1"/>
        <v/>
      </c>
      <c r="J929" s="1110"/>
    </row>
    <row r="930" ht="18.75" customHeight="1">
      <c r="A930" s="1110"/>
      <c r="B930" s="1115" t="s">
        <v>5752</v>
      </c>
      <c r="C930" s="1108" t="s">
        <v>5753</v>
      </c>
      <c r="D930" s="1108" t="s">
        <v>6014</v>
      </c>
      <c r="E930" s="1116" t="s">
        <v>6015</v>
      </c>
      <c r="F930" s="1117">
        <v>0.1</v>
      </c>
      <c r="G930" s="1109">
        <v>0.0</v>
      </c>
      <c r="H930" s="1116"/>
      <c r="I930" s="1118" t="str">
        <f t="shared" si="1"/>
        <v/>
      </c>
      <c r="J930" s="1110"/>
    </row>
    <row r="931" ht="18.75" customHeight="1">
      <c r="A931" s="1110"/>
      <c r="B931" s="1115" t="s">
        <v>5752</v>
      </c>
      <c r="C931" s="1108" t="s">
        <v>5753</v>
      </c>
      <c r="D931" s="1108" t="s">
        <v>6016</v>
      </c>
      <c r="E931" s="1116" t="s">
        <v>6017</v>
      </c>
      <c r="F931" s="1117">
        <v>0.1</v>
      </c>
      <c r="G931" s="1109">
        <v>0.0</v>
      </c>
      <c r="H931" s="1116"/>
      <c r="I931" s="1118" t="str">
        <f t="shared" si="1"/>
        <v/>
      </c>
      <c r="J931" s="1110"/>
    </row>
    <row r="932" ht="18.75" customHeight="1">
      <c r="A932" s="1110"/>
      <c r="B932" s="1115" t="s">
        <v>5752</v>
      </c>
      <c r="C932" s="1108" t="s">
        <v>5753</v>
      </c>
      <c r="D932" s="1108" t="s">
        <v>6018</v>
      </c>
      <c r="E932" s="1116" t="s">
        <v>6019</v>
      </c>
      <c r="F932" s="1117">
        <v>0.1</v>
      </c>
      <c r="G932" s="1109">
        <v>0.0</v>
      </c>
      <c r="H932" s="1116"/>
      <c r="I932" s="1118" t="str">
        <f t="shared" si="1"/>
        <v/>
      </c>
      <c r="J932" s="1110"/>
    </row>
    <row r="933" ht="18.75" customHeight="1">
      <c r="A933" s="1110"/>
      <c r="B933" s="1115" t="s">
        <v>5752</v>
      </c>
      <c r="C933" s="1108" t="s">
        <v>5753</v>
      </c>
      <c r="D933" s="1108" t="s">
        <v>6020</v>
      </c>
      <c r="E933" s="1116" t="s">
        <v>6021</v>
      </c>
      <c r="F933" s="1117">
        <v>0.1</v>
      </c>
      <c r="G933" s="1109">
        <v>0.0</v>
      </c>
      <c r="H933" s="1116"/>
      <c r="I933" s="1118" t="str">
        <f t="shared" si="1"/>
        <v/>
      </c>
      <c r="J933" s="1110"/>
    </row>
    <row r="934" ht="18.75" customHeight="1">
      <c r="A934" s="1110"/>
      <c r="B934" s="1115" t="s">
        <v>5752</v>
      </c>
      <c r="C934" s="1108" t="s">
        <v>5753</v>
      </c>
      <c r="D934" s="1108" t="s">
        <v>1230</v>
      </c>
      <c r="E934" s="1116" t="s">
        <v>1231</v>
      </c>
      <c r="F934" s="1117">
        <v>0.1</v>
      </c>
      <c r="G934" s="1109">
        <v>0.0</v>
      </c>
      <c r="H934" s="1118">
        <v>476300.0</v>
      </c>
      <c r="I934" s="1118">
        <f t="shared" si="1"/>
        <v>433000</v>
      </c>
      <c r="J934" s="1110"/>
    </row>
    <row r="935" ht="18.75" customHeight="1">
      <c r="A935" s="1110"/>
      <c r="B935" s="1115" t="s">
        <v>5752</v>
      </c>
      <c r="C935" s="1108" t="s">
        <v>5753</v>
      </c>
      <c r="D935" s="1108" t="s">
        <v>6022</v>
      </c>
      <c r="E935" s="1116" t="s">
        <v>6023</v>
      </c>
      <c r="F935" s="1117">
        <v>0.1</v>
      </c>
      <c r="G935" s="1109">
        <v>0.0</v>
      </c>
      <c r="H935" s="1116"/>
      <c r="I935" s="1118" t="str">
        <f t="shared" si="1"/>
        <v/>
      </c>
      <c r="J935" s="1110"/>
    </row>
    <row r="936" ht="18.75" customHeight="1">
      <c r="A936" s="1110"/>
      <c r="B936" s="1115" t="s">
        <v>5752</v>
      </c>
      <c r="C936" s="1108" t="s">
        <v>5753</v>
      </c>
      <c r="D936" s="1108" t="s">
        <v>6024</v>
      </c>
      <c r="E936" s="1116" t="s">
        <v>6025</v>
      </c>
      <c r="F936" s="1117">
        <v>0.1</v>
      </c>
      <c r="G936" s="1109">
        <v>0.0</v>
      </c>
      <c r="H936" s="1116"/>
      <c r="I936" s="1118" t="str">
        <f t="shared" si="1"/>
        <v/>
      </c>
      <c r="J936" s="1110"/>
    </row>
    <row r="937" ht="18.75" customHeight="1">
      <c r="A937" s="1110"/>
      <c r="B937" s="1115" t="s">
        <v>5752</v>
      </c>
      <c r="C937" s="1108" t="s">
        <v>5753</v>
      </c>
      <c r="D937" s="1108" t="s">
        <v>6026</v>
      </c>
      <c r="E937" s="1116" t="s">
        <v>6027</v>
      </c>
      <c r="F937" s="1117">
        <v>0.1</v>
      </c>
      <c r="G937" s="1109">
        <v>0.0</v>
      </c>
      <c r="H937" s="1116"/>
      <c r="I937" s="1118" t="str">
        <f t="shared" si="1"/>
        <v/>
      </c>
      <c r="J937" s="1110"/>
    </row>
    <row r="938" ht="18.75" customHeight="1">
      <c r="A938" s="1110"/>
      <c r="B938" s="1115" t="s">
        <v>5752</v>
      </c>
      <c r="C938" s="1108" t="s">
        <v>5753</v>
      </c>
      <c r="D938" s="1108" t="s">
        <v>6028</v>
      </c>
      <c r="E938" s="1116" t="s">
        <v>6029</v>
      </c>
      <c r="F938" s="1117">
        <v>0.1</v>
      </c>
      <c r="G938" s="1109">
        <v>0.0</v>
      </c>
      <c r="H938" s="1116"/>
      <c r="I938" s="1118" t="str">
        <f t="shared" si="1"/>
        <v/>
      </c>
      <c r="J938" s="1110"/>
    </row>
    <row r="939" ht="18.75" customHeight="1">
      <c r="A939" s="1110"/>
      <c r="B939" s="1115" t="s">
        <v>6030</v>
      </c>
      <c r="C939" s="1108" t="s">
        <v>5753</v>
      </c>
      <c r="D939" s="1108" t="s">
        <v>6031</v>
      </c>
      <c r="E939" s="1116" t="s">
        <v>6032</v>
      </c>
      <c r="F939" s="1117">
        <v>0.1</v>
      </c>
      <c r="G939" s="1109">
        <v>0.0</v>
      </c>
      <c r="H939" s="1116"/>
      <c r="I939" s="1118" t="str">
        <f t="shared" si="1"/>
        <v/>
      </c>
      <c r="J939" s="1110"/>
    </row>
    <row r="940" ht="18.75" customHeight="1">
      <c r="A940" s="1110"/>
      <c r="B940" s="1115" t="s">
        <v>6030</v>
      </c>
      <c r="C940" s="1108" t="s">
        <v>5753</v>
      </c>
      <c r="D940" s="1108" t="s">
        <v>6033</v>
      </c>
      <c r="E940" s="1116" t="s">
        <v>6034</v>
      </c>
      <c r="F940" s="1117">
        <v>0.1</v>
      </c>
      <c r="G940" s="1109">
        <v>0.0</v>
      </c>
      <c r="H940" s="1116"/>
      <c r="I940" s="1118" t="str">
        <f t="shared" si="1"/>
        <v/>
      </c>
      <c r="J940" s="1110"/>
    </row>
    <row r="941" ht="18.75" customHeight="1">
      <c r="A941" s="1110"/>
      <c r="B941" s="1115" t="s">
        <v>6030</v>
      </c>
      <c r="C941" s="1108" t="s">
        <v>5753</v>
      </c>
      <c r="D941" s="1108" t="s">
        <v>6035</v>
      </c>
      <c r="E941" s="1116" t="s">
        <v>6036</v>
      </c>
      <c r="F941" s="1117">
        <v>0.1</v>
      </c>
      <c r="G941" s="1109">
        <v>0.0</v>
      </c>
      <c r="H941" s="1116"/>
      <c r="I941" s="1118" t="str">
        <f t="shared" si="1"/>
        <v/>
      </c>
      <c r="J941" s="1110"/>
    </row>
    <row r="942" ht="18.75" customHeight="1">
      <c r="A942" s="1110"/>
      <c r="B942" s="1115" t="s">
        <v>6030</v>
      </c>
      <c r="C942" s="1108" t="s">
        <v>5753</v>
      </c>
      <c r="D942" s="1108" t="s">
        <v>6037</v>
      </c>
      <c r="E942" s="1116" t="s">
        <v>6038</v>
      </c>
      <c r="F942" s="1117">
        <v>0.1</v>
      </c>
      <c r="G942" s="1109">
        <v>0.0</v>
      </c>
      <c r="H942" s="1116"/>
      <c r="I942" s="1118" t="str">
        <f t="shared" si="1"/>
        <v/>
      </c>
      <c r="J942" s="1110"/>
    </row>
    <row r="943" ht="18.75" customHeight="1">
      <c r="A943" s="1110"/>
      <c r="B943" s="1115" t="s">
        <v>6030</v>
      </c>
      <c r="C943" s="1108" t="s">
        <v>5753</v>
      </c>
      <c r="D943" s="1108" t="s">
        <v>6039</v>
      </c>
      <c r="E943" s="1116" t="s">
        <v>6040</v>
      </c>
      <c r="F943" s="1117">
        <v>0.1</v>
      </c>
      <c r="G943" s="1109">
        <v>0.0</v>
      </c>
      <c r="H943" s="1116"/>
      <c r="I943" s="1118" t="str">
        <f t="shared" si="1"/>
        <v/>
      </c>
      <c r="J943" s="1110"/>
    </row>
    <row r="944" ht="18.75" customHeight="1">
      <c r="A944" s="1110"/>
      <c r="B944" s="1115" t="s">
        <v>6030</v>
      </c>
      <c r="C944" s="1108" t="s">
        <v>5753</v>
      </c>
      <c r="D944" s="1108" t="s">
        <v>6041</v>
      </c>
      <c r="E944" s="1116" t="s">
        <v>6042</v>
      </c>
      <c r="F944" s="1117">
        <v>0.1</v>
      </c>
      <c r="G944" s="1109">
        <v>0.0</v>
      </c>
      <c r="H944" s="1116"/>
      <c r="I944" s="1118" t="str">
        <f t="shared" si="1"/>
        <v/>
      </c>
      <c r="J944" s="1110"/>
    </row>
    <row r="945" ht="18.75" customHeight="1">
      <c r="A945" s="1110"/>
      <c r="B945" s="1115" t="s">
        <v>6030</v>
      </c>
      <c r="C945" s="1108" t="s">
        <v>5753</v>
      </c>
      <c r="D945" s="1108" t="s">
        <v>6043</v>
      </c>
      <c r="E945" s="1116" t="s">
        <v>6044</v>
      </c>
      <c r="F945" s="1117">
        <v>0.1</v>
      </c>
      <c r="G945" s="1109">
        <v>0.0</v>
      </c>
      <c r="H945" s="1116"/>
      <c r="I945" s="1118" t="str">
        <f t="shared" si="1"/>
        <v/>
      </c>
      <c r="J945" s="1110"/>
    </row>
    <row r="946" ht="18.75" customHeight="1">
      <c r="A946" s="1110"/>
      <c r="B946" s="1115" t="s">
        <v>6030</v>
      </c>
      <c r="C946" s="1108" t="s">
        <v>5753</v>
      </c>
      <c r="D946" s="1108" t="s">
        <v>6045</v>
      </c>
      <c r="E946" s="1116" t="s">
        <v>6046</v>
      </c>
      <c r="F946" s="1117">
        <v>0.1</v>
      </c>
      <c r="G946" s="1109">
        <v>0.0</v>
      </c>
      <c r="H946" s="1116"/>
      <c r="I946" s="1118" t="str">
        <f t="shared" si="1"/>
        <v/>
      </c>
      <c r="J946" s="1110"/>
    </row>
    <row r="947" ht="18.75" customHeight="1">
      <c r="A947" s="1110"/>
      <c r="B947" s="1115" t="s">
        <v>6030</v>
      </c>
      <c r="C947" s="1108" t="s">
        <v>5753</v>
      </c>
      <c r="D947" s="1108" t="s">
        <v>6047</v>
      </c>
      <c r="E947" s="1116" t="s">
        <v>6048</v>
      </c>
      <c r="F947" s="1117">
        <v>0.1</v>
      </c>
      <c r="G947" s="1109">
        <v>0.0</v>
      </c>
      <c r="H947" s="1116"/>
      <c r="I947" s="1118" t="str">
        <f t="shared" si="1"/>
        <v/>
      </c>
      <c r="J947" s="1110"/>
    </row>
    <row r="948" ht="18.75" customHeight="1">
      <c r="A948" s="1110"/>
      <c r="B948" s="1115" t="s">
        <v>6030</v>
      </c>
      <c r="C948" s="1108" t="s">
        <v>5753</v>
      </c>
      <c r="D948" s="1108" t="s">
        <v>6049</v>
      </c>
      <c r="E948" s="1116" t="s">
        <v>6050</v>
      </c>
      <c r="F948" s="1117">
        <v>0.1</v>
      </c>
      <c r="G948" s="1109">
        <v>0.0</v>
      </c>
      <c r="H948" s="1116"/>
      <c r="I948" s="1118" t="str">
        <f t="shared" si="1"/>
        <v/>
      </c>
      <c r="J948" s="1110"/>
    </row>
    <row r="949" ht="18.75" customHeight="1">
      <c r="A949" s="1110"/>
      <c r="B949" s="1115" t="s">
        <v>6030</v>
      </c>
      <c r="C949" s="1108" t="s">
        <v>5753</v>
      </c>
      <c r="D949" s="1108" t="s">
        <v>6051</v>
      </c>
      <c r="E949" s="1116" t="s">
        <v>6052</v>
      </c>
      <c r="F949" s="1117">
        <v>0.1</v>
      </c>
      <c r="G949" s="1109">
        <v>0.0</v>
      </c>
      <c r="H949" s="1116"/>
      <c r="I949" s="1118" t="str">
        <f t="shared" si="1"/>
        <v/>
      </c>
      <c r="J949" s="1110"/>
    </row>
    <row r="950" ht="18.75" customHeight="1">
      <c r="A950" s="1110"/>
      <c r="B950" s="1115" t="s">
        <v>6030</v>
      </c>
      <c r="C950" s="1108" t="s">
        <v>5753</v>
      </c>
      <c r="D950" s="1108" t="s">
        <v>6053</v>
      </c>
      <c r="E950" s="1116" t="s">
        <v>6054</v>
      </c>
      <c r="F950" s="1117">
        <v>0.1</v>
      </c>
      <c r="G950" s="1109">
        <v>0.0</v>
      </c>
      <c r="H950" s="1116"/>
      <c r="I950" s="1118" t="str">
        <f t="shared" si="1"/>
        <v/>
      </c>
      <c r="J950" s="1110"/>
    </row>
    <row r="951" ht="18.75" customHeight="1">
      <c r="A951" s="1110"/>
      <c r="B951" s="1115" t="s">
        <v>6030</v>
      </c>
      <c r="C951" s="1108" t="s">
        <v>5753</v>
      </c>
      <c r="D951" s="1108" t="s">
        <v>6055</v>
      </c>
      <c r="E951" s="1116" t="s">
        <v>6056</v>
      </c>
      <c r="F951" s="1117">
        <v>0.1</v>
      </c>
      <c r="G951" s="1109">
        <v>0.0</v>
      </c>
      <c r="H951" s="1116"/>
      <c r="I951" s="1118" t="str">
        <f t="shared" si="1"/>
        <v/>
      </c>
      <c r="J951" s="1110"/>
    </row>
    <row r="952" ht="18.75" customHeight="1">
      <c r="A952" s="1110"/>
      <c r="B952" s="1115" t="s">
        <v>6030</v>
      </c>
      <c r="C952" s="1108" t="s">
        <v>5753</v>
      </c>
      <c r="D952" s="1108" t="s">
        <v>6057</v>
      </c>
      <c r="E952" s="1116" t="s">
        <v>6058</v>
      </c>
      <c r="F952" s="1117">
        <v>0.1</v>
      </c>
      <c r="G952" s="1109">
        <v>0.0</v>
      </c>
      <c r="H952" s="1116"/>
      <c r="I952" s="1118" t="str">
        <f t="shared" si="1"/>
        <v/>
      </c>
      <c r="J952" s="1110"/>
    </row>
    <row r="953" ht="18.75" customHeight="1">
      <c r="A953" s="1110"/>
      <c r="B953" s="1115" t="s">
        <v>6030</v>
      </c>
      <c r="C953" s="1108" t="s">
        <v>5753</v>
      </c>
      <c r="D953" s="1108" t="s">
        <v>1189</v>
      </c>
      <c r="E953" s="1116" t="s">
        <v>6059</v>
      </c>
      <c r="F953" s="1117">
        <v>0.1</v>
      </c>
      <c r="G953" s="1109">
        <v>0.0</v>
      </c>
      <c r="H953" s="1118">
        <v>17300.0</v>
      </c>
      <c r="I953" s="1118">
        <f t="shared" si="1"/>
        <v>15730</v>
      </c>
      <c r="J953" s="1110"/>
    </row>
    <row r="954" ht="18.75" customHeight="1">
      <c r="A954" s="1110"/>
      <c r="B954" s="1115" t="s">
        <v>6030</v>
      </c>
      <c r="C954" s="1108" t="s">
        <v>5753</v>
      </c>
      <c r="D954" s="1108" t="s">
        <v>6060</v>
      </c>
      <c r="E954" s="1116" t="s">
        <v>6061</v>
      </c>
      <c r="F954" s="1117">
        <v>0.1</v>
      </c>
      <c r="G954" s="1109">
        <v>0.0</v>
      </c>
      <c r="H954" s="1118">
        <v>18300.0</v>
      </c>
      <c r="I954" s="1118">
        <f t="shared" si="1"/>
        <v>16640</v>
      </c>
      <c r="J954" s="1110"/>
    </row>
    <row r="955" ht="18.75" customHeight="1">
      <c r="A955" s="1110"/>
      <c r="B955" s="1115" t="s">
        <v>6030</v>
      </c>
      <c r="C955" s="1108" t="s">
        <v>5753</v>
      </c>
      <c r="D955" s="1108" t="s">
        <v>6062</v>
      </c>
      <c r="E955" s="1116" t="s">
        <v>6063</v>
      </c>
      <c r="F955" s="1117">
        <v>0.1</v>
      </c>
      <c r="G955" s="1109">
        <v>0.0</v>
      </c>
      <c r="H955" s="1118">
        <v>22100.0</v>
      </c>
      <c r="I955" s="1118">
        <f t="shared" si="1"/>
        <v>20090</v>
      </c>
      <c r="J955" s="1110"/>
    </row>
    <row r="956" ht="18.75" customHeight="1">
      <c r="A956" s="1110"/>
      <c r="B956" s="1115" t="s">
        <v>6030</v>
      </c>
      <c r="C956" s="1108" t="s">
        <v>5753</v>
      </c>
      <c r="D956" s="1108" t="s">
        <v>6064</v>
      </c>
      <c r="E956" s="1116" t="s">
        <v>6065</v>
      </c>
      <c r="F956" s="1117">
        <v>0.1</v>
      </c>
      <c r="G956" s="1109">
        <v>0.0</v>
      </c>
      <c r="H956" s="1116"/>
      <c r="I956" s="1118" t="str">
        <f t="shared" si="1"/>
        <v/>
      </c>
      <c r="J956" s="1110"/>
    </row>
    <row r="957" ht="18.75" customHeight="1">
      <c r="A957" s="1110"/>
      <c r="B957" s="1115" t="s">
        <v>6030</v>
      </c>
      <c r="C957" s="1108" t="s">
        <v>5753</v>
      </c>
      <c r="D957" s="1108" t="s">
        <v>6066</v>
      </c>
      <c r="E957" s="1116" t="s">
        <v>6067</v>
      </c>
      <c r="F957" s="1117">
        <v>0.1</v>
      </c>
      <c r="G957" s="1109">
        <v>0.0</v>
      </c>
      <c r="H957" s="1116"/>
      <c r="I957" s="1118" t="str">
        <f t="shared" si="1"/>
        <v/>
      </c>
      <c r="J957" s="1110"/>
    </row>
    <row r="958" ht="18.75" customHeight="1">
      <c r="A958" s="1110"/>
      <c r="B958" s="1115" t="s">
        <v>6030</v>
      </c>
      <c r="C958" s="1108" t="s">
        <v>5753</v>
      </c>
      <c r="D958" s="1108" t="s">
        <v>6068</v>
      </c>
      <c r="E958" s="1116" t="s">
        <v>6069</v>
      </c>
      <c r="F958" s="1117">
        <v>0.1</v>
      </c>
      <c r="G958" s="1109">
        <v>0.0</v>
      </c>
      <c r="H958" s="1116"/>
      <c r="I958" s="1118" t="str">
        <f t="shared" si="1"/>
        <v/>
      </c>
      <c r="J958" s="1110"/>
    </row>
    <row r="959" ht="18.75" customHeight="1">
      <c r="A959" s="1110"/>
      <c r="B959" s="1115" t="s">
        <v>6030</v>
      </c>
      <c r="C959" s="1108" t="s">
        <v>5753</v>
      </c>
      <c r="D959" s="1108" t="s">
        <v>6070</v>
      </c>
      <c r="E959" s="1116" t="s">
        <v>6071</v>
      </c>
      <c r="F959" s="1117">
        <v>0.1</v>
      </c>
      <c r="G959" s="1109">
        <v>0.0</v>
      </c>
      <c r="H959" s="1116"/>
      <c r="I959" s="1118" t="str">
        <f t="shared" si="1"/>
        <v/>
      </c>
      <c r="J959" s="1110"/>
    </row>
    <row r="960" ht="18.75" customHeight="1">
      <c r="A960" s="1110"/>
      <c r="B960" s="1115" t="s">
        <v>6030</v>
      </c>
      <c r="C960" s="1108" t="s">
        <v>5753</v>
      </c>
      <c r="D960" s="1108" t="s">
        <v>6072</v>
      </c>
      <c r="E960" s="1116" t="s">
        <v>6073</v>
      </c>
      <c r="F960" s="1117">
        <v>0.1</v>
      </c>
      <c r="G960" s="1109">
        <v>0.0</v>
      </c>
      <c r="H960" s="1116"/>
      <c r="I960" s="1118" t="str">
        <f t="shared" si="1"/>
        <v/>
      </c>
      <c r="J960" s="1110"/>
    </row>
    <row r="961" ht="18.75" customHeight="1">
      <c r="A961" s="1110"/>
      <c r="B961" s="1115" t="s">
        <v>6030</v>
      </c>
      <c r="C961" s="1108" t="s">
        <v>5753</v>
      </c>
      <c r="D961" s="1108" t="s">
        <v>6074</v>
      </c>
      <c r="E961" s="1116" t="s">
        <v>6075</v>
      </c>
      <c r="F961" s="1117">
        <v>0.1</v>
      </c>
      <c r="G961" s="1109">
        <v>0.0</v>
      </c>
      <c r="H961" s="1116"/>
      <c r="I961" s="1118" t="str">
        <f t="shared" si="1"/>
        <v/>
      </c>
      <c r="J961" s="1110"/>
    </row>
    <row r="962" ht="18.75" customHeight="1">
      <c r="A962" s="1110"/>
      <c r="B962" s="1115" t="s">
        <v>6030</v>
      </c>
      <c r="C962" s="1108" t="s">
        <v>5753</v>
      </c>
      <c r="D962" s="1108" t="s">
        <v>6076</v>
      </c>
      <c r="E962" s="1116" t="s">
        <v>6077</v>
      </c>
      <c r="F962" s="1117">
        <v>0.1</v>
      </c>
      <c r="G962" s="1109">
        <v>0.0</v>
      </c>
      <c r="H962" s="1118">
        <v>9100.0</v>
      </c>
      <c r="I962" s="1118">
        <f t="shared" si="1"/>
        <v>8270</v>
      </c>
      <c r="J962" s="1110"/>
    </row>
    <row r="963" ht="18.75" customHeight="1">
      <c r="A963" s="1110"/>
      <c r="B963" s="1115" t="s">
        <v>6030</v>
      </c>
      <c r="C963" s="1108" t="s">
        <v>5753</v>
      </c>
      <c r="D963" s="1108" t="s">
        <v>6078</v>
      </c>
      <c r="E963" s="1116" t="s">
        <v>6079</v>
      </c>
      <c r="F963" s="1117">
        <v>0.1</v>
      </c>
      <c r="G963" s="1109">
        <v>0.0</v>
      </c>
      <c r="H963" s="1118">
        <v>10100.0</v>
      </c>
      <c r="I963" s="1118">
        <f t="shared" si="1"/>
        <v>9180</v>
      </c>
      <c r="J963" s="1110"/>
    </row>
    <row r="964" ht="18.75" customHeight="1">
      <c r="A964" s="1110"/>
      <c r="B964" s="1115" t="s">
        <v>6030</v>
      </c>
      <c r="C964" s="1108" t="s">
        <v>5753</v>
      </c>
      <c r="D964" s="1108" t="s">
        <v>6080</v>
      </c>
      <c r="E964" s="1116" t="s">
        <v>6081</v>
      </c>
      <c r="F964" s="1117">
        <v>0.1</v>
      </c>
      <c r="G964" s="1109">
        <v>0.0</v>
      </c>
      <c r="H964" s="1116"/>
      <c r="I964" s="1118" t="str">
        <f t="shared" si="1"/>
        <v/>
      </c>
      <c r="J964" s="1110"/>
    </row>
    <row r="965" ht="18.75" customHeight="1">
      <c r="A965" s="1110"/>
      <c r="B965" s="1115" t="s">
        <v>6030</v>
      </c>
      <c r="C965" s="1108" t="s">
        <v>5753</v>
      </c>
      <c r="D965" s="1108" t="s">
        <v>6082</v>
      </c>
      <c r="E965" s="1116" t="s">
        <v>6083</v>
      </c>
      <c r="F965" s="1117">
        <v>0.1</v>
      </c>
      <c r="G965" s="1109">
        <v>0.0</v>
      </c>
      <c r="H965" s="1116"/>
      <c r="I965" s="1118" t="str">
        <f t="shared" si="1"/>
        <v/>
      </c>
      <c r="J965" s="1110"/>
    </row>
    <row r="966" ht="18.75" customHeight="1">
      <c r="A966" s="1110"/>
      <c r="B966" s="1115" t="s">
        <v>6030</v>
      </c>
      <c r="C966" s="1108" t="s">
        <v>5753</v>
      </c>
      <c r="D966" s="1108" t="s">
        <v>6084</v>
      </c>
      <c r="E966" s="1116" t="s">
        <v>6085</v>
      </c>
      <c r="F966" s="1117">
        <v>0.1</v>
      </c>
      <c r="G966" s="1109">
        <v>0.0</v>
      </c>
      <c r="H966" s="1116"/>
      <c r="I966" s="1118" t="str">
        <f t="shared" si="1"/>
        <v/>
      </c>
      <c r="J966" s="1110"/>
    </row>
    <row r="967" ht="18.75" customHeight="1">
      <c r="A967" s="1110"/>
      <c r="B967" s="1115" t="s">
        <v>6030</v>
      </c>
      <c r="C967" s="1108" t="s">
        <v>5753</v>
      </c>
      <c r="D967" s="1108" t="s">
        <v>6086</v>
      </c>
      <c r="E967" s="1116" t="s">
        <v>6087</v>
      </c>
      <c r="F967" s="1117">
        <v>0.1</v>
      </c>
      <c r="G967" s="1109">
        <v>0.0</v>
      </c>
      <c r="H967" s="1116"/>
      <c r="I967" s="1118" t="str">
        <f t="shared" si="1"/>
        <v/>
      </c>
      <c r="J967" s="1110"/>
    </row>
    <row r="968" ht="18.75" customHeight="1">
      <c r="A968" s="1110"/>
      <c r="B968" s="1115" t="s">
        <v>6030</v>
      </c>
      <c r="C968" s="1108" t="s">
        <v>5753</v>
      </c>
      <c r="D968" s="1108" t="s">
        <v>6088</v>
      </c>
      <c r="E968" s="1116" t="s">
        <v>6089</v>
      </c>
      <c r="F968" s="1117">
        <v>0.1</v>
      </c>
      <c r="G968" s="1109">
        <v>0.0</v>
      </c>
      <c r="H968" s="1116"/>
      <c r="I968" s="1118" t="str">
        <f t="shared" si="1"/>
        <v/>
      </c>
      <c r="J968" s="1110"/>
    </row>
    <row r="969" ht="18.75" customHeight="1">
      <c r="A969" s="1110"/>
      <c r="B969" s="1115" t="s">
        <v>6030</v>
      </c>
      <c r="C969" s="1108" t="s">
        <v>5753</v>
      </c>
      <c r="D969" s="1108" t="s">
        <v>1174</v>
      </c>
      <c r="E969" s="1116" t="s">
        <v>6090</v>
      </c>
      <c r="F969" s="1117">
        <v>0.1</v>
      </c>
      <c r="G969" s="1109">
        <v>0.0</v>
      </c>
      <c r="H969" s="1118">
        <v>25400.0</v>
      </c>
      <c r="I969" s="1118">
        <f t="shared" si="1"/>
        <v>23090</v>
      </c>
      <c r="J969" s="1110"/>
    </row>
    <row r="970" ht="18.75" customHeight="1">
      <c r="A970" s="1110"/>
      <c r="B970" s="1115" t="s">
        <v>6030</v>
      </c>
      <c r="C970" s="1108" t="s">
        <v>5753</v>
      </c>
      <c r="D970" s="1108" t="s">
        <v>6091</v>
      </c>
      <c r="E970" s="1116" t="s">
        <v>6092</v>
      </c>
      <c r="F970" s="1117">
        <v>0.1</v>
      </c>
      <c r="G970" s="1109">
        <v>0.0</v>
      </c>
      <c r="H970" s="1118"/>
      <c r="I970" s="1118" t="str">
        <f t="shared" si="1"/>
        <v/>
      </c>
      <c r="J970" s="1110"/>
    </row>
    <row r="971" ht="18.75" customHeight="1">
      <c r="A971" s="1110"/>
      <c r="B971" s="1115" t="s">
        <v>6030</v>
      </c>
      <c r="C971" s="1108" t="s">
        <v>5753</v>
      </c>
      <c r="D971" s="1108" t="s">
        <v>1197</v>
      </c>
      <c r="E971" s="1116" t="s">
        <v>6093</v>
      </c>
      <c r="F971" s="1117">
        <v>0.1</v>
      </c>
      <c r="G971" s="1109">
        <v>0.0</v>
      </c>
      <c r="H971" s="1118">
        <v>29600.0</v>
      </c>
      <c r="I971" s="1118">
        <f t="shared" si="1"/>
        <v>26910</v>
      </c>
      <c r="J971" s="1110"/>
    </row>
    <row r="972" ht="18.75" customHeight="1">
      <c r="A972" s="1110"/>
      <c r="B972" s="1115" t="s">
        <v>6030</v>
      </c>
      <c r="C972" s="1108" t="s">
        <v>5753</v>
      </c>
      <c r="D972" s="1108" t="s">
        <v>6094</v>
      </c>
      <c r="E972" s="1116" t="s">
        <v>6095</v>
      </c>
      <c r="F972" s="1117">
        <v>0.1</v>
      </c>
      <c r="G972" s="1109">
        <v>0.0</v>
      </c>
      <c r="H972" s="1118">
        <v>32700.0</v>
      </c>
      <c r="I972" s="1118">
        <f t="shared" si="1"/>
        <v>29730</v>
      </c>
      <c r="J972" s="1110"/>
    </row>
    <row r="973" ht="18.75" customHeight="1">
      <c r="A973" s="1110"/>
      <c r="B973" s="1115" t="s">
        <v>6030</v>
      </c>
      <c r="C973" s="1108" t="s">
        <v>5753</v>
      </c>
      <c r="D973" s="1108" t="s">
        <v>6096</v>
      </c>
      <c r="E973" s="1116" t="s">
        <v>6097</v>
      </c>
      <c r="F973" s="1117">
        <v>0.1</v>
      </c>
      <c r="G973" s="1109">
        <v>0.0</v>
      </c>
      <c r="H973" s="1116"/>
      <c r="I973" s="1118" t="str">
        <f t="shared" si="1"/>
        <v/>
      </c>
      <c r="J973" s="1110"/>
    </row>
    <row r="974" ht="18.75" customHeight="1">
      <c r="A974" s="1110"/>
      <c r="B974" s="1115" t="s">
        <v>6030</v>
      </c>
      <c r="C974" s="1108" t="s">
        <v>5753</v>
      </c>
      <c r="D974" s="1108" t="s">
        <v>6098</v>
      </c>
      <c r="E974" s="1116" t="s">
        <v>6099</v>
      </c>
      <c r="F974" s="1117">
        <v>0.1</v>
      </c>
      <c r="G974" s="1109">
        <v>0.0</v>
      </c>
      <c r="H974" s="1118">
        <v>38500.0</v>
      </c>
      <c r="I974" s="1118">
        <f t="shared" si="1"/>
        <v>35000</v>
      </c>
      <c r="J974" s="1110"/>
    </row>
    <row r="975" ht="18.75" customHeight="1">
      <c r="A975" s="1110"/>
      <c r="B975" s="1115" t="s">
        <v>6030</v>
      </c>
      <c r="C975" s="1108" t="s">
        <v>5753</v>
      </c>
      <c r="D975" s="1108" t="s">
        <v>6100</v>
      </c>
      <c r="E975" s="1116" t="s">
        <v>6101</v>
      </c>
      <c r="F975" s="1117">
        <v>0.1</v>
      </c>
      <c r="G975" s="1109">
        <v>0.0</v>
      </c>
      <c r="H975" s="1116"/>
      <c r="I975" s="1118" t="str">
        <f t="shared" si="1"/>
        <v/>
      </c>
      <c r="J975" s="1110"/>
    </row>
    <row r="976" ht="18.75" customHeight="1">
      <c r="A976" s="1110"/>
      <c r="B976" s="1115" t="s">
        <v>6030</v>
      </c>
      <c r="C976" s="1108" t="s">
        <v>5753</v>
      </c>
      <c r="D976" s="1108" t="s">
        <v>6102</v>
      </c>
      <c r="E976" s="1116" t="s">
        <v>6103</v>
      </c>
      <c r="F976" s="1117">
        <v>0.1</v>
      </c>
      <c r="G976" s="1109">
        <v>0.0</v>
      </c>
      <c r="H976" s="1116"/>
      <c r="I976" s="1118" t="str">
        <f t="shared" si="1"/>
        <v/>
      </c>
      <c r="J976" s="1110"/>
    </row>
    <row r="977" ht="18.75" customHeight="1">
      <c r="A977" s="1110"/>
      <c r="B977" s="1115" t="s">
        <v>6030</v>
      </c>
      <c r="C977" s="1108" t="s">
        <v>5753</v>
      </c>
      <c r="D977" s="1108" t="s">
        <v>1216</v>
      </c>
      <c r="E977" s="1116" t="s">
        <v>6104</v>
      </c>
      <c r="F977" s="1117">
        <v>0.1</v>
      </c>
      <c r="G977" s="1109">
        <v>0.0</v>
      </c>
      <c r="H977" s="1118">
        <v>50900.0</v>
      </c>
      <c r="I977" s="1118">
        <f t="shared" si="1"/>
        <v>46270</v>
      </c>
      <c r="J977" s="1110"/>
    </row>
    <row r="978" ht="18.75" customHeight="1">
      <c r="A978" s="1110"/>
      <c r="B978" s="1115" t="s">
        <v>6030</v>
      </c>
      <c r="C978" s="1108" t="s">
        <v>5753</v>
      </c>
      <c r="D978" s="1108" t="s">
        <v>6105</v>
      </c>
      <c r="E978" s="1116" t="s">
        <v>6106</v>
      </c>
      <c r="F978" s="1117">
        <v>0.1</v>
      </c>
      <c r="G978" s="1109">
        <v>0.0</v>
      </c>
      <c r="H978" s="1116"/>
      <c r="I978" s="1118" t="str">
        <f t="shared" si="1"/>
        <v/>
      </c>
      <c r="J978" s="1110"/>
    </row>
    <row r="979" ht="18.75" customHeight="1">
      <c r="A979" s="1110"/>
      <c r="B979" s="1115" t="s">
        <v>6030</v>
      </c>
      <c r="C979" s="1108" t="s">
        <v>5753</v>
      </c>
      <c r="D979" s="1108" t="s">
        <v>6107</v>
      </c>
      <c r="E979" s="1116" t="s">
        <v>6108</v>
      </c>
      <c r="F979" s="1117">
        <v>0.1</v>
      </c>
      <c r="G979" s="1109">
        <v>0.0</v>
      </c>
      <c r="H979" s="1116"/>
      <c r="I979" s="1118" t="str">
        <f t="shared" si="1"/>
        <v/>
      </c>
      <c r="J979" s="1110"/>
    </row>
    <row r="980" ht="18.75" customHeight="1">
      <c r="A980" s="1110"/>
      <c r="B980" s="1115" t="s">
        <v>6030</v>
      </c>
      <c r="C980" s="1108" t="s">
        <v>5753</v>
      </c>
      <c r="D980" s="1108" t="s">
        <v>1224</v>
      </c>
      <c r="E980" s="1116" t="s">
        <v>6109</v>
      </c>
      <c r="F980" s="1117">
        <v>0.1</v>
      </c>
      <c r="G980" s="1109">
        <v>0.0</v>
      </c>
      <c r="H980" s="1118">
        <v>77400.0</v>
      </c>
      <c r="I980" s="1118">
        <f t="shared" si="1"/>
        <v>70360</v>
      </c>
      <c r="J980" s="1110"/>
    </row>
    <row r="981" ht="18.75" customHeight="1">
      <c r="A981" s="1110"/>
      <c r="B981" s="1115" t="s">
        <v>6030</v>
      </c>
      <c r="C981" s="1108" t="s">
        <v>5753</v>
      </c>
      <c r="D981" s="1108" t="s">
        <v>6110</v>
      </c>
      <c r="E981" s="1116" t="s">
        <v>6111</v>
      </c>
      <c r="F981" s="1117">
        <v>0.1</v>
      </c>
      <c r="G981" s="1109">
        <v>0.0</v>
      </c>
      <c r="H981" s="1116"/>
      <c r="I981" s="1118" t="str">
        <f t="shared" si="1"/>
        <v/>
      </c>
      <c r="J981" s="1110"/>
    </row>
    <row r="982" ht="18.75" customHeight="1">
      <c r="A982" s="1110"/>
      <c r="B982" s="1115" t="s">
        <v>6030</v>
      </c>
      <c r="C982" s="1108" t="s">
        <v>5753</v>
      </c>
      <c r="D982" s="1108" t="s">
        <v>6112</v>
      </c>
      <c r="E982" s="1116" t="s">
        <v>6113</v>
      </c>
      <c r="F982" s="1117">
        <v>0.1</v>
      </c>
      <c r="G982" s="1109">
        <v>0.0</v>
      </c>
      <c r="H982" s="1116"/>
      <c r="I982" s="1118" t="str">
        <f t="shared" si="1"/>
        <v/>
      </c>
      <c r="J982" s="1110"/>
    </row>
    <row r="983" ht="18.75" customHeight="1">
      <c r="A983" s="1110"/>
      <c r="B983" s="1115" t="s">
        <v>6030</v>
      </c>
      <c r="C983" s="1108" t="s">
        <v>5753</v>
      </c>
      <c r="D983" s="1108" t="s">
        <v>6114</v>
      </c>
      <c r="E983" s="1116" t="s">
        <v>6115</v>
      </c>
      <c r="F983" s="1117">
        <v>0.1</v>
      </c>
      <c r="G983" s="1109">
        <v>0.0</v>
      </c>
      <c r="H983" s="1116"/>
      <c r="I983" s="1118" t="str">
        <f t="shared" si="1"/>
        <v/>
      </c>
      <c r="J983" s="1110"/>
    </row>
    <row r="984" ht="18.75" customHeight="1">
      <c r="A984" s="1110"/>
      <c r="B984" s="1115" t="s">
        <v>6030</v>
      </c>
      <c r="C984" s="1108" t="s">
        <v>5753</v>
      </c>
      <c r="D984" s="1108" t="s">
        <v>6116</v>
      </c>
      <c r="E984" s="1116" t="s">
        <v>6117</v>
      </c>
      <c r="F984" s="1117">
        <v>0.1</v>
      </c>
      <c r="G984" s="1109">
        <v>0.0</v>
      </c>
      <c r="H984" s="1116"/>
      <c r="I984" s="1118" t="str">
        <f t="shared" si="1"/>
        <v/>
      </c>
      <c r="J984" s="1110"/>
    </row>
    <row r="985" ht="18.75" customHeight="1">
      <c r="A985" s="1110"/>
      <c r="B985" s="1115" t="s">
        <v>6030</v>
      </c>
      <c r="C985" s="1108" t="s">
        <v>5753</v>
      </c>
      <c r="D985" s="1108" t="s">
        <v>6118</v>
      </c>
      <c r="E985" s="1116" t="s">
        <v>6119</v>
      </c>
      <c r="F985" s="1117">
        <v>0.1</v>
      </c>
      <c r="G985" s="1109">
        <v>0.0</v>
      </c>
      <c r="H985" s="1116"/>
      <c r="I985" s="1118" t="str">
        <f t="shared" si="1"/>
        <v/>
      </c>
      <c r="J985" s="1110"/>
    </row>
    <row r="986" ht="18.75" customHeight="1">
      <c r="A986" s="1110"/>
      <c r="B986" s="1115" t="s">
        <v>6030</v>
      </c>
      <c r="C986" s="1108" t="s">
        <v>5753</v>
      </c>
      <c r="D986" s="1108" t="s">
        <v>6120</v>
      </c>
      <c r="E986" s="1116" t="s">
        <v>6121</v>
      </c>
      <c r="F986" s="1117">
        <v>0.1</v>
      </c>
      <c r="G986" s="1109">
        <v>0.0</v>
      </c>
      <c r="H986" s="1118"/>
      <c r="I986" s="1118" t="str">
        <f t="shared" si="1"/>
        <v/>
      </c>
      <c r="J986" s="1110"/>
    </row>
    <row r="987" ht="18.75" customHeight="1">
      <c r="A987" s="1110"/>
      <c r="B987" s="1115" t="s">
        <v>6030</v>
      </c>
      <c r="C987" s="1108" t="s">
        <v>5753</v>
      </c>
      <c r="D987" s="1108" t="s">
        <v>6122</v>
      </c>
      <c r="E987" s="1116" t="s">
        <v>6123</v>
      </c>
      <c r="F987" s="1117">
        <v>0.1</v>
      </c>
      <c r="G987" s="1109">
        <v>0.0</v>
      </c>
      <c r="H987" s="1118"/>
      <c r="I987" s="1118" t="str">
        <f t="shared" si="1"/>
        <v/>
      </c>
      <c r="J987" s="1110"/>
    </row>
    <row r="988" ht="18.75" customHeight="1">
      <c r="A988" s="1110"/>
      <c r="B988" s="1115" t="s">
        <v>6030</v>
      </c>
      <c r="C988" s="1108" t="s">
        <v>5753</v>
      </c>
      <c r="D988" s="1108" t="s">
        <v>1154</v>
      </c>
      <c r="E988" s="1116" t="s">
        <v>6124</v>
      </c>
      <c r="F988" s="1117">
        <v>0.1</v>
      </c>
      <c r="G988" s="1109">
        <v>0.0</v>
      </c>
      <c r="H988" s="1118">
        <v>24400.0</v>
      </c>
      <c r="I988" s="1118">
        <f t="shared" si="1"/>
        <v>22180</v>
      </c>
      <c r="J988" s="1110"/>
    </row>
    <row r="989" ht="18.75" customHeight="1">
      <c r="A989" s="1110"/>
      <c r="B989" s="1115" t="s">
        <v>6030</v>
      </c>
      <c r="C989" s="1108" t="s">
        <v>5753</v>
      </c>
      <c r="D989" s="1108" t="s">
        <v>6125</v>
      </c>
      <c r="E989" s="1116" t="s">
        <v>6126</v>
      </c>
      <c r="F989" s="1117">
        <v>0.1</v>
      </c>
      <c r="G989" s="1109">
        <v>0.0</v>
      </c>
      <c r="H989" s="1118"/>
      <c r="I989" s="1118" t="str">
        <f t="shared" si="1"/>
        <v/>
      </c>
      <c r="J989" s="1110"/>
    </row>
    <row r="990" ht="18.75" customHeight="1">
      <c r="A990" s="1110"/>
      <c r="B990" s="1115" t="s">
        <v>6030</v>
      </c>
      <c r="C990" s="1108" t="s">
        <v>5753</v>
      </c>
      <c r="D990" s="1108" t="s">
        <v>1162</v>
      </c>
      <c r="E990" s="1116" t="s">
        <v>6127</v>
      </c>
      <c r="F990" s="1117">
        <v>0.1</v>
      </c>
      <c r="G990" s="1109">
        <v>0.0</v>
      </c>
      <c r="H990" s="1118">
        <v>30600.0</v>
      </c>
      <c r="I990" s="1118">
        <f t="shared" si="1"/>
        <v>27820</v>
      </c>
      <c r="J990" s="1110"/>
    </row>
    <row r="991" ht="18.75" customHeight="1">
      <c r="A991" s="1110"/>
      <c r="B991" s="1115" t="s">
        <v>6030</v>
      </c>
      <c r="C991" s="1108" t="s">
        <v>5753</v>
      </c>
      <c r="D991" s="1108" t="s">
        <v>6128</v>
      </c>
      <c r="E991" s="1116" t="s">
        <v>6129</v>
      </c>
      <c r="F991" s="1117">
        <v>0.1</v>
      </c>
      <c r="G991" s="1109">
        <v>0.0</v>
      </c>
      <c r="H991" s="1118">
        <v>31800.0</v>
      </c>
      <c r="I991" s="1118">
        <f t="shared" si="1"/>
        <v>28910</v>
      </c>
      <c r="J991" s="1110"/>
    </row>
    <row r="992" ht="18.75" customHeight="1">
      <c r="A992" s="1110"/>
      <c r="B992" s="1115" t="s">
        <v>6030</v>
      </c>
      <c r="C992" s="1108" t="s">
        <v>5753</v>
      </c>
      <c r="D992" s="1108" t="s">
        <v>6130</v>
      </c>
      <c r="E992" s="1116" t="s">
        <v>6131</v>
      </c>
      <c r="F992" s="1117">
        <v>0.1</v>
      </c>
      <c r="G992" s="1109">
        <v>0.0</v>
      </c>
      <c r="H992" s="1116"/>
      <c r="I992" s="1118" t="str">
        <f t="shared" si="1"/>
        <v/>
      </c>
      <c r="J992" s="1110"/>
    </row>
    <row r="993" ht="18.75" customHeight="1">
      <c r="A993" s="1110"/>
      <c r="B993" s="1115" t="s">
        <v>6030</v>
      </c>
      <c r="C993" s="1108" t="s">
        <v>5753</v>
      </c>
      <c r="D993" s="1108" t="s">
        <v>1179</v>
      </c>
      <c r="E993" s="1116" t="s">
        <v>6132</v>
      </c>
      <c r="F993" s="1117">
        <v>0.1</v>
      </c>
      <c r="G993" s="1109">
        <v>0.0</v>
      </c>
      <c r="H993" s="1118">
        <v>41800.0</v>
      </c>
      <c r="I993" s="1118">
        <f t="shared" si="1"/>
        <v>38000</v>
      </c>
      <c r="J993" s="1110"/>
    </row>
    <row r="994" ht="18.75" customHeight="1">
      <c r="A994" s="1110"/>
      <c r="B994" s="1115" t="s">
        <v>6030</v>
      </c>
      <c r="C994" s="1108" t="s">
        <v>5753</v>
      </c>
      <c r="D994" s="1108" t="s">
        <v>6133</v>
      </c>
      <c r="E994" s="1116" t="s">
        <v>6134</v>
      </c>
      <c r="F994" s="1117">
        <v>0.1</v>
      </c>
      <c r="G994" s="1109">
        <v>0.0</v>
      </c>
      <c r="H994" s="1118"/>
      <c r="I994" s="1118" t="str">
        <f t="shared" si="1"/>
        <v/>
      </c>
      <c r="J994" s="1110"/>
    </row>
    <row r="995" ht="18.75" customHeight="1">
      <c r="A995" s="1110"/>
      <c r="B995" s="1115" t="s">
        <v>6030</v>
      </c>
      <c r="C995" s="1108" t="s">
        <v>5753</v>
      </c>
      <c r="D995" s="1108" t="s">
        <v>6135</v>
      </c>
      <c r="E995" s="1116" t="s">
        <v>6136</v>
      </c>
      <c r="F995" s="1117">
        <v>0.1</v>
      </c>
      <c r="G995" s="1109">
        <v>0.0</v>
      </c>
      <c r="H995" s="1118">
        <v>46200.0</v>
      </c>
      <c r="I995" s="1118">
        <f t="shared" si="1"/>
        <v>42000</v>
      </c>
      <c r="J995" s="1110"/>
    </row>
    <row r="996" ht="18.75" customHeight="1">
      <c r="A996" s="1110"/>
      <c r="B996" s="1115" t="s">
        <v>6030</v>
      </c>
      <c r="C996" s="1108" t="s">
        <v>5753</v>
      </c>
      <c r="D996" s="1108" t="s">
        <v>6137</v>
      </c>
      <c r="E996" s="1116" t="s">
        <v>6138</v>
      </c>
      <c r="F996" s="1117">
        <v>0.1</v>
      </c>
      <c r="G996" s="1109">
        <v>0.0</v>
      </c>
      <c r="H996" s="1116"/>
      <c r="I996" s="1118" t="str">
        <f t="shared" si="1"/>
        <v/>
      </c>
      <c r="J996" s="1110"/>
    </row>
    <row r="997" ht="18.75" customHeight="1">
      <c r="A997" s="1110"/>
      <c r="B997" s="1115" t="s">
        <v>6030</v>
      </c>
      <c r="C997" s="1108" t="s">
        <v>5753</v>
      </c>
      <c r="D997" s="1108" t="s">
        <v>6139</v>
      </c>
      <c r="E997" s="1116" t="s">
        <v>6140</v>
      </c>
      <c r="F997" s="1117">
        <v>0.1</v>
      </c>
      <c r="G997" s="1109">
        <v>0.0</v>
      </c>
      <c r="H997" s="1118">
        <v>51900.0</v>
      </c>
      <c r="I997" s="1118">
        <f t="shared" si="1"/>
        <v>47180</v>
      </c>
      <c r="J997" s="1110"/>
    </row>
    <row r="998" ht="18.75" customHeight="1">
      <c r="A998" s="1110"/>
      <c r="B998" s="1115" t="s">
        <v>6030</v>
      </c>
      <c r="C998" s="1108" t="s">
        <v>5753</v>
      </c>
      <c r="D998" s="1108" t="s">
        <v>6141</v>
      </c>
      <c r="E998" s="1116" t="s">
        <v>6142</v>
      </c>
      <c r="F998" s="1117">
        <v>0.1</v>
      </c>
      <c r="G998" s="1109">
        <v>0.0</v>
      </c>
      <c r="H998" s="1116"/>
      <c r="I998" s="1118" t="str">
        <f t="shared" si="1"/>
        <v/>
      </c>
      <c r="J998" s="1110"/>
    </row>
    <row r="999" ht="18.75" customHeight="1">
      <c r="A999" s="1110"/>
      <c r="B999" s="1115" t="s">
        <v>6030</v>
      </c>
      <c r="C999" s="1108" t="s">
        <v>5753</v>
      </c>
      <c r="D999" s="1108" t="s">
        <v>6143</v>
      </c>
      <c r="E999" s="1116" t="s">
        <v>6144</v>
      </c>
      <c r="F999" s="1117">
        <v>0.1</v>
      </c>
      <c r="G999" s="1109">
        <v>0.0</v>
      </c>
      <c r="H999" s="1118"/>
      <c r="I999" s="1118" t="str">
        <f t="shared" si="1"/>
        <v/>
      </c>
      <c r="J999" s="1110"/>
    </row>
    <row r="1000" ht="18.75" customHeight="1">
      <c r="A1000" s="1110"/>
      <c r="B1000" s="1115" t="s">
        <v>6030</v>
      </c>
      <c r="C1000" s="1108" t="s">
        <v>5753</v>
      </c>
      <c r="D1000" s="1108" t="s">
        <v>6145</v>
      </c>
      <c r="E1000" s="1116" t="s">
        <v>6146</v>
      </c>
      <c r="F1000" s="1117">
        <v>0.1</v>
      </c>
      <c r="G1000" s="1109">
        <v>0.0</v>
      </c>
      <c r="H1000" s="1116"/>
      <c r="I1000" s="1118" t="str">
        <f t="shared" si="1"/>
        <v/>
      </c>
      <c r="J1000" s="1110"/>
    </row>
    <row r="1001" ht="18.75" customHeight="1">
      <c r="A1001" s="1110"/>
      <c r="B1001" s="1115" t="s">
        <v>6030</v>
      </c>
      <c r="C1001" s="1108" t="s">
        <v>5753</v>
      </c>
      <c r="D1001" s="1108" t="s">
        <v>6147</v>
      </c>
      <c r="E1001" s="1116" t="s">
        <v>6148</v>
      </c>
      <c r="F1001" s="1117">
        <v>0.1</v>
      </c>
      <c r="G1001" s="1109">
        <v>0.0</v>
      </c>
      <c r="H1001" s="1116"/>
      <c r="I1001" s="1118" t="str">
        <f t="shared" si="1"/>
        <v/>
      </c>
      <c r="J1001" s="1110"/>
    </row>
    <row r="1002" ht="18.75" customHeight="1">
      <c r="A1002" s="1110"/>
      <c r="B1002" s="1115" t="s">
        <v>6030</v>
      </c>
      <c r="C1002" s="1108" t="s">
        <v>5753</v>
      </c>
      <c r="D1002" s="1108" t="s">
        <v>6149</v>
      </c>
      <c r="E1002" s="1116" t="s">
        <v>6150</v>
      </c>
      <c r="F1002" s="1117">
        <v>0.1</v>
      </c>
      <c r="G1002" s="1109">
        <v>0.0</v>
      </c>
      <c r="H1002" s="1118">
        <v>92300.0</v>
      </c>
      <c r="I1002" s="1118">
        <f t="shared" si="1"/>
        <v>83910</v>
      </c>
      <c r="J1002" s="1110"/>
    </row>
    <row r="1003" ht="18.75" customHeight="1">
      <c r="A1003" s="1110"/>
      <c r="B1003" s="1115" t="s">
        <v>6030</v>
      </c>
      <c r="C1003" s="1108" t="s">
        <v>5753</v>
      </c>
      <c r="D1003" s="1108" t="s">
        <v>6151</v>
      </c>
      <c r="E1003" s="1116" t="s">
        <v>6152</v>
      </c>
      <c r="F1003" s="1117">
        <v>0.1</v>
      </c>
      <c r="G1003" s="1109">
        <v>0.0</v>
      </c>
      <c r="H1003" s="1116"/>
      <c r="I1003" s="1118" t="str">
        <f t="shared" si="1"/>
        <v/>
      </c>
      <c r="J1003" s="1110"/>
    </row>
    <row r="1004" ht="18.75" customHeight="1">
      <c r="A1004" s="1110"/>
      <c r="B1004" s="1115" t="s">
        <v>6030</v>
      </c>
      <c r="C1004" s="1108" t="s">
        <v>5753</v>
      </c>
      <c r="D1004" s="1108" t="s">
        <v>6153</v>
      </c>
      <c r="E1004" s="1116" t="s">
        <v>6154</v>
      </c>
      <c r="F1004" s="1117">
        <v>0.1</v>
      </c>
      <c r="G1004" s="1109">
        <v>0.0</v>
      </c>
      <c r="H1004" s="1118">
        <v>105800.0</v>
      </c>
      <c r="I1004" s="1118">
        <f t="shared" si="1"/>
        <v>96180</v>
      </c>
      <c r="J1004" s="1110"/>
    </row>
    <row r="1005" ht="18.75" customHeight="1">
      <c r="A1005" s="1110"/>
      <c r="B1005" s="1115" t="s">
        <v>6030</v>
      </c>
      <c r="C1005" s="1108" t="s">
        <v>5753</v>
      </c>
      <c r="D1005" s="1108" t="s">
        <v>6155</v>
      </c>
      <c r="E1005" s="1116" t="s">
        <v>6156</v>
      </c>
      <c r="F1005" s="1117">
        <v>0.1</v>
      </c>
      <c r="G1005" s="1109">
        <v>0.0</v>
      </c>
      <c r="H1005" s="1118">
        <v>129800.0</v>
      </c>
      <c r="I1005" s="1118">
        <f t="shared" si="1"/>
        <v>118000</v>
      </c>
      <c r="J1005" s="1110"/>
    </row>
    <row r="1006" ht="18.75" customHeight="1">
      <c r="A1006" s="1110"/>
      <c r="B1006" s="1115" t="s">
        <v>6030</v>
      </c>
      <c r="C1006" s="1108" t="s">
        <v>5753</v>
      </c>
      <c r="D1006" s="1108" t="s">
        <v>6157</v>
      </c>
      <c r="E1006" s="1116" t="s">
        <v>6158</v>
      </c>
      <c r="F1006" s="1117">
        <v>0.1</v>
      </c>
      <c r="G1006" s="1109">
        <v>0.0</v>
      </c>
      <c r="H1006" s="1116"/>
      <c r="I1006" s="1118" t="str">
        <f t="shared" si="1"/>
        <v/>
      </c>
      <c r="J1006" s="1110"/>
    </row>
    <row r="1007" ht="18.75" customHeight="1">
      <c r="A1007" s="1110"/>
      <c r="B1007" s="1115" t="s">
        <v>6030</v>
      </c>
      <c r="C1007" s="1108" t="s">
        <v>5753</v>
      </c>
      <c r="D1007" s="1108" t="s">
        <v>6159</v>
      </c>
      <c r="E1007" s="1116" t="s">
        <v>6160</v>
      </c>
      <c r="F1007" s="1117">
        <v>0.1</v>
      </c>
      <c r="G1007" s="1109">
        <v>0.0</v>
      </c>
      <c r="H1007" s="1116"/>
      <c r="I1007" s="1118" t="str">
        <f t="shared" si="1"/>
        <v/>
      </c>
      <c r="J1007" s="1110"/>
    </row>
    <row r="1008" ht="18.75" customHeight="1">
      <c r="A1008" s="1110"/>
      <c r="B1008" s="1115" t="s">
        <v>6030</v>
      </c>
      <c r="C1008" s="1108" t="s">
        <v>5753</v>
      </c>
      <c r="D1008" s="1108" t="s">
        <v>6161</v>
      </c>
      <c r="E1008" s="1116" t="s">
        <v>6162</v>
      </c>
      <c r="F1008" s="1117">
        <v>0.1</v>
      </c>
      <c r="G1008" s="1109">
        <v>0.0</v>
      </c>
      <c r="H1008" s="1116"/>
      <c r="I1008" s="1118" t="str">
        <f t="shared" si="1"/>
        <v/>
      </c>
      <c r="J1008" s="1110"/>
    </row>
    <row r="1009" ht="18.75" customHeight="1">
      <c r="A1009" s="1110"/>
      <c r="B1009" s="1115" t="s">
        <v>6030</v>
      </c>
      <c r="C1009" s="1108" t="s">
        <v>5753</v>
      </c>
      <c r="D1009" s="1108" t="s">
        <v>6163</v>
      </c>
      <c r="E1009" s="1116" t="s">
        <v>6164</v>
      </c>
      <c r="F1009" s="1117">
        <v>0.1</v>
      </c>
      <c r="G1009" s="1109">
        <v>0.0</v>
      </c>
      <c r="H1009" s="1116"/>
      <c r="I1009" s="1118" t="str">
        <f t="shared" si="1"/>
        <v/>
      </c>
      <c r="J1009" s="1110"/>
    </row>
    <row r="1010" ht="18.75" customHeight="1">
      <c r="A1010" s="1110"/>
      <c r="B1010" s="1115" t="s">
        <v>6030</v>
      </c>
      <c r="C1010" s="1108" t="s">
        <v>5753</v>
      </c>
      <c r="D1010" s="1108" t="s">
        <v>6165</v>
      </c>
      <c r="E1010" s="1116" t="s">
        <v>6166</v>
      </c>
      <c r="F1010" s="1117">
        <v>0.1</v>
      </c>
      <c r="G1010" s="1109">
        <v>0.0</v>
      </c>
      <c r="H1010" s="1116"/>
      <c r="I1010" s="1118" t="str">
        <f t="shared" si="1"/>
        <v/>
      </c>
      <c r="J1010" s="1110"/>
    </row>
    <row r="1011" ht="18.75" customHeight="1">
      <c r="A1011" s="1110"/>
      <c r="B1011" s="1115" t="s">
        <v>6030</v>
      </c>
      <c r="C1011" s="1108" t="s">
        <v>5753</v>
      </c>
      <c r="D1011" s="1108" t="s">
        <v>6167</v>
      </c>
      <c r="E1011" s="1116" t="s">
        <v>6168</v>
      </c>
      <c r="F1011" s="1117">
        <v>0.1</v>
      </c>
      <c r="G1011" s="1109">
        <v>0.0</v>
      </c>
      <c r="H1011" s="1116"/>
      <c r="I1011" s="1118" t="str">
        <f t="shared" si="1"/>
        <v/>
      </c>
      <c r="J1011" s="1110"/>
    </row>
    <row r="1012" ht="18.75" customHeight="1">
      <c r="A1012" s="1110"/>
      <c r="B1012" s="1115" t="s">
        <v>6030</v>
      </c>
      <c r="C1012" s="1108" t="s">
        <v>5753</v>
      </c>
      <c r="D1012" s="1108" t="s">
        <v>6169</v>
      </c>
      <c r="E1012" s="1116" t="s">
        <v>6170</v>
      </c>
      <c r="F1012" s="1117">
        <v>0.1</v>
      </c>
      <c r="G1012" s="1109">
        <v>0.0</v>
      </c>
      <c r="H1012" s="1118">
        <v>36500.0</v>
      </c>
      <c r="I1012" s="1118">
        <f t="shared" si="1"/>
        <v>33180</v>
      </c>
      <c r="J1012" s="1110"/>
    </row>
    <row r="1013" ht="18.75" customHeight="1">
      <c r="A1013" s="1110"/>
      <c r="B1013" s="1115" t="s">
        <v>6030</v>
      </c>
      <c r="C1013" s="1108" t="s">
        <v>5753</v>
      </c>
      <c r="D1013" s="1108" t="s">
        <v>6171</v>
      </c>
      <c r="E1013" s="1116" t="s">
        <v>6172</v>
      </c>
      <c r="F1013" s="1117">
        <v>0.1</v>
      </c>
      <c r="G1013" s="1109">
        <v>0.0</v>
      </c>
      <c r="H1013" s="1116"/>
      <c r="I1013" s="1118" t="str">
        <f t="shared" si="1"/>
        <v/>
      </c>
      <c r="J1013" s="1110"/>
    </row>
    <row r="1014" ht="18.75" customHeight="1">
      <c r="A1014" s="1110"/>
      <c r="B1014" s="1115" t="s">
        <v>6030</v>
      </c>
      <c r="C1014" s="1108" t="s">
        <v>5753</v>
      </c>
      <c r="D1014" s="1108" t="s">
        <v>6173</v>
      </c>
      <c r="E1014" s="1116" t="s">
        <v>6174</v>
      </c>
      <c r="F1014" s="1117">
        <v>0.1</v>
      </c>
      <c r="G1014" s="1109">
        <v>0.0</v>
      </c>
      <c r="H1014" s="1118">
        <v>48100.0</v>
      </c>
      <c r="I1014" s="1118">
        <f t="shared" si="1"/>
        <v>43730</v>
      </c>
      <c r="J1014" s="1110"/>
    </row>
    <row r="1015" ht="18.75" customHeight="1">
      <c r="A1015" s="1110"/>
      <c r="B1015" s="1115" t="s">
        <v>6030</v>
      </c>
      <c r="C1015" s="1108" t="s">
        <v>5753</v>
      </c>
      <c r="D1015" s="1108" t="s">
        <v>6175</v>
      </c>
      <c r="E1015" s="1116" t="s">
        <v>6176</v>
      </c>
      <c r="F1015" s="1117">
        <v>0.1</v>
      </c>
      <c r="G1015" s="1109">
        <v>0.0</v>
      </c>
      <c r="H1015" s="1116"/>
      <c r="I1015" s="1118" t="str">
        <f t="shared" si="1"/>
        <v/>
      </c>
      <c r="J1015" s="1110"/>
    </row>
    <row r="1016" ht="18.75" customHeight="1">
      <c r="A1016" s="1110"/>
      <c r="B1016" s="1115" t="s">
        <v>6030</v>
      </c>
      <c r="C1016" s="1108" t="s">
        <v>5753</v>
      </c>
      <c r="D1016" s="1108" t="s">
        <v>6177</v>
      </c>
      <c r="E1016" s="1116" t="s">
        <v>6178</v>
      </c>
      <c r="F1016" s="1117">
        <v>0.1</v>
      </c>
      <c r="G1016" s="1109">
        <v>0.0</v>
      </c>
      <c r="H1016" s="1116"/>
      <c r="I1016" s="1118" t="str">
        <f t="shared" si="1"/>
        <v/>
      </c>
      <c r="J1016" s="1110"/>
    </row>
    <row r="1017" ht="18.75" customHeight="1">
      <c r="A1017" s="1110"/>
      <c r="B1017" s="1115" t="s">
        <v>6030</v>
      </c>
      <c r="C1017" s="1108" t="s">
        <v>5753</v>
      </c>
      <c r="D1017" s="1108" t="s">
        <v>1183</v>
      </c>
      <c r="E1017" s="1116" t="s">
        <v>6179</v>
      </c>
      <c r="F1017" s="1117">
        <v>0.1</v>
      </c>
      <c r="G1017" s="1109">
        <v>0.0</v>
      </c>
      <c r="H1017" s="1118">
        <v>61200.0</v>
      </c>
      <c r="I1017" s="1118">
        <f t="shared" si="1"/>
        <v>55640</v>
      </c>
      <c r="J1017" s="1110"/>
    </row>
    <row r="1018" ht="18.75" customHeight="1">
      <c r="A1018" s="1110"/>
      <c r="B1018" s="1115" t="s">
        <v>6030</v>
      </c>
      <c r="C1018" s="1108" t="s">
        <v>5753</v>
      </c>
      <c r="D1018" s="1108" t="s">
        <v>6180</v>
      </c>
      <c r="E1018" s="1116" t="s">
        <v>6181</v>
      </c>
      <c r="F1018" s="1117">
        <v>0.1</v>
      </c>
      <c r="G1018" s="1109">
        <v>0.0</v>
      </c>
      <c r="H1018" s="1116"/>
      <c r="I1018" s="1118" t="str">
        <f t="shared" si="1"/>
        <v/>
      </c>
      <c r="J1018" s="1110"/>
    </row>
    <row r="1019" ht="18.75" customHeight="1">
      <c r="A1019" s="1110"/>
      <c r="B1019" s="1115" t="s">
        <v>6030</v>
      </c>
      <c r="C1019" s="1108" t="s">
        <v>5753</v>
      </c>
      <c r="D1019" s="1108" t="s">
        <v>1202</v>
      </c>
      <c r="E1019" s="1116" t="s">
        <v>6182</v>
      </c>
      <c r="F1019" s="1117">
        <v>0.1</v>
      </c>
      <c r="G1019" s="1109">
        <v>0.0</v>
      </c>
      <c r="H1019" s="1118">
        <v>72300.0</v>
      </c>
      <c r="I1019" s="1118">
        <f t="shared" si="1"/>
        <v>65730</v>
      </c>
      <c r="J1019" s="1110"/>
    </row>
    <row r="1020" ht="18.75" customHeight="1">
      <c r="A1020" s="1110"/>
      <c r="B1020" s="1115" t="s">
        <v>6030</v>
      </c>
      <c r="C1020" s="1108" t="s">
        <v>5753</v>
      </c>
      <c r="D1020" s="1108" t="s">
        <v>6183</v>
      </c>
      <c r="E1020" s="1116" t="s">
        <v>6184</v>
      </c>
      <c r="F1020" s="1117">
        <v>0.1</v>
      </c>
      <c r="G1020" s="1109">
        <v>0.0</v>
      </c>
      <c r="H1020" s="1116"/>
      <c r="I1020" s="1118" t="str">
        <f t="shared" si="1"/>
        <v/>
      </c>
      <c r="J1020" s="1110"/>
    </row>
    <row r="1021" ht="18.75" customHeight="1">
      <c r="A1021" s="1110"/>
      <c r="B1021" s="1115" t="s">
        <v>6030</v>
      </c>
      <c r="C1021" s="1108" t="s">
        <v>5753</v>
      </c>
      <c r="D1021" s="1108" t="s">
        <v>6185</v>
      </c>
      <c r="E1021" s="1116" t="s">
        <v>6186</v>
      </c>
      <c r="F1021" s="1117">
        <v>0.1</v>
      </c>
      <c r="G1021" s="1109">
        <v>0.0</v>
      </c>
      <c r="H1021" s="1116"/>
      <c r="I1021" s="1118" t="str">
        <f t="shared" si="1"/>
        <v/>
      </c>
      <c r="J1021" s="1110"/>
    </row>
    <row r="1022" ht="18.75" customHeight="1">
      <c r="A1022" s="1110"/>
      <c r="B1022" s="1115" t="s">
        <v>6030</v>
      </c>
      <c r="C1022" s="1108" t="s">
        <v>5753</v>
      </c>
      <c r="D1022" s="1108" t="s">
        <v>6187</v>
      </c>
      <c r="E1022" s="1116" t="s">
        <v>6188</v>
      </c>
      <c r="F1022" s="1117">
        <v>0.1</v>
      </c>
      <c r="G1022" s="1109">
        <v>0.0</v>
      </c>
      <c r="H1022" s="1116"/>
      <c r="I1022" s="1118" t="str">
        <f t="shared" si="1"/>
        <v/>
      </c>
      <c r="J1022" s="1110"/>
    </row>
    <row r="1023" ht="18.75" customHeight="1">
      <c r="A1023" s="1110"/>
      <c r="B1023" s="1115" t="s">
        <v>6030</v>
      </c>
      <c r="C1023" s="1108" t="s">
        <v>5753</v>
      </c>
      <c r="D1023" s="1108" t="s">
        <v>6189</v>
      </c>
      <c r="E1023" s="1116" t="s">
        <v>6190</v>
      </c>
      <c r="F1023" s="1117">
        <v>0.1</v>
      </c>
      <c r="G1023" s="1109">
        <v>0.0</v>
      </c>
      <c r="H1023" s="1118">
        <v>86600.0</v>
      </c>
      <c r="I1023" s="1118">
        <f t="shared" si="1"/>
        <v>78730</v>
      </c>
      <c r="J1023" s="1110"/>
    </row>
    <row r="1024" ht="18.75" customHeight="1">
      <c r="A1024" s="1110"/>
      <c r="B1024" s="1115" t="s">
        <v>6030</v>
      </c>
      <c r="C1024" s="1108" t="s">
        <v>5753</v>
      </c>
      <c r="D1024" s="1108" t="s">
        <v>6191</v>
      </c>
      <c r="E1024" s="1116" t="s">
        <v>6192</v>
      </c>
      <c r="F1024" s="1117">
        <v>0.1</v>
      </c>
      <c r="G1024" s="1109">
        <v>0.0</v>
      </c>
      <c r="H1024" s="1116"/>
      <c r="I1024" s="1118" t="str">
        <f t="shared" si="1"/>
        <v/>
      </c>
      <c r="J1024" s="1110"/>
    </row>
    <row r="1025" ht="18.75" customHeight="1">
      <c r="A1025" s="1110"/>
      <c r="B1025" s="1115" t="s">
        <v>6030</v>
      </c>
      <c r="C1025" s="1108" t="s">
        <v>5753</v>
      </c>
      <c r="D1025" s="1108" t="s">
        <v>6193</v>
      </c>
      <c r="E1025" s="1116" t="s">
        <v>6194</v>
      </c>
      <c r="F1025" s="1117">
        <v>0.1</v>
      </c>
      <c r="G1025" s="1109">
        <v>0.0</v>
      </c>
      <c r="H1025" s="1116"/>
      <c r="I1025" s="1118" t="str">
        <f t="shared" si="1"/>
        <v/>
      </c>
      <c r="J1025" s="1110"/>
    </row>
    <row r="1026" ht="18.75" customHeight="1">
      <c r="A1026" s="1110"/>
      <c r="B1026" s="1115" t="s">
        <v>6030</v>
      </c>
      <c r="C1026" s="1108" t="s">
        <v>5753</v>
      </c>
      <c r="D1026" s="1108" t="s">
        <v>6195</v>
      </c>
      <c r="E1026" s="1116" t="s">
        <v>6196</v>
      </c>
      <c r="F1026" s="1117">
        <v>0.1</v>
      </c>
      <c r="G1026" s="1109">
        <v>0.0</v>
      </c>
      <c r="H1026" s="1118">
        <v>105800.0</v>
      </c>
      <c r="I1026" s="1118">
        <f t="shared" si="1"/>
        <v>96180</v>
      </c>
      <c r="J1026" s="1110"/>
    </row>
    <row r="1027" ht="18.75" customHeight="1">
      <c r="A1027" s="1110"/>
      <c r="B1027" s="1115" t="s">
        <v>6030</v>
      </c>
      <c r="C1027" s="1108" t="s">
        <v>5753</v>
      </c>
      <c r="D1027" s="1108" t="s">
        <v>6197</v>
      </c>
      <c r="E1027" s="1116" t="s">
        <v>6198</v>
      </c>
      <c r="F1027" s="1117">
        <v>0.1</v>
      </c>
      <c r="G1027" s="1109">
        <v>0.0</v>
      </c>
      <c r="H1027" s="1116"/>
      <c r="I1027" s="1118" t="str">
        <f t="shared" si="1"/>
        <v/>
      </c>
      <c r="J1027" s="1110"/>
    </row>
    <row r="1028" ht="18.75" customHeight="1">
      <c r="A1028" s="1110"/>
      <c r="B1028" s="1115" t="s">
        <v>6030</v>
      </c>
      <c r="C1028" s="1108" t="s">
        <v>5753</v>
      </c>
      <c r="D1028" s="1108" t="s">
        <v>6199</v>
      </c>
      <c r="E1028" s="1116" t="s">
        <v>6200</v>
      </c>
      <c r="F1028" s="1117">
        <v>0.1</v>
      </c>
      <c r="G1028" s="1109">
        <v>0.0</v>
      </c>
      <c r="H1028" s="1118">
        <v>128900.0</v>
      </c>
      <c r="I1028" s="1118">
        <f t="shared" si="1"/>
        <v>117180</v>
      </c>
      <c r="J1028" s="1110"/>
    </row>
    <row r="1029" ht="18.75" customHeight="1">
      <c r="A1029" s="1110"/>
      <c r="B1029" s="1115" t="s">
        <v>6030</v>
      </c>
      <c r="C1029" s="1108" t="s">
        <v>5753</v>
      </c>
      <c r="D1029" s="1108" t="s">
        <v>6201</v>
      </c>
      <c r="E1029" s="1116" t="s">
        <v>6202</v>
      </c>
      <c r="F1029" s="1117">
        <v>0.1</v>
      </c>
      <c r="G1029" s="1109">
        <v>0.0</v>
      </c>
      <c r="H1029" s="1118">
        <v>153900.0</v>
      </c>
      <c r="I1029" s="1118">
        <f t="shared" si="1"/>
        <v>139910</v>
      </c>
      <c r="J1029" s="1110"/>
    </row>
    <row r="1030" ht="18.75" customHeight="1">
      <c r="A1030" s="1110"/>
      <c r="B1030" s="1115" t="s">
        <v>6030</v>
      </c>
      <c r="C1030" s="1108" t="s">
        <v>5753</v>
      </c>
      <c r="D1030" s="1108" t="s">
        <v>6203</v>
      </c>
      <c r="E1030" s="1116" t="s">
        <v>6204</v>
      </c>
      <c r="F1030" s="1117">
        <v>0.1</v>
      </c>
      <c r="G1030" s="1109">
        <v>0.0</v>
      </c>
      <c r="H1030" s="1116"/>
      <c r="I1030" s="1118" t="str">
        <f t="shared" si="1"/>
        <v/>
      </c>
      <c r="J1030" s="1110"/>
    </row>
    <row r="1031" ht="18.75" customHeight="1">
      <c r="A1031" s="1110"/>
      <c r="B1031" s="1115" t="s">
        <v>6030</v>
      </c>
      <c r="C1031" s="1108" t="s">
        <v>5753</v>
      </c>
      <c r="D1031" s="1108" t="s">
        <v>6205</v>
      </c>
      <c r="E1031" s="1116" t="s">
        <v>6206</v>
      </c>
      <c r="F1031" s="1117">
        <v>0.1</v>
      </c>
      <c r="G1031" s="1109">
        <v>0.0</v>
      </c>
      <c r="H1031" s="1116"/>
      <c r="I1031" s="1118" t="str">
        <f t="shared" si="1"/>
        <v/>
      </c>
      <c r="J1031" s="1110"/>
    </row>
    <row r="1032" ht="18.75" customHeight="1">
      <c r="A1032" s="1110"/>
      <c r="B1032" s="1115" t="s">
        <v>6030</v>
      </c>
      <c r="C1032" s="1108" t="s">
        <v>5753</v>
      </c>
      <c r="D1032" s="1108" t="s">
        <v>6207</v>
      </c>
      <c r="E1032" s="1116" t="s">
        <v>6208</v>
      </c>
      <c r="F1032" s="1117">
        <v>0.1</v>
      </c>
      <c r="G1032" s="1109">
        <v>0.0</v>
      </c>
      <c r="H1032" s="1116"/>
      <c r="I1032" s="1118" t="str">
        <f t="shared" si="1"/>
        <v/>
      </c>
      <c r="J1032" s="1110"/>
    </row>
    <row r="1033" ht="18.75" customHeight="1">
      <c r="A1033" s="1110"/>
      <c r="B1033" s="1115" t="s">
        <v>6030</v>
      </c>
      <c r="C1033" s="1108" t="s">
        <v>5753</v>
      </c>
      <c r="D1033" s="1108" t="s">
        <v>6209</v>
      </c>
      <c r="E1033" s="1116" t="s">
        <v>6210</v>
      </c>
      <c r="F1033" s="1117">
        <v>0.1</v>
      </c>
      <c r="G1033" s="1109">
        <v>0.0</v>
      </c>
      <c r="H1033" s="1116"/>
      <c r="I1033" s="1118" t="str">
        <f t="shared" si="1"/>
        <v/>
      </c>
      <c r="J1033" s="1110"/>
    </row>
    <row r="1034" ht="18.75" customHeight="1">
      <c r="A1034" s="1110"/>
      <c r="B1034" s="1115" t="s">
        <v>6030</v>
      </c>
      <c r="C1034" s="1108" t="s">
        <v>5753</v>
      </c>
      <c r="D1034" s="1108" t="s">
        <v>6211</v>
      </c>
      <c r="E1034" s="1116" t="s">
        <v>6212</v>
      </c>
      <c r="F1034" s="1117">
        <v>0.1</v>
      </c>
      <c r="G1034" s="1109">
        <v>0.0</v>
      </c>
      <c r="H1034" s="1116"/>
      <c r="I1034" s="1118" t="str">
        <f t="shared" si="1"/>
        <v/>
      </c>
      <c r="J1034" s="1110"/>
    </row>
    <row r="1035" ht="18.75" customHeight="1">
      <c r="A1035" s="1110"/>
      <c r="B1035" s="1115" t="s">
        <v>6030</v>
      </c>
      <c r="C1035" s="1108" t="s">
        <v>5753</v>
      </c>
      <c r="D1035" s="1108" t="s">
        <v>6213</v>
      </c>
      <c r="E1035" s="1116" t="s">
        <v>6214</v>
      </c>
      <c r="F1035" s="1117">
        <v>0.1</v>
      </c>
      <c r="G1035" s="1109">
        <v>0.0</v>
      </c>
      <c r="H1035" s="1116"/>
      <c r="I1035" s="1118" t="str">
        <f t="shared" si="1"/>
        <v/>
      </c>
      <c r="J1035" s="1110"/>
    </row>
    <row r="1036" ht="18.75" customHeight="1">
      <c r="A1036" s="1110"/>
      <c r="B1036" s="1115" t="s">
        <v>6030</v>
      </c>
      <c r="C1036" s="1108" t="s">
        <v>5753</v>
      </c>
      <c r="D1036" s="1108" t="s">
        <v>6215</v>
      </c>
      <c r="E1036" s="1116" t="s">
        <v>6216</v>
      </c>
      <c r="F1036" s="1117">
        <v>0.1</v>
      </c>
      <c r="G1036" s="1109">
        <v>0.0</v>
      </c>
      <c r="H1036" s="1116"/>
      <c r="I1036" s="1118" t="str">
        <f t="shared" si="1"/>
        <v/>
      </c>
      <c r="J1036" s="1110"/>
    </row>
    <row r="1037" ht="18.75" customHeight="1">
      <c r="A1037" s="1110"/>
      <c r="B1037" s="1115" t="s">
        <v>6030</v>
      </c>
      <c r="C1037" s="1108" t="s">
        <v>5753</v>
      </c>
      <c r="D1037" s="1108" t="s">
        <v>6217</v>
      </c>
      <c r="E1037" s="1116" t="s">
        <v>6218</v>
      </c>
      <c r="F1037" s="1117">
        <v>0.1</v>
      </c>
      <c r="G1037" s="1109">
        <v>0.0</v>
      </c>
      <c r="H1037" s="1116"/>
      <c r="I1037" s="1118" t="str">
        <f t="shared" si="1"/>
        <v/>
      </c>
      <c r="J1037" s="1110"/>
    </row>
    <row r="1038" ht="18.75" customHeight="1">
      <c r="A1038" s="1110"/>
      <c r="B1038" s="1115" t="s">
        <v>6030</v>
      </c>
      <c r="C1038" s="1108" t="s">
        <v>5753</v>
      </c>
      <c r="D1038" s="1108" t="s">
        <v>6219</v>
      </c>
      <c r="E1038" s="1116" t="s">
        <v>6220</v>
      </c>
      <c r="F1038" s="1117">
        <v>0.1</v>
      </c>
      <c r="G1038" s="1109">
        <v>0.0</v>
      </c>
      <c r="H1038" s="1116"/>
      <c r="I1038" s="1118" t="str">
        <f t="shared" si="1"/>
        <v/>
      </c>
      <c r="J1038" s="1110"/>
    </row>
    <row r="1039" ht="18.75" customHeight="1">
      <c r="A1039" s="1110"/>
      <c r="B1039" s="1115" t="s">
        <v>6030</v>
      </c>
      <c r="C1039" s="1108" t="s">
        <v>5753</v>
      </c>
      <c r="D1039" s="1108" t="s">
        <v>6221</v>
      </c>
      <c r="E1039" s="1116" t="s">
        <v>6222</v>
      </c>
      <c r="F1039" s="1117">
        <v>0.1</v>
      </c>
      <c r="G1039" s="1109">
        <v>0.0</v>
      </c>
      <c r="H1039" s="1116"/>
      <c r="I1039" s="1118" t="str">
        <f t="shared" si="1"/>
        <v/>
      </c>
      <c r="J1039" s="1110"/>
    </row>
    <row r="1040" ht="18.75" customHeight="1">
      <c r="A1040" s="1110"/>
      <c r="B1040" s="1115" t="s">
        <v>6030</v>
      </c>
      <c r="C1040" s="1108" t="s">
        <v>5753</v>
      </c>
      <c r="D1040" s="1108" t="s">
        <v>6223</v>
      </c>
      <c r="E1040" s="1116" t="s">
        <v>6224</v>
      </c>
      <c r="F1040" s="1117">
        <v>0.1</v>
      </c>
      <c r="G1040" s="1109">
        <v>0.0</v>
      </c>
      <c r="H1040" s="1116"/>
      <c r="I1040" s="1118" t="str">
        <f t="shared" si="1"/>
        <v/>
      </c>
      <c r="J1040" s="1110"/>
    </row>
    <row r="1041" ht="18.75" customHeight="1">
      <c r="A1041" s="1110"/>
      <c r="B1041" s="1115" t="s">
        <v>6030</v>
      </c>
      <c r="C1041" s="1108" t="s">
        <v>5753</v>
      </c>
      <c r="D1041" s="1108" t="s">
        <v>6225</v>
      </c>
      <c r="E1041" s="1116" t="s">
        <v>6226</v>
      </c>
      <c r="F1041" s="1117">
        <v>0.1</v>
      </c>
      <c r="G1041" s="1109">
        <v>0.0</v>
      </c>
      <c r="H1041" s="1116"/>
      <c r="I1041" s="1118" t="str">
        <f t="shared" si="1"/>
        <v/>
      </c>
      <c r="J1041" s="1110"/>
    </row>
    <row r="1042" ht="18.75" customHeight="1">
      <c r="A1042" s="1110"/>
      <c r="B1042" s="1115" t="s">
        <v>6030</v>
      </c>
      <c r="C1042" s="1108" t="s">
        <v>5753</v>
      </c>
      <c r="D1042" s="1108" t="s">
        <v>6227</v>
      </c>
      <c r="E1042" s="1116" t="s">
        <v>6228</v>
      </c>
      <c r="F1042" s="1117">
        <v>0.1</v>
      </c>
      <c r="G1042" s="1109">
        <v>0.0</v>
      </c>
      <c r="H1042" s="1116"/>
      <c r="I1042" s="1118" t="str">
        <f t="shared" si="1"/>
        <v/>
      </c>
      <c r="J1042" s="1110"/>
    </row>
    <row r="1043" ht="18.75" customHeight="1">
      <c r="A1043" s="1110"/>
      <c r="B1043" s="1115" t="s">
        <v>6030</v>
      </c>
      <c r="C1043" s="1108" t="s">
        <v>5753</v>
      </c>
      <c r="D1043" s="1108" t="s">
        <v>6229</v>
      </c>
      <c r="E1043" s="1116" t="s">
        <v>6230</v>
      </c>
      <c r="F1043" s="1117">
        <v>0.1</v>
      </c>
      <c r="G1043" s="1109">
        <v>0.0</v>
      </c>
      <c r="H1043" s="1116"/>
      <c r="I1043" s="1118" t="str">
        <f t="shared" si="1"/>
        <v/>
      </c>
      <c r="J1043" s="1110"/>
    </row>
    <row r="1044" ht="18.75" customHeight="1">
      <c r="A1044" s="1110"/>
      <c r="B1044" s="1115" t="s">
        <v>6030</v>
      </c>
      <c r="C1044" s="1108" t="s">
        <v>5753</v>
      </c>
      <c r="D1044" s="1108" t="s">
        <v>6231</v>
      </c>
      <c r="E1044" s="1116" t="s">
        <v>6232</v>
      </c>
      <c r="F1044" s="1117">
        <v>0.1</v>
      </c>
      <c r="G1044" s="1109">
        <v>0.0</v>
      </c>
      <c r="H1044" s="1116"/>
      <c r="I1044" s="1118" t="str">
        <f t="shared" si="1"/>
        <v/>
      </c>
      <c r="J1044" s="1110"/>
    </row>
    <row r="1045" ht="18.75" customHeight="1">
      <c r="A1045" s="1110"/>
      <c r="B1045" s="1115" t="s">
        <v>6030</v>
      </c>
      <c r="C1045" s="1108" t="s">
        <v>5753</v>
      </c>
      <c r="D1045" s="1108" t="s">
        <v>6233</v>
      </c>
      <c r="E1045" s="1116" t="s">
        <v>6234</v>
      </c>
      <c r="F1045" s="1117">
        <v>0.1</v>
      </c>
      <c r="G1045" s="1109">
        <v>0.0</v>
      </c>
      <c r="H1045" s="1116"/>
      <c r="I1045" s="1118" t="str">
        <f t="shared" si="1"/>
        <v/>
      </c>
      <c r="J1045" s="1110"/>
    </row>
    <row r="1046" ht="18.75" customHeight="1">
      <c r="A1046" s="1110"/>
      <c r="B1046" s="1115" t="s">
        <v>6030</v>
      </c>
      <c r="C1046" s="1108" t="s">
        <v>5753</v>
      </c>
      <c r="D1046" s="1108" t="s">
        <v>6235</v>
      </c>
      <c r="E1046" s="1116" t="s">
        <v>6236</v>
      </c>
      <c r="F1046" s="1117">
        <v>0.1</v>
      </c>
      <c r="G1046" s="1109">
        <v>0.0</v>
      </c>
      <c r="H1046" s="1116"/>
      <c r="I1046" s="1118" t="str">
        <f t="shared" si="1"/>
        <v/>
      </c>
      <c r="J1046" s="1110"/>
    </row>
    <row r="1047" ht="18.75" customHeight="1">
      <c r="A1047" s="1110"/>
      <c r="B1047" s="1115" t="s">
        <v>6030</v>
      </c>
      <c r="C1047" s="1108" t="s">
        <v>5753</v>
      </c>
      <c r="D1047" s="1108" t="s">
        <v>6237</v>
      </c>
      <c r="E1047" s="1116" t="s">
        <v>6238</v>
      </c>
      <c r="F1047" s="1117">
        <v>0.1</v>
      </c>
      <c r="G1047" s="1109">
        <v>0.0</v>
      </c>
      <c r="H1047" s="1116"/>
      <c r="I1047" s="1118" t="str">
        <f t="shared" si="1"/>
        <v/>
      </c>
      <c r="J1047" s="1110"/>
    </row>
    <row r="1048" ht="18.75" customHeight="1">
      <c r="A1048" s="1110"/>
      <c r="B1048" s="1115" t="s">
        <v>6030</v>
      </c>
      <c r="C1048" s="1108" t="s">
        <v>5753</v>
      </c>
      <c r="D1048" s="1108" t="s">
        <v>6239</v>
      </c>
      <c r="E1048" s="1116" t="s">
        <v>6240</v>
      </c>
      <c r="F1048" s="1117">
        <v>0.1</v>
      </c>
      <c r="G1048" s="1109">
        <v>0.0</v>
      </c>
      <c r="H1048" s="1116"/>
      <c r="I1048" s="1118" t="str">
        <f t="shared" si="1"/>
        <v/>
      </c>
      <c r="J1048" s="1110"/>
    </row>
    <row r="1049" ht="18.75" customHeight="1">
      <c r="A1049" s="1110"/>
      <c r="B1049" s="1115" t="s">
        <v>6030</v>
      </c>
      <c r="C1049" s="1108" t="s">
        <v>5753</v>
      </c>
      <c r="D1049" s="1108" t="s">
        <v>6241</v>
      </c>
      <c r="E1049" s="1116" t="s">
        <v>6242</v>
      </c>
      <c r="F1049" s="1117">
        <v>0.1</v>
      </c>
      <c r="G1049" s="1109">
        <v>0.0</v>
      </c>
      <c r="H1049" s="1116"/>
      <c r="I1049" s="1118" t="str">
        <f t="shared" si="1"/>
        <v/>
      </c>
      <c r="J1049" s="1110"/>
    </row>
    <row r="1050" ht="18.75" customHeight="1">
      <c r="A1050" s="1110"/>
      <c r="B1050" s="1115" t="s">
        <v>6030</v>
      </c>
      <c r="C1050" s="1108" t="s">
        <v>5753</v>
      </c>
      <c r="D1050" s="1108" t="s">
        <v>6243</v>
      </c>
      <c r="E1050" s="1116" t="s">
        <v>6244</v>
      </c>
      <c r="F1050" s="1117">
        <v>0.1</v>
      </c>
      <c r="G1050" s="1109">
        <v>0.0</v>
      </c>
      <c r="H1050" s="1116"/>
      <c r="I1050" s="1118" t="str">
        <f t="shared" si="1"/>
        <v/>
      </c>
      <c r="J1050" s="1110"/>
    </row>
    <row r="1051" ht="18.75" customHeight="1">
      <c r="A1051" s="1110"/>
      <c r="B1051" s="1115" t="s">
        <v>6030</v>
      </c>
      <c r="C1051" s="1108" t="s">
        <v>5753</v>
      </c>
      <c r="D1051" s="1108" t="s">
        <v>6245</v>
      </c>
      <c r="E1051" s="1116" t="s">
        <v>6246</v>
      </c>
      <c r="F1051" s="1117">
        <v>0.1</v>
      </c>
      <c r="G1051" s="1109">
        <v>0.0</v>
      </c>
      <c r="H1051" s="1116"/>
      <c r="I1051" s="1118" t="str">
        <f t="shared" si="1"/>
        <v/>
      </c>
      <c r="J1051" s="1110"/>
    </row>
    <row r="1052" ht="18.75" customHeight="1">
      <c r="A1052" s="1110"/>
      <c r="B1052" s="1115" t="s">
        <v>6030</v>
      </c>
      <c r="C1052" s="1108" t="s">
        <v>5753</v>
      </c>
      <c r="D1052" s="1108" t="s">
        <v>6247</v>
      </c>
      <c r="E1052" s="1116" t="s">
        <v>6248</v>
      </c>
      <c r="F1052" s="1117">
        <v>0.1</v>
      </c>
      <c r="G1052" s="1109">
        <v>0.0</v>
      </c>
      <c r="H1052" s="1116"/>
      <c r="I1052" s="1118" t="str">
        <f t="shared" si="1"/>
        <v/>
      </c>
      <c r="J1052" s="1110"/>
    </row>
    <row r="1053" ht="18.75" customHeight="1">
      <c r="A1053" s="1110"/>
      <c r="B1053" s="1115" t="s">
        <v>6030</v>
      </c>
      <c r="C1053" s="1108" t="s">
        <v>5753</v>
      </c>
      <c r="D1053" s="1108" t="s">
        <v>6249</v>
      </c>
      <c r="E1053" s="1116" t="s">
        <v>6250</v>
      </c>
      <c r="F1053" s="1117">
        <v>0.1</v>
      </c>
      <c r="G1053" s="1109">
        <v>0.0</v>
      </c>
      <c r="H1053" s="1116"/>
      <c r="I1053" s="1118" t="str">
        <f t="shared" si="1"/>
        <v/>
      </c>
      <c r="J1053" s="1110"/>
    </row>
    <row r="1054" ht="18.75" customHeight="1">
      <c r="A1054" s="1110"/>
      <c r="B1054" s="1115" t="s">
        <v>6030</v>
      </c>
      <c r="C1054" s="1108" t="s">
        <v>5753</v>
      </c>
      <c r="D1054" s="1108" t="s">
        <v>6251</v>
      </c>
      <c r="E1054" s="1116" t="s">
        <v>6252</v>
      </c>
      <c r="F1054" s="1117">
        <v>0.1</v>
      </c>
      <c r="G1054" s="1109">
        <v>0.0</v>
      </c>
      <c r="H1054" s="1118"/>
      <c r="I1054" s="1118" t="str">
        <f t="shared" si="1"/>
        <v/>
      </c>
      <c r="J1054" s="1110"/>
    </row>
    <row r="1055" ht="18.75" customHeight="1">
      <c r="A1055" s="1110"/>
      <c r="B1055" s="1115" t="s">
        <v>6030</v>
      </c>
      <c r="C1055" s="1108" t="s">
        <v>5753</v>
      </c>
      <c r="D1055" s="1108" t="s">
        <v>6253</v>
      </c>
      <c r="E1055" s="1116" t="s">
        <v>6254</v>
      </c>
      <c r="F1055" s="1117">
        <v>0.1</v>
      </c>
      <c r="G1055" s="1109">
        <v>0.0</v>
      </c>
      <c r="H1055" s="1116"/>
      <c r="I1055" s="1118" t="str">
        <f t="shared" si="1"/>
        <v/>
      </c>
      <c r="J1055" s="1110"/>
    </row>
    <row r="1056" ht="18.75" customHeight="1">
      <c r="A1056" s="1110"/>
      <c r="B1056" s="1115" t="s">
        <v>6030</v>
      </c>
      <c r="C1056" s="1108" t="s">
        <v>5753</v>
      </c>
      <c r="D1056" s="1108" t="s">
        <v>6255</v>
      </c>
      <c r="E1056" s="1116" t="s">
        <v>6256</v>
      </c>
      <c r="F1056" s="1117">
        <v>0.1</v>
      </c>
      <c r="G1056" s="1109">
        <v>0.0</v>
      </c>
      <c r="H1056" s="1116"/>
      <c r="I1056" s="1118" t="str">
        <f t="shared" si="1"/>
        <v/>
      </c>
      <c r="J1056" s="1110"/>
    </row>
    <row r="1057" ht="18.75" customHeight="1">
      <c r="A1057" s="1110"/>
      <c r="B1057" s="1115" t="s">
        <v>6030</v>
      </c>
      <c r="C1057" s="1108" t="s">
        <v>5753</v>
      </c>
      <c r="D1057" s="1108" t="s">
        <v>6257</v>
      </c>
      <c r="E1057" s="1116" t="s">
        <v>6258</v>
      </c>
      <c r="F1057" s="1117">
        <v>0.1</v>
      </c>
      <c r="G1057" s="1109">
        <v>0.0</v>
      </c>
      <c r="H1057" s="1116"/>
      <c r="I1057" s="1118" t="str">
        <f t="shared" si="1"/>
        <v/>
      </c>
      <c r="J1057" s="1110"/>
    </row>
    <row r="1058" ht="18.75" customHeight="1">
      <c r="A1058" s="1110"/>
      <c r="B1058" s="1115" t="s">
        <v>6030</v>
      </c>
      <c r="C1058" s="1108" t="s">
        <v>5753</v>
      </c>
      <c r="D1058" s="1108" t="s">
        <v>6259</v>
      </c>
      <c r="E1058" s="1116" t="s">
        <v>6260</v>
      </c>
      <c r="F1058" s="1117">
        <v>0.1</v>
      </c>
      <c r="G1058" s="1109">
        <v>0.0</v>
      </c>
      <c r="H1058" s="1116"/>
      <c r="I1058" s="1118" t="str">
        <f t="shared" si="1"/>
        <v/>
      </c>
      <c r="J1058" s="1110"/>
    </row>
    <row r="1059" ht="18.75" customHeight="1">
      <c r="A1059" s="1110"/>
      <c r="B1059" s="1115" t="s">
        <v>6030</v>
      </c>
      <c r="C1059" s="1108" t="s">
        <v>5753</v>
      </c>
      <c r="D1059" s="1108" t="s">
        <v>6261</v>
      </c>
      <c r="E1059" s="1116" t="s">
        <v>6262</v>
      </c>
      <c r="F1059" s="1117">
        <v>0.1</v>
      </c>
      <c r="G1059" s="1109">
        <v>0.0</v>
      </c>
      <c r="H1059" s="1116"/>
      <c r="I1059" s="1118" t="str">
        <f t="shared" si="1"/>
        <v/>
      </c>
      <c r="J1059" s="1110"/>
    </row>
    <row r="1060" ht="18.75" customHeight="1">
      <c r="A1060" s="1110"/>
      <c r="B1060" s="1115" t="s">
        <v>6030</v>
      </c>
      <c r="C1060" s="1108" t="s">
        <v>5753</v>
      </c>
      <c r="D1060" s="1108" t="s">
        <v>6263</v>
      </c>
      <c r="E1060" s="1116" t="s">
        <v>6264</v>
      </c>
      <c r="F1060" s="1117">
        <v>0.1</v>
      </c>
      <c r="G1060" s="1109">
        <v>0.0</v>
      </c>
      <c r="H1060" s="1116"/>
      <c r="I1060" s="1118" t="str">
        <f t="shared" si="1"/>
        <v/>
      </c>
      <c r="J1060" s="1110"/>
    </row>
    <row r="1061" ht="18.75" customHeight="1">
      <c r="A1061" s="1110"/>
      <c r="B1061" s="1115" t="s">
        <v>6030</v>
      </c>
      <c r="C1061" s="1108" t="s">
        <v>5753</v>
      </c>
      <c r="D1061" s="1108" t="s">
        <v>6265</v>
      </c>
      <c r="E1061" s="1116" t="s">
        <v>6266</v>
      </c>
      <c r="F1061" s="1117">
        <v>0.1</v>
      </c>
      <c r="G1061" s="1109">
        <v>0.0</v>
      </c>
      <c r="H1061" s="1116"/>
      <c r="I1061" s="1118" t="str">
        <f t="shared" si="1"/>
        <v/>
      </c>
      <c r="J1061" s="1110"/>
    </row>
    <row r="1062" ht="18.75" customHeight="1">
      <c r="A1062" s="1110"/>
      <c r="B1062" s="1115" t="s">
        <v>6030</v>
      </c>
      <c r="C1062" s="1108" t="s">
        <v>5753</v>
      </c>
      <c r="D1062" s="1108" t="s">
        <v>6267</v>
      </c>
      <c r="E1062" s="1116" t="s">
        <v>6268</v>
      </c>
      <c r="F1062" s="1117">
        <v>0.1</v>
      </c>
      <c r="G1062" s="1109">
        <v>0.0</v>
      </c>
      <c r="H1062" s="1116"/>
      <c r="I1062" s="1118" t="str">
        <f t="shared" si="1"/>
        <v/>
      </c>
      <c r="J1062" s="1110"/>
    </row>
    <row r="1063" ht="18.75" customHeight="1">
      <c r="A1063" s="1110"/>
      <c r="B1063" s="1115" t="s">
        <v>6030</v>
      </c>
      <c r="C1063" s="1108" t="s">
        <v>5753</v>
      </c>
      <c r="D1063" s="1108" t="s">
        <v>6269</v>
      </c>
      <c r="E1063" s="1116" t="s">
        <v>6270</v>
      </c>
      <c r="F1063" s="1117">
        <v>0.1</v>
      </c>
      <c r="G1063" s="1109">
        <v>0.0</v>
      </c>
      <c r="H1063" s="1116"/>
      <c r="I1063" s="1118" t="str">
        <f t="shared" si="1"/>
        <v/>
      </c>
      <c r="J1063" s="1110"/>
    </row>
    <row r="1064" ht="18.75" customHeight="1">
      <c r="A1064" s="1110"/>
      <c r="B1064" s="1115" t="s">
        <v>6030</v>
      </c>
      <c r="C1064" s="1108" t="s">
        <v>5753</v>
      </c>
      <c r="D1064" s="1108" t="s">
        <v>6271</v>
      </c>
      <c r="E1064" s="1116" t="s">
        <v>6272</v>
      </c>
      <c r="F1064" s="1117">
        <v>0.1</v>
      </c>
      <c r="G1064" s="1109">
        <v>0.0</v>
      </c>
      <c r="H1064" s="1116"/>
      <c r="I1064" s="1118" t="str">
        <f t="shared" si="1"/>
        <v/>
      </c>
      <c r="J1064" s="1110"/>
    </row>
    <row r="1065" ht="18.75" customHeight="1">
      <c r="A1065" s="1110"/>
      <c r="B1065" s="1115" t="s">
        <v>6030</v>
      </c>
      <c r="C1065" s="1108" t="s">
        <v>5753</v>
      </c>
      <c r="D1065" s="1108" t="s">
        <v>6273</v>
      </c>
      <c r="E1065" s="1116" t="s">
        <v>6274</v>
      </c>
      <c r="F1065" s="1117">
        <v>0.1</v>
      </c>
      <c r="G1065" s="1109">
        <v>0.0</v>
      </c>
      <c r="H1065" s="1116"/>
      <c r="I1065" s="1118" t="str">
        <f t="shared" si="1"/>
        <v/>
      </c>
      <c r="J1065" s="1110"/>
    </row>
    <row r="1066" ht="18.75" customHeight="1">
      <c r="A1066" s="1110"/>
      <c r="B1066" s="1115" t="s">
        <v>6030</v>
      </c>
      <c r="C1066" s="1108" t="s">
        <v>5753</v>
      </c>
      <c r="D1066" s="1108" t="s">
        <v>6275</v>
      </c>
      <c r="E1066" s="1116" t="s">
        <v>6276</v>
      </c>
      <c r="F1066" s="1117">
        <v>0.1</v>
      </c>
      <c r="G1066" s="1109">
        <v>0.0</v>
      </c>
      <c r="H1066" s="1116"/>
      <c r="I1066" s="1118" t="str">
        <f t="shared" si="1"/>
        <v/>
      </c>
      <c r="J1066" s="1110"/>
    </row>
    <row r="1067" ht="18.75" customHeight="1">
      <c r="A1067" s="1110"/>
      <c r="B1067" s="1115" t="s">
        <v>6030</v>
      </c>
      <c r="C1067" s="1108" t="s">
        <v>5753</v>
      </c>
      <c r="D1067" s="1108" t="s">
        <v>6277</v>
      </c>
      <c r="E1067" s="1116" t="s">
        <v>6278</v>
      </c>
      <c r="F1067" s="1117">
        <v>0.1</v>
      </c>
      <c r="G1067" s="1109">
        <v>0.0</v>
      </c>
      <c r="H1067" s="1116"/>
      <c r="I1067" s="1118" t="str">
        <f t="shared" si="1"/>
        <v/>
      </c>
      <c r="J1067" s="1110"/>
    </row>
    <row r="1068" ht="18.75" customHeight="1">
      <c r="A1068" s="1110"/>
      <c r="B1068" s="1115" t="s">
        <v>6030</v>
      </c>
      <c r="C1068" s="1108" t="s">
        <v>5753</v>
      </c>
      <c r="D1068" s="1108" t="s">
        <v>6279</v>
      </c>
      <c r="E1068" s="1116" t="s">
        <v>6280</v>
      </c>
      <c r="F1068" s="1117">
        <v>0.1</v>
      </c>
      <c r="G1068" s="1109">
        <v>0.0</v>
      </c>
      <c r="H1068" s="1116"/>
      <c r="I1068" s="1118" t="str">
        <f t="shared" si="1"/>
        <v/>
      </c>
      <c r="J1068" s="1110"/>
    </row>
    <row r="1069" ht="18.75" customHeight="1">
      <c r="A1069" s="1110"/>
      <c r="B1069" s="1115" t="s">
        <v>6030</v>
      </c>
      <c r="C1069" s="1108" t="s">
        <v>5753</v>
      </c>
      <c r="D1069" s="1108" t="s">
        <v>6281</v>
      </c>
      <c r="E1069" s="1116" t="s">
        <v>6282</v>
      </c>
      <c r="F1069" s="1117">
        <v>0.1</v>
      </c>
      <c r="G1069" s="1109">
        <v>0.0</v>
      </c>
      <c r="H1069" s="1116"/>
      <c r="I1069" s="1118" t="str">
        <f t="shared" si="1"/>
        <v/>
      </c>
      <c r="J1069" s="1110"/>
    </row>
    <row r="1070" ht="18.75" customHeight="1">
      <c r="A1070" s="1110"/>
      <c r="B1070" s="1115" t="s">
        <v>6030</v>
      </c>
      <c r="C1070" s="1108" t="s">
        <v>5753</v>
      </c>
      <c r="D1070" s="1108" t="s">
        <v>6283</v>
      </c>
      <c r="E1070" s="1116" t="s">
        <v>6284</v>
      </c>
      <c r="F1070" s="1117">
        <v>0.1</v>
      </c>
      <c r="G1070" s="1109">
        <v>0.0</v>
      </c>
      <c r="H1070" s="1116"/>
      <c r="I1070" s="1118" t="str">
        <f t="shared" si="1"/>
        <v/>
      </c>
      <c r="J1070" s="1110"/>
    </row>
    <row r="1071" ht="18.75" customHeight="1">
      <c r="A1071" s="1110"/>
      <c r="B1071" s="1115" t="s">
        <v>6030</v>
      </c>
      <c r="C1071" s="1108" t="s">
        <v>5753</v>
      </c>
      <c r="D1071" s="1108" t="s">
        <v>6285</v>
      </c>
      <c r="E1071" s="1116" t="s">
        <v>6286</v>
      </c>
      <c r="F1071" s="1117">
        <v>0.1</v>
      </c>
      <c r="G1071" s="1109">
        <v>0.0</v>
      </c>
      <c r="H1071" s="1116"/>
      <c r="I1071" s="1118" t="str">
        <f t="shared" si="1"/>
        <v/>
      </c>
      <c r="J1071" s="1110"/>
    </row>
    <row r="1072" ht="18.75" customHeight="1">
      <c r="A1072" s="1110"/>
      <c r="B1072" s="1115" t="s">
        <v>6030</v>
      </c>
      <c r="C1072" s="1108" t="s">
        <v>5753</v>
      </c>
      <c r="D1072" s="1108" t="s">
        <v>1220</v>
      </c>
      <c r="E1072" s="1116" t="s">
        <v>6287</v>
      </c>
      <c r="F1072" s="1117">
        <v>0.1</v>
      </c>
      <c r="G1072" s="1109">
        <v>0.0</v>
      </c>
      <c r="H1072" s="1118">
        <v>385000.0</v>
      </c>
      <c r="I1072" s="1118">
        <f t="shared" si="1"/>
        <v>350000</v>
      </c>
      <c r="J1072" s="1110"/>
    </row>
    <row r="1073" ht="18.75" customHeight="1">
      <c r="A1073" s="1110"/>
      <c r="B1073" s="1115" t="s">
        <v>6030</v>
      </c>
      <c r="C1073" s="1108" t="s">
        <v>5753</v>
      </c>
      <c r="D1073" s="1108" t="s">
        <v>6288</v>
      </c>
      <c r="E1073" s="1116" t="s">
        <v>6289</v>
      </c>
      <c r="F1073" s="1117">
        <v>0.1</v>
      </c>
      <c r="G1073" s="1109">
        <v>0.0</v>
      </c>
      <c r="H1073" s="1116"/>
      <c r="I1073" s="1118" t="str">
        <f t="shared" si="1"/>
        <v/>
      </c>
      <c r="J1073" s="1110"/>
    </row>
    <row r="1074" ht="18.75" customHeight="1">
      <c r="A1074" s="1110"/>
      <c r="B1074" s="1115" t="s">
        <v>6030</v>
      </c>
      <c r="C1074" s="1108" t="s">
        <v>5753</v>
      </c>
      <c r="D1074" s="1108" t="s">
        <v>6290</v>
      </c>
      <c r="E1074" s="1116" t="s">
        <v>6291</v>
      </c>
      <c r="F1074" s="1117">
        <v>0.1</v>
      </c>
      <c r="G1074" s="1109">
        <v>0.0</v>
      </c>
      <c r="H1074" s="1116"/>
      <c r="I1074" s="1118" t="str">
        <f t="shared" si="1"/>
        <v/>
      </c>
      <c r="J1074" s="1110"/>
    </row>
    <row r="1075" ht="18.75" customHeight="1">
      <c r="A1075" s="1110"/>
      <c r="B1075" s="1115" t="s">
        <v>6030</v>
      </c>
      <c r="C1075" s="1108" t="s">
        <v>5753</v>
      </c>
      <c r="D1075" s="1108" t="s">
        <v>6292</v>
      </c>
      <c r="E1075" s="1116" t="s">
        <v>6293</v>
      </c>
      <c r="F1075" s="1117">
        <v>0.1</v>
      </c>
      <c r="G1075" s="1109">
        <v>0.0</v>
      </c>
      <c r="H1075" s="1116"/>
      <c r="I1075" s="1118" t="str">
        <f t="shared" si="1"/>
        <v/>
      </c>
      <c r="J1075" s="1110"/>
    </row>
    <row r="1076" ht="18.75" customHeight="1">
      <c r="A1076" s="1110"/>
      <c r="B1076" s="1115" t="s">
        <v>6030</v>
      </c>
      <c r="C1076" s="1108" t="s">
        <v>5753</v>
      </c>
      <c r="D1076" s="1108" t="s">
        <v>6294</v>
      </c>
      <c r="E1076" s="1116" t="s">
        <v>6295</v>
      </c>
      <c r="F1076" s="1117">
        <v>0.1</v>
      </c>
      <c r="G1076" s="1109">
        <v>0.0</v>
      </c>
      <c r="H1076" s="1116"/>
      <c r="I1076" s="1118" t="str">
        <f t="shared" si="1"/>
        <v/>
      </c>
      <c r="J1076" s="1110"/>
    </row>
    <row r="1077" ht="18.75" customHeight="1">
      <c r="A1077" s="1110"/>
      <c r="B1077" s="1115" t="s">
        <v>6030</v>
      </c>
      <c r="C1077" s="1108" t="s">
        <v>5753</v>
      </c>
      <c r="D1077" s="1108" t="s">
        <v>6296</v>
      </c>
      <c r="E1077" s="1116" t="s">
        <v>6297</v>
      </c>
      <c r="F1077" s="1117">
        <v>0.1</v>
      </c>
      <c r="G1077" s="1109">
        <v>0.0</v>
      </c>
      <c r="H1077" s="1118">
        <v>542400.0</v>
      </c>
      <c r="I1077" s="1118">
        <f t="shared" si="1"/>
        <v>493090</v>
      </c>
      <c r="J1077" s="1110"/>
    </row>
    <row r="1078" ht="18.75" customHeight="1">
      <c r="A1078" s="1110"/>
      <c r="B1078" s="1115" t="s">
        <v>6030</v>
      </c>
      <c r="C1078" s="1108" t="s">
        <v>5753</v>
      </c>
      <c r="D1078" s="1108" t="s">
        <v>6298</v>
      </c>
      <c r="E1078" s="1116" t="s">
        <v>6299</v>
      </c>
      <c r="F1078" s="1117">
        <v>0.1</v>
      </c>
      <c r="G1078" s="1109">
        <v>0.0</v>
      </c>
      <c r="H1078" s="1116"/>
      <c r="I1078" s="1118" t="str">
        <f t="shared" si="1"/>
        <v/>
      </c>
      <c r="J1078" s="1110"/>
    </row>
    <row r="1079" ht="18.75" customHeight="1">
      <c r="A1079" s="1110"/>
      <c r="B1079" s="1115" t="s">
        <v>6030</v>
      </c>
      <c r="C1079" s="1108" t="s">
        <v>5753</v>
      </c>
      <c r="D1079" s="1108" t="s">
        <v>6300</v>
      </c>
      <c r="E1079" s="1116" t="s">
        <v>6301</v>
      </c>
      <c r="F1079" s="1117">
        <v>0.1</v>
      </c>
      <c r="G1079" s="1109">
        <v>0.0</v>
      </c>
      <c r="H1079" s="1116"/>
      <c r="I1079" s="1118" t="str">
        <f t="shared" si="1"/>
        <v/>
      </c>
      <c r="J1079" s="1110"/>
    </row>
    <row r="1080" ht="18.75" customHeight="1">
      <c r="A1080" s="1110"/>
      <c r="B1080" s="1115" t="s">
        <v>6030</v>
      </c>
      <c r="C1080" s="1108" t="s">
        <v>5753</v>
      </c>
      <c r="D1080" s="1108" t="s">
        <v>6302</v>
      </c>
      <c r="E1080" s="1116" t="s">
        <v>6303</v>
      </c>
      <c r="F1080" s="1117">
        <v>0.1</v>
      </c>
      <c r="G1080" s="1109">
        <v>0.0</v>
      </c>
      <c r="H1080" s="1116"/>
      <c r="I1080" s="1118" t="str">
        <f t="shared" si="1"/>
        <v/>
      </c>
      <c r="J1080" s="1110"/>
    </row>
    <row r="1081" ht="18.75" customHeight="1">
      <c r="A1081" s="1110"/>
      <c r="B1081" s="1115" t="s">
        <v>6030</v>
      </c>
      <c r="C1081" s="1108" t="s">
        <v>5753</v>
      </c>
      <c r="D1081" s="1108" t="s">
        <v>6304</v>
      </c>
      <c r="E1081" s="1116" t="s">
        <v>6305</v>
      </c>
      <c r="F1081" s="1117">
        <v>0.1</v>
      </c>
      <c r="G1081" s="1109">
        <v>0.0</v>
      </c>
      <c r="H1081" s="1116"/>
      <c r="I1081" s="1118" t="str">
        <f t="shared" si="1"/>
        <v/>
      </c>
      <c r="J1081" s="1110"/>
    </row>
    <row r="1082" ht="18.75" customHeight="1">
      <c r="A1082" s="1110"/>
      <c r="B1082" s="1115" t="s">
        <v>6030</v>
      </c>
      <c r="C1082" s="1108" t="s">
        <v>5753</v>
      </c>
      <c r="D1082" s="1108" t="s">
        <v>6306</v>
      </c>
      <c r="E1082" s="1116" t="s">
        <v>6307</v>
      </c>
      <c r="F1082" s="1117">
        <v>0.1</v>
      </c>
      <c r="G1082" s="1109">
        <v>0.0</v>
      </c>
      <c r="H1082" s="1116"/>
      <c r="I1082" s="1118" t="str">
        <f t="shared" si="1"/>
        <v/>
      </c>
      <c r="J1082" s="1110"/>
    </row>
    <row r="1083" ht="18.75" customHeight="1">
      <c r="A1083" s="1110"/>
      <c r="B1083" s="1115" t="s">
        <v>6030</v>
      </c>
      <c r="C1083" s="1108" t="s">
        <v>5753</v>
      </c>
      <c r="D1083" s="1108" t="s">
        <v>6308</v>
      </c>
      <c r="E1083" s="1116" t="s">
        <v>6309</v>
      </c>
      <c r="F1083" s="1117">
        <v>0.1</v>
      </c>
      <c r="G1083" s="1109">
        <v>0.0</v>
      </c>
      <c r="H1083" s="1116"/>
      <c r="I1083" s="1118" t="str">
        <f t="shared" si="1"/>
        <v/>
      </c>
      <c r="J1083" s="1110"/>
    </row>
    <row r="1084" ht="18.75" customHeight="1">
      <c r="A1084" s="1110"/>
      <c r="B1084" s="1115" t="s">
        <v>6030</v>
      </c>
      <c r="C1084" s="1108" t="s">
        <v>5753</v>
      </c>
      <c r="D1084" s="1108" t="s">
        <v>6310</v>
      </c>
      <c r="E1084" s="1116" t="s">
        <v>6311</v>
      </c>
      <c r="F1084" s="1117">
        <v>0.1</v>
      </c>
      <c r="G1084" s="1109">
        <v>0.0</v>
      </c>
      <c r="H1084" s="1116"/>
      <c r="I1084" s="1118" t="str">
        <f t="shared" si="1"/>
        <v/>
      </c>
      <c r="J1084" s="1110"/>
    </row>
    <row r="1085" ht="18.75" customHeight="1">
      <c r="A1085" s="1110"/>
      <c r="B1085" s="1115" t="s">
        <v>6030</v>
      </c>
      <c r="C1085" s="1108" t="s">
        <v>5753</v>
      </c>
      <c r="D1085" s="1108" t="s">
        <v>6312</v>
      </c>
      <c r="E1085" s="1116" t="s">
        <v>6313</v>
      </c>
      <c r="F1085" s="1117">
        <v>0.1</v>
      </c>
      <c r="G1085" s="1109">
        <v>0.0</v>
      </c>
      <c r="H1085" s="1116"/>
      <c r="I1085" s="1118" t="str">
        <f t="shared" si="1"/>
        <v/>
      </c>
      <c r="J1085" s="1110"/>
    </row>
    <row r="1086" ht="18.75" customHeight="1">
      <c r="A1086" s="1110"/>
      <c r="B1086" s="1115" t="s">
        <v>6030</v>
      </c>
      <c r="C1086" s="1108" t="s">
        <v>5753</v>
      </c>
      <c r="D1086" s="1108" t="s">
        <v>6314</v>
      </c>
      <c r="E1086" s="1116" t="s">
        <v>6315</v>
      </c>
      <c r="F1086" s="1117">
        <v>0.1</v>
      </c>
      <c r="G1086" s="1109">
        <v>0.0</v>
      </c>
      <c r="H1086" s="1116"/>
      <c r="I1086" s="1118" t="str">
        <f t="shared" si="1"/>
        <v/>
      </c>
      <c r="J1086" s="1110"/>
    </row>
    <row r="1087" ht="18.75" customHeight="1">
      <c r="A1087" s="1110"/>
      <c r="B1087" s="1115" t="s">
        <v>6030</v>
      </c>
      <c r="C1087" s="1108" t="s">
        <v>5753</v>
      </c>
      <c r="D1087" s="1108" t="s">
        <v>6316</v>
      </c>
      <c r="E1087" s="1116" t="s">
        <v>6317</v>
      </c>
      <c r="F1087" s="1117">
        <v>0.1</v>
      </c>
      <c r="G1087" s="1109">
        <v>0.0</v>
      </c>
      <c r="H1087" s="1116"/>
      <c r="I1087" s="1118" t="str">
        <f t="shared" si="1"/>
        <v/>
      </c>
      <c r="J1087" s="1110"/>
    </row>
    <row r="1088" ht="18.75" customHeight="1">
      <c r="A1088" s="1110"/>
      <c r="B1088" s="1115" t="s">
        <v>6030</v>
      </c>
      <c r="C1088" s="1108" t="s">
        <v>5753</v>
      </c>
      <c r="D1088" s="1108" t="s">
        <v>6318</v>
      </c>
      <c r="E1088" s="1116" t="s">
        <v>6319</v>
      </c>
      <c r="F1088" s="1117">
        <v>0.1</v>
      </c>
      <c r="G1088" s="1109">
        <v>0.0</v>
      </c>
      <c r="H1088" s="1116"/>
      <c r="I1088" s="1118" t="str">
        <f t="shared" si="1"/>
        <v/>
      </c>
      <c r="J1088" s="1110"/>
    </row>
    <row r="1089" ht="18.75" customHeight="1">
      <c r="A1089" s="1110"/>
      <c r="B1089" s="1115" t="s">
        <v>6030</v>
      </c>
      <c r="C1089" s="1108" t="s">
        <v>5753</v>
      </c>
      <c r="D1089" s="1108" t="s">
        <v>6320</v>
      </c>
      <c r="E1089" s="1116" t="s">
        <v>6321</v>
      </c>
      <c r="F1089" s="1117">
        <v>0.1</v>
      </c>
      <c r="G1089" s="1109">
        <v>0.0</v>
      </c>
      <c r="H1089" s="1116"/>
      <c r="I1089" s="1118" t="str">
        <f t="shared" si="1"/>
        <v/>
      </c>
      <c r="J1089" s="1110"/>
    </row>
    <row r="1090" ht="18.75" customHeight="1">
      <c r="A1090" s="1110"/>
      <c r="B1090" s="1115" t="s">
        <v>6030</v>
      </c>
      <c r="C1090" s="1108" t="s">
        <v>5753</v>
      </c>
      <c r="D1090" s="1108" t="s">
        <v>6322</v>
      </c>
      <c r="E1090" s="1116" t="s">
        <v>6323</v>
      </c>
      <c r="F1090" s="1117">
        <v>0.1</v>
      </c>
      <c r="G1090" s="1109">
        <v>0.0</v>
      </c>
      <c r="H1090" s="1116"/>
      <c r="I1090" s="1118" t="str">
        <f t="shared" si="1"/>
        <v/>
      </c>
      <c r="J1090" s="1110"/>
    </row>
    <row r="1091" ht="18.75" customHeight="1">
      <c r="A1091" s="1110"/>
      <c r="B1091" s="1115" t="s">
        <v>6030</v>
      </c>
      <c r="C1091" s="1108" t="s">
        <v>5753</v>
      </c>
      <c r="D1091" s="1108" t="s">
        <v>6324</v>
      </c>
      <c r="E1091" s="1116" t="s">
        <v>6325</v>
      </c>
      <c r="F1091" s="1117">
        <v>0.1</v>
      </c>
      <c r="G1091" s="1109">
        <v>0.0</v>
      </c>
      <c r="H1091" s="1116"/>
      <c r="I1091" s="1118" t="str">
        <f t="shared" si="1"/>
        <v/>
      </c>
      <c r="J1091" s="1110"/>
    </row>
    <row r="1092" ht="18.75" customHeight="1">
      <c r="A1092" s="1110"/>
      <c r="B1092" s="1115" t="s">
        <v>6030</v>
      </c>
      <c r="C1092" s="1108" t="s">
        <v>5753</v>
      </c>
      <c r="D1092" s="1108" t="s">
        <v>6326</v>
      </c>
      <c r="E1092" s="1116" t="s">
        <v>6327</v>
      </c>
      <c r="F1092" s="1117">
        <v>0.1</v>
      </c>
      <c r="G1092" s="1109">
        <v>0.0</v>
      </c>
      <c r="H1092" s="1116"/>
      <c r="I1092" s="1118" t="str">
        <f t="shared" si="1"/>
        <v/>
      </c>
      <c r="J1092" s="1110"/>
    </row>
    <row r="1093" ht="18.75" customHeight="1">
      <c r="A1093" s="1110"/>
      <c r="B1093" s="1115" t="s">
        <v>6030</v>
      </c>
      <c r="C1093" s="1108" t="s">
        <v>5753</v>
      </c>
      <c r="D1093" s="1108" t="s">
        <v>6328</v>
      </c>
      <c r="E1093" s="1116" t="s">
        <v>6329</v>
      </c>
      <c r="F1093" s="1117">
        <v>0.1</v>
      </c>
      <c r="G1093" s="1109">
        <v>0.0</v>
      </c>
      <c r="H1093" s="1116"/>
      <c r="I1093" s="1118" t="str">
        <f t="shared" si="1"/>
        <v/>
      </c>
      <c r="J1093" s="1110"/>
    </row>
    <row r="1094" ht="18.75" customHeight="1">
      <c r="A1094" s="1110"/>
      <c r="B1094" s="1115" t="s">
        <v>6030</v>
      </c>
      <c r="C1094" s="1108" t="s">
        <v>5753</v>
      </c>
      <c r="D1094" s="1108" t="s">
        <v>1222</v>
      </c>
      <c r="E1094" s="1116" t="s">
        <v>6330</v>
      </c>
      <c r="F1094" s="1117">
        <v>0.1</v>
      </c>
      <c r="G1094" s="1109">
        <v>0.0</v>
      </c>
      <c r="H1094" s="1118">
        <v>528000.0</v>
      </c>
      <c r="I1094" s="1118">
        <f t="shared" si="1"/>
        <v>480000</v>
      </c>
      <c r="J1094" s="1110"/>
    </row>
    <row r="1095" ht="18.75" customHeight="1">
      <c r="A1095" s="1110"/>
      <c r="B1095" s="1115" t="s">
        <v>6030</v>
      </c>
      <c r="C1095" s="1108" t="s">
        <v>5753</v>
      </c>
      <c r="D1095" s="1108" t="s">
        <v>1232</v>
      </c>
      <c r="E1095" s="1116" t="s">
        <v>6331</v>
      </c>
      <c r="F1095" s="1117">
        <v>0.1</v>
      </c>
      <c r="G1095" s="1109">
        <v>0.0</v>
      </c>
      <c r="H1095" s="1118">
        <v>544300.0</v>
      </c>
      <c r="I1095" s="1118">
        <f t="shared" si="1"/>
        <v>494820</v>
      </c>
      <c r="J1095" s="1110"/>
    </row>
    <row r="1096" ht="18.75" customHeight="1">
      <c r="A1096" s="1110"/>
      <c r="B1096" s="1115" t="s">
        <v>6030</v>
      </c>
      <c r="C1096" s="1108" t="s">
        <v>5753</v>
      </c>
      <c r="D1096" s="1108" t="s">
        <v>6332</v>
      </c>
      <c r="E1096" s="1116" t="s">
        <v>6333</v>
      </c>
      <c r="F1096" s="1117">
        <v>0.1</v>
      </c>
      <c r="G1096" s="1109">
        <v>0.0</v>
      </c>
      <c r="H1096" s="1116"/>
      <c r="I1096" s="1118" t="str">
        <f t="shared" si="1"/>
        <v/>
      </c>
      <c r="J1096" s="1110"/>
    </row>
    <row r="1097" ht="18.75" customHeight="1">
      <c r="A1097" s="1110"/>
      <c r="B1097" s="1115" t="s">
        <v>6030</v>
      </c>
      <c r="C1097" s="1108" t="s">
        <v>5753</v>
      </c>
      <c r="D1097" s="1108" t="s">
        <v>6334</v>
      </c>
      <c r="E1097" s="1116" t="s">
        <v>6335</v>
      </c>
      <c r="F1097" s="1117">
        <v>0.1</v>
      </c>
      <c r="G1097" s="1109">
        <v>0.0</v>
      </c>
      <c r="H1097" s="1116"/>
      <c r="I1097" s="1118" t="str">
        <f t="shared" si="1"/>
        <v/>
      </c>
      <c r="J1097" s="1110"/>
    </row>
    <row r="1098" ht="18.75" customHeight="1">
      <c r="A1098" s="1110"/>
      <c r="B1098" s="1115" t="s">
        <v>6336</v>
      </c>
      <c r="C1098" s="1108" t="s">
        <v>5753</v>
      </c>
      <c r="D1098" s="1108" t="s">
        <v>6337</v>
      </c>
      <c r="E1098" s="1116" t="s">
        <v>6338</v>
      </c>
      <c r="F1098" s="1117">
        <v>0.1</v>
      </c>
      <c r="G1098" s="1109">
        <v>0.0</v>
      </c>
      <c r="H1098" s="1116"/>
      <c r="I1098" s="1118" t="str">
        <f t="shared" si="1"/>
        <v/>
      </c>
      <c r="J1098" s="1110"/>
    </row>
    <row r="1099" ht="18.75" customHeight="1">
      <c r="A1099" s="1110"/>
      <c r="B1099" s="1115" t="s">
        <v>6336</v>
      </c>
      <c r="C1099" s="1108" t="s">
        <v>5753</v>
      </c>
      <c r="D1099" s="1108" t="s">
        <v>6339</v>
      </c>
      <c r="E1099" s="1116" t="s">
        <v>6340</v>
      </c>
      <c r="F1099" s="1117">
        <v>0.1</v>
      </c>
      <c r="G1099" s="1109">
        <v>0.0</v>
      </c>
      <c r="H1099" s="1116"/>
      <c r="I1099" s="1118" t="str">
        <f t="shared" si="1"/>
        <v/>
      </c>
      <c r="J1099" s="1110"/>
    </row>
    <row r="1100" ht="18.75" customHeight="1">
      <c r="A1100" s="1110"/>
      <c r="B1100" s="1115" t="s">
        <v>6336</v>
      </c>
      <c r="C1100" s="1108" t="s">
        <v>5753</v>
      </c>
      <c r="D1100" s="1108" t="s">
        <v>6341</v>
      </c>
      <c r="E1100" s="1116" t="s">
        <v>6342</v>
      </c>
      <c r="F1100" s="1117">
        <v>0.1</v>
      </c>
      <c r="G1100" s="1109">
        <v>0.0</v>
      </c>
      <c r="H1100" s="1116"/>
      <c r="I1100" s="1118" t="str">
        <f t="shared" si="1"/>
        <v/>
      </c>
      <c r="J1100" s="1110"/>
    </row>
    <row r="1101" ht="18.75" customHeight="1">
      <c r="A1101" s="1110"/>
      <c r="B1101" s="1115" t="s">
        <v>6336</v>
      </c>
      <c r="C1101" s="1108" t="s">
        <v>5753</v>
      </c>
      <c r="D1101" s="1108" t="s">
        <v>6343</v>
      </c>
      <c r="E1101" s="1116" t="s">
        <v>6344</v>
      </c>
      <c r="F1101" s="1117">
        <v>0.1</v>
      </c>
      <c r="G1101" s="1109">
        <v>0.0</v>
      </c>
      <c r="H1101" s="1116"/>
      <c r="I1101" s="1118" t="str">
        <f t="shared" si="1"/>
        <v/>
      </c>
      <c r="J1101" s="1110"/>
    </row>
    <row r="1102" ht="18.75" customHeight="1">
      <c r="A1102" s="1110"/>
      <c r="B1102" s="1115" t="s">
        <v>6336</v>
      </c>
      <c r="C1102" s="1108" t="s">
        <v>5753</v>
      </c>
      <c r="D1102" s="1108" t="s">
        <v>6345</v>
      </c>
      <c r="E1102" s="1116" t="s">
        <v>6346</v>
      </c>
      <c r="F1102" s="1117">
        <v>0.1</v>
      </c>
      <c r="G1102" s="1109">
        <v>0.0</v>
      </c>
      <c r="H1102" s="1116"/>
      <c r="I1102" s="1118" t="str">
        <f t="shared" si="1"/>
        <v/>
      </c>
      <c r="J1102" s="1110"/>
    </row>
    <row r="1103" ht="18.75" customHeight="1">
      <c r="A1103" s="1110"/>
      <c r="B1103" s="1115" t="s">
        <v>6336</v>
      </c>
      <c r="C1103" s="1108" t="s">
        <v>5753</v>
      </c>
      <c r="D1103" s="1108" t="s">
        <v>6347</v>
      </c>
      <c r="E1103" s="1116" t="s">
        <v>6348</v>
      </c>
      <c r="F1103" s="1117">
        <v>0.1</v>
      </c>
      <c r="G1103" s="1109">
        <v>0.0</v>
      </c>
      <c r="H1103" s="1118">
        <v>10100.0</v>
      </c>
      <c r="I1103" s="1118">
        <f t="shared" si="1"/>
        <v>9180</v>
      </c>
      <c r="J1103" s="1110"/>
    </row>
    <row r="1104" ht="18.75" customHeight="1">
      <c r="A1104" s="1110"/>
      <c r="B1104" s="1115" t="s">
        <v>6336</v>
      </c>
      <c r="C1104" s="1108" t="s">
        <v>5753</v>
      </c>
      <c r="D1104" s="1108" t="s">
        <v>6349</v>
      </c>
      <c r="E1104" s="1116" t="s">
        <v>6350</v>
      </c>
      <c r="F1104" s="1117">
        <v>0.1</v>
      </c>
      <c r="G1104" s="1109">
        <v>0.0</v>
      </c>
      <c r="H1104" s="1116"/>
      <c r="I1104" s="1118" t="str">
        <f t="shared" si="1"/>
        <v/>
      </c>
      <c r="J1104" s="1110"/>
    </row>
    <row r="1105" ht="18.75" customHeight="1">
      <c r="A1105" s="1110"/>
      <c r="B1105" s="1115" t="s">
        <v>6336</v>
      </c>
      <c r="C1105" s="1108" t="s">
        <v>5753</v>
      </c>
      <c r="D1105" s="1108" t="s">
        <v>6351</v>
      </c>
      <c r="E1105" s="1116" t="s">
        <v>6352</v>
      </c>
      <c r="F1105" s="1117">
        <v>0.1</v>
      </c>
      <c r="G1105" s="1109">
        <v>0.0</v>
      </c>
      <c r="H1105" s="1118">
        <v>13400.0</v>
      </c>
      <c r="I1105" s="1118">
        <f t="shared" si="1"/>
        <v>12180</v>
      </c>
      <c r="J1105" s="1110"/>
    </row>
    <row r="1106" ht="18.75" customHeight="1">
      <c r="A1106" s="1110"/>
      <c r="B1106" s="1115" t="s">
        <v>6336</v>
      </c>
      <c r="C1106" s="1108" t="s">
        <v>5753</v>
      </c>
      <c r="D1106" s="1108" t="s">
        <v>6353</v>
      </c>
      <c r="E1106" s="1116" t="s">
        <v>6354</v>
      </c>
      <c r="F1106" s="1117">
        <v>0.1</v>
      </c>
      <c r="G1106" s="1109">
        <v>0.0</v>
      </c>
      <c r="H1106" s="1116"/>
      <c r="I1106" s="1118" t="str">
        <f t="shared" si="1"/>
        <v/>
      </c>
      <c r="J1106" s="1110"/>
    </row>
    <row r="1107" ht="18.75" customHeight="1">
      <c r="A1107" s="1110"/>
      <c r="B1107" s="1115" t="s">
        <v>6336</v>
      </c>
      <c r="C1107" s="1108" t="s">
        <v>5753</v>
      </c>
      <c r="D1107" s="1108" t="s">
        <v>6355</v>
      </c>
      <c r="E1107" s="1116" t="s">
        <v>6356</v>
      </c>
      <c r="F1107" s="1117">
        <v>0.1</v>
      </c>
      <c r="G1107" s="1109">
        <v>0.0</v>
      </c>
      <c r="H1107" s="1116"/>
      <c r="I1107" s="1118" t="str">
        <f t="shared" si="1"/>
        <v/>
      </c>
      <c r="J1107" s="1110"/>
    </row>
    <row r="1108" ht="18.75" customHeight="1">
      <c r="A1108" s="1110"/>
      <c r="B1108" s="1115" t="s">
        <v>6336</v>
      </c>
      <c r="C1108" s="1108" t="s">
        <v>5753</v>
      </c>
      <c r="D1108" s="1108" t="s">
        <v>6357</v>
      </c>
      <c r="E1108" s="1116" t="s">
        <v>6358</v>
      </c>
      <c r="F1108" s="1117">
        <v>0.1</v>
      </c>
      <c r="G1108" s="1109">
        <v>0.0</v>
      </c>
      <c r="H1108" s="1118">
        <v>19400.0</v>
      </c>
      <c r="I1108" s="1118">
        <f t="shared" si="1"/>
        <v>17640</v>
      </c>
      <c r="J1108" s="1110"/>
    </row>
    <row r="1109" ht="18.75" customHeight="1">
      <c r="A1109" s="1110"/>
      <c r="B1109" s="1115" t="s">
        <v>6336</v>
      </c>
      <c r="C1109" s="1108" t="s">
        <v>5753</v>
      </c>
      <c r="D1109" s="1108" t="s">
        <v>6359</v>
      </c>
      <c r="E1109" s="1116" t="s">
        <v>6360</v>
      </c>
      <c r="F1109" s="1117">
        <v>0.1</v>
      </c>
      <c r="G1109" s="1109">
        <v>0.0</v>
      </c>
      <c r="H1109" s="1116"/>
      <c r="I1109" s="1118" t="str">
        <f t="shared" si="1"/>
        <v/>
      </c>
      <c r="J1109" s="1110"/>
    </row>
    <row r="1110" ht="18.75" customHeight="1">
      <c r="A1110" s="1110"/>
      <c r="B1110" s="1115" t="s">
        <v>6336</v>
      </c>
      <c r="C1110" s="1108" t="s">
        <v>5753</v>
      </c>
      <c r="D1110" s="1108" t="s">
        <v>6361</v>
      </c>
      <c r="E1110" s="1116" t="s">
        <v>6362</v>
      </c>
      <c r="F1110" s="1117">
        <v>0.1</v>
      </c>
      <c r="G1110" s="1109">
        <v>0.0</v>
      </c>
      <c r="H1110" s="1116"/>
      <c r="I1110" s="1118" t="str">
        <f t="shared" si="1"/>
        <v/>
      </c>
      <c r="J1110" s="1110"/>
    </row>
    <row r="1111" ht="18.75" customHeight="1">
      <c r="A1111" s="1110"/>
      <c r="B1111" s="1115" t="s">
        <v>6336</v>
      </c>
      <c r="C1111" s="1108" t="s">
        <v>5753</v>
      </c>
      <c r="D1111" s="1108" t="s">
        <v>6363</v>
      </c>
      <c r="E1111" s="1116" t="s">
        <v>6364</v>
      </c>
      <c r="F1111" s="1117">
        <v>0.1</v>
      </c>
      <c r="G1111" s="1109">
        <v>0.0</v>
      </c>
      <c r="H1111" s="1116"/>
      <c r="I1111" s="1118" t="str">
        <f t="shared" si="1"/>
        <v/>
      </c>
      <c r="J1111" s="1110"/>
    </row>
    <row r="1112" ht="18.75" customHeight="1">
      <c r="A1112" s="1110"/>
      <c r="B1112" s="1115" t="s">
        <v>6336</v>
      </c>
      <c r="C1112" s="1108" t="s">
        <v>5753</v>
      </c>
      <c r="D1112" s="1108" t="s">
        <v>6365</v>
      </c>
      <c r="E1112" s="1116" t="s">
        <v>6366</v>
      </c>
      <c r="F1112" s="1117">
        <v>0.1</v>
      </c>
      <c r="G1112" s="1109">
        <v>0.0</v>
      </c>
      <c r="H1112" s="1118">
        <v>8000.0</v>
      </c>
      <c r="I1112" s="1118">
        <f t="shared" si="1"/>
        <v>7270</v>
      </c>
      <c r="J1112" s="1110"/>
    </row>
    <row r="1113" ht="18.75" customHeight="1">
      <c r="A1113" s="1110"/>
      <c r="B1113" s="1115" t="s">
        <v>6336</v>
      </c>
      <c r="C1113" s="1108" t="s">
        <v>5753</v>
      </c>
      <c r="D1113" s="1108" t="s">
        <v>6367</v>
      </c>
      <c r="E1113" s="1116" t="s">
        <v>6368</v>
      </c>
      <c r="F1113" s="1117">
        <v>0.1</v>
      </c>
      <c r="G1113" s="1109">
        <v>0.0</v>
      </c>
      <c r="H1113" s="1118">
        <v>8800.0</v>
      </c>
      <c r="I1113" s="1118">
        <f t="shared" si="1"/>
        <v>8000</v>
      </c>
      <c r="J1113" s="1110"/>
    </row>
    <row r="1114" ht="18.75" customHeight="1">
      <c r="A1114" s="1110"/>
      <c r="B1114" s="1115" t="s">
        <v>6336</v>
      </c>
      <c r="C1114" s="1108" t="s">
        <v>5753</v>
      </c>
      <c r="D1114" s="1108" t="s">
        <v>6369</v>
      </c>
      <c r="E1114" s="1116" t="s">
        <v>6370</v>
      </c>
      <c r="F1114" s="1117">
        <v>0.1</v>
      </c>
      <c r="G1114" s="1109">
        <v>0.0</v>
      </c>
      <c r="H1114" s="1116"/>
      <c r="I1114" s="1118" t="str">
        <f t="shared" si="1"/>
        <v/>
      </c>
      <c r="J1114" s="1110"/>
    </row>
    <row r="1115" ht="18.75" customHeight="1">
      <c r="A1115" s="1110"/>
      <c r="B1115" s="1115" t="s">
        <v>6336</v>
      </c>
      <c r="C1115" s="1108" t="s">
        <v>5753</v>
      </c>
      <c r="D1115" s="1108" t="s">
        <v>6371</v>
      </c>
      <c r="E1115" s="1116" t="s">
        <v>6372</v>
      </c>
      <c r="F1115" s="1117">
        <v>0.1</v>
      </c>
      <c r="G1115" s="1109">
        <v>0.0</v>
      </c>
      <c r="H1115" s="1116"/>
      <c r="I1115" s="1118" t="str">
        <f t="shared" si="1"/>
        <v/>
      </c>
      <c r="J1115" s="1110"/>
    </row>
    <row r="1116" ht="18.75" customHeight="1">
      <c r="A1116" s="1110"/>
      <c r="B1116" s="1115" t="s">
        <v>6336</v>
      </c>
      <c r="C1116" s="1108" t="s">
        <v>5753</v>
      </c>
      <c r="D1116" s="1108" t="s">
        <v>6373</v>
      </c>
      <c r="E1116" s="1116" t="s">
        <v>6374</v>
      </c>
      <c r="F1116" s="1117">
        <v>0.1</v>
      </c>
      <c r="G1116" s="1109">
        <v>0.0</v>
      </c>
      <c r="H1116" s="1116"/>
      <c r="I1116" s="1118" t="str">
        <f t="shared" si="1"/>
        <v/>
      </c>
      <c r="J1116" s="1110"/>
    </row>
    <row r="1117" ht="18.75" customHeight="1">
      <c r="A1117" s="1110"/>
      <c r="B1117" s="1115" t="s">
        <v>6336</v>
      </c>
      <c r="C1117" s="1108" t="s">
        <v>5753</v>
      </c>
      <c r="D1117" s="1108" t="s">
        <v>1242</v>
      </c>
      <c r="E1117" s="1116" t="s">
        <v>6375</v>
      </c>
      <c r="F1117" s="1117">
        <v>0.1</v>
      </c>
      <c r="G1117" s="1109">
        <v>0.0</v>
      </c>
      <c r="H1117" s="1118">
        <v>21300.0</v>
      </c>
      <c r="I1117" s="1118">
        <f t="shared" si="1"/>
        <v>19360</v>
      </c>
      <c r="J1117" s="1110"/>
    </row>
    <row r="1118" ht="18.75" customHeight="1">
      <c r="A1118" s="1110"/>
      <c r="B1118" s="1115" t="s">
        <v>6336</v>
      </c>
      <c r="C1118" s="1108" t="s">
        <v>5753</v>
      </c>
      <c r="D1118" s="1108" t="s">
        <v>6376</v>
      </c>
      <c r="E1118" s="1116" t="s">
        <v>6377</v>
      </c>
      <c r="F1118" s="1117">
        <v>0.1</v>
      </c>
      <c r="G1118" s="1109">
        <v>0.0</v>
      </c>
      <c r="H1118" s="1116"/>
      <c r="I1118" s="1118" t="str">
        <f t="shared" si="1"/>
        <v/>
      </c>
      <c r="J1118" s="1110"/>
    </row>
    <row r="1119" ht="18.75" customHeight="1">
      <c r="A1119" s="1110"/>
      <c r="B1119" s="1115" t="s">
        <v>6336</v>
      </c>
      <c r="C1119" s="1108" t="s">
        <v>5753</v>
      </c>
      <c r="D1119" s="1108" t="s">
        <v>1248</v>
      </c>
      <c r="E1119" s="1116" t="s">
        <v>6378</v>
      </c>
      <c r="F1119" s="1117">
        <v>0.1</v>
      </c>
      <c r="G1119" s="1109">
        <v>0.0</v>
      </c>
      <c r="H1119" s="1118">
        <v>25400.0</v>
      </c>
      <c r="I1119" s="1118">
        <f t="shared" si="1"/>
        <v>23090</v>
      </c>
      <c r="J1119" s="1110"/>
    </row>
    <row r="1120" ht="18.75" customHeight="1">
      <c r="A1120" s="1110"/>
      <c r="B1120" s="1115" t="s">
        <v>6336</v>
      </c>
      <c r="C1120" s="1108" t="s">
        <v>5753</v>
      </c>
      <c r="D1120" s="1108" t="s">
        <v>6379</v>
      </c>
      <c r="E1120" s="1116" t="s">
        <v>6380</v>
      </c>
      <c r="F1120" s="1117">
        <v>0.1</v>
      </c>
      <c r="G1120" s="1109">
        <v>0.0</v>
      </c>
      <c r="H1120" s="1116"/>
      <c r="I1120" s="1118" t="str">
        <f t="shared" si="1"/>
        <v/>
      </c>
      <c r="J1120" s="1110"/>
    </row>
    <row r="1121" ht="18.75" customHeight="1">
      <c r="A1121" s="1110"/>
      <c r="B1121" s="1115" t="s">
        <v>6336</v>
      </c>
      <c r="C1121" s="1108" t="s">
        <v>5753</v>
      </c>
      <c r="D1121" s="1108" t="s">
        <v>1252</v>
      </c>
      <c r="E1121" s="1116" t="s">
        <v>6381</v>
      </c>
      <c r="F1121" s="1117">
        <v>0.1</v>
      </c>
      <c r="G1121" s="1109">
        <v>0.0</v>
      </c>
      <c r="H1121" s="1118">
        <v>29600.0</v>
      </c>
      <c r="I1121" s="1118">
        <f t="shared" si="1"/>
        <v>26910</v>
      </c>
      <c r="J1121" s="1110"/>
    </row>
    <row r="1122" ht="18.75" customHeight="1">
      <c r="A1122" s="1110"/>
      <c r="B1122" s="1115" t="s">
        <v>6336</v>
      </c>
      <c r="C1122" s="1108" t="s">
        <v>5753</v>
      </c>
      <c r="D1122" s="1108" t="s">
        <v>6382</v>
      </c>
      <c r="E1122" s="1116" t="s">
        <v>6383</v>
      </c>
      <c r="F1122" s="1117">
        <v>0.1</v>
      </c>
      <c r="G1122" s="1109">
        <v>0.0</v>
      </c>
      <c r="H1122" s="1116"/>
      <c r="I1122" s="1118" t="str">
        <f t="shared" si="1"/>
        <v/>
      </c>
      <c r="J1122" s="1110"/>
    </row>
    <row r="1123" ht="18.75" customHeight="1">
      <c r="A1123" s="1110"/>
      <c r="B1123" s="1115" t="s">
        <v>6336</v>
      </c>
      <c r="C1123" s="1108" t="s">
        <v>5753</v>
      </c>
      <c r="D1123" s="1108" t="s">
        <v>1256</v>
      </c>
      <c r="E1123" s="1116" t="s">
        <v>6384</v>
      </c>
      <c r="F1123" s="1117">
        <v>0.1</v>
      </c>
      <c r="G1123" s="1109">
        <v>0.0</v>
      </c>
      <c r="H1123" s="1118">
        <v>34700.0</v>
      </c>
      <c r="I1123" s="1118">
        <f t="shared" si="1"/>
        <v>31550</v>
      </c>
      <c r="J1123" s="1110"/>
    </row>
    <row r="1124" ht="18.75" customHeight="1">
      <c r="A1124" s="1110"/>
      <c r="B1124" s="1115" t="s">
        <v>6336</v>
      </c>
      <c r="C1124" s="1108" t="s">
        <v>5753</v>
      </c>
      <c r="D1124" s="1108" t="s">
        <v>1260</v>
      </c>
      <c r="E1124" s="1116" t="s">
        <v>6385</v>
      </c>
      <c r="F1124" s="1117">
        <v>0.1</v>
      </c>
      <c r="G1124" s="1109">
        <v>0.0</v>
      </c>
      <c r="H1124" s="1118">
        <v>40700.0</v>
      </c>
      <c r="I1124" s="1118">
        <f t="shared" si="1"/>
        <v>37000</v>
      </c>
      <c r="J1124" s="1110"/>
    </row>
    <row r="1125" ht="18.75" customHeight="1">
      <c r="A1125" s="1110"/>
      <c r="B1125" s="1115" t="s">
        <v>6336</v>
      </c>
      <c r="C1125" s="1108" t="s">
        <v>5753</v>
      </c>
      <c r="D1125" s="1108" t="s">
        <v>6386</v>
      </c>
      <c r="E1125" s="1116" t="s">
        <v>6387</v>
      </c>
      <c r="F1125" s="1117">
        <v>0.1</v>
      </c>
      <c r="G1125" s="1109">
        <v>0.0</v>
      </c>
      <c r="H1125" s="1116"/>
      <c r="I1125" s="1118" t="str">
        <f t="shared" si="1"/>
        <v/>
      </c>
      <c r="J1125" s="1110"/>
    </row>
    <row r="1126" ht="18.75" customHeight="1">
      <c r="A1126" s="1110"/>
      <c r="B1126" s="1115" t="s">
        <v>6336</v>
      </c>
      <c r="C1126" s="1108" t="s">
        <v>5753</v>
      </c>
      <c r="D1126" s="1108" t="s">
        <v>1262</v>
      </c>
      <c r="E1126" s="1116" t="s">
        <v>6388</v>
      </c>
      <c r="F1126" s="1117">
        <v>0.1</v>
      </c>
      <c r="G1126" s="1109">
        <v>0.0</v>
      </c>
      <c r="H1126" s="1118">
        <v>50900.0</v>
      </c>
      <c r="I1126" s="1118">
        <f t="shared" si="1"/>
        <v>46270</v>
      </c>
      <c r="J1126" s="1110"/>
    </row>
    <row r="1127" ht="18.75" customHeight="1">
      <c r="A1127" s="1110"/>
      <c r="B1127" s="1115" t="s">
        <v>6336</v>
      </c>
      <c r="C1127" s="1108" t="s">
        <v>5753</v>
      </c>
      <c r="D1127" s="1108" t="s">
        <v>6389</v>
      </c>
      <c r="E1127" s="1116" t="s">
        <v>6390</v>
      </c>
      <c r="F1127" s="1117">
        <v>0.1</v>
      </c>
      <c r="G1127" s="1109">
        <v>0.0</v>
      </c>
      <c r="H1127" s="1116"/>
      <c r="I1127" s="1118" t="str">
        <f t="shared" si="1"/>
        <v/>
      </c>
      <c r="J1127" s="1110"/>
    </row>
    <row r="1128" ht="18.75" customHeight="1">
      <c r="A1128" s="1110"/>
      <c r="B1128" s="1115" t="s">
        <v>6336</v>
      </c>
      <c r="C1128" s="1108" t="s">
        <v>5753</v>
      </c>
      <c r="D1128" s="1108" t="s">
        <v>1264</v>
      </c>
      <c r="E1128" s="1116" t="s">
        <v>6391</v>
      </c>
      <c r="F1128" s="1117">
        <v>0.1</v>
      </c>
      <c r="G1128" s="1109">
        <v>0.0</v>
      </c>
      <c r="H1128" s="1118">
        <v>66200.0</v>
      </c>
      <c r="I1128" s="1118">
        <f t="shared" si="1"/>
        <v>60180</v>
      </c>
      <c r="J1128" s="1110"/>
    </row>
    <row r="1129" ht="18.75" customHeight="1">
      <c r="A1129" s="1110"/>
      <c r="B1129" s="1115" t="s">
        <v>6336</v>
      </c>
      <c r="C1129" s="1108" t="s">
        <v>5753</v>
      </c>
      <c r="D1129" s="1108" t="s">
        <v>6392</v>
      </c>
      <c r="E1129" s="1116" t="s">
        <v>6393</v>
      </c>
      <c r="F1129" s="1117">
        <v>0.1</v>
      </c>
      <c r="G1129" s="1109">
        <v>0.0</v>
      </c>
      <c r="H1129" s="1116"/>
      <c r="I1129" s="1118" t="str">
        <f t="shared" si="1"/>
        <v/>
      </c>
      <c r="J1129" s="1110"/>
    </row>
    <row r="1130" ht="18.75" customHeight="1">
      <c r="A1130" s="1110"/>
      <c r="B1130" s="1115" t="s">
        <v>6336</v>
      </c>
      <c r="C1130" s="1108" t="s">
        <v>5753</v>
      </c>
      <c r="D1130" s="1108" t="s">
        <v>6394</v>
      </c>
      <c r="E1130" s="1116" t="s">
        <v>6395</v>
      </c>
      <c r="F1130" s="1117">
        <v>0.1</v>
      </c>
      <c r="G1130" s="1109">
        <v>0.0</v>
      </c>
      <c r="H1130" s="1116"/>
      <c r="I1130" s="1118" t="str">
        <f t="shared" si="1"/>
        <v/>
      </c>
      <c r="J1130" s="1110"/>
    </row>
    <row r="1131" ht="18.75" customHeight="1">
      <c r="A1131" s="1110"/>
      <c r="B1131" s="1115" t="s">
        <v>6336</v>
      </c>
      <c r="C1131" s="1108" t="s">
        <v>5753</v>
      </c>
      <c r="D1131" s="1108" t="s">
        <v>6396</v>
      </c>
      <c r="E1131" s="1116" t="s">
        <v>6397</v>
      </c>
      <c r="F1131" s="1117">
        <v>0.1</v>
      </c>
      <c r="G1131" s="1109">
        <v>0.0</v>
      </c>
      <c r="H1131" s="1116"/>
      <c r="I1131" s="1118" t="str">
        <f t="shared" si="1"/>
        <v/>
      </c>
      <c r="J1131" s="1110"/>
    </row>
    <row r="1132" ht="18.75" customHeight="1">
      <c r="A1132" s="1110"/>
      <c r="B1132" s="1115" t="s">
        <v>6336</v>
      </c>
      <c r="C1132" s="1108" t="s">
        <v>5753</v>
      </c>
      <c r="D1132" s="1108" t="s">
        <v>6398</v>
      </c>
      <c r="E1132" s="1116" t="s">
        <v>6399</v>
      </c>
      <c r="F1132" s="1117">
        <v>0.1</v>
      </c>
      <c r="G1132" s="1109">
        <v>0.0</v>
      </c>
      <c r="H1132" s="1116"/>
      <c r="I1132" s="1118" t="str">
        <f t="shared" si="1"/>
        <v/>
      </c>
      <c r="J1132" s="1110"/>
    </row>
    <row r="1133" ht="18.75" customHeight="1">
      <c r="A1133" s="1110"/>
      <c r="B1133" s="1115" t="s">
        <v>6336</v>
      </c>
      <c r="C1133" s="1108" t="s">
        <v>5753</v>
      </c>
      <c r="D1133" s="1108" t="s">
        <v>6400</v>
      </c>
      <c r="E1133" s="1116" t="s">
        <v>6401</v>
      </c>
      <c r="F1133" s="1117">
        <v>0.1</v>
      </c>
      <c r="G1133" s="1109">
        <v>0.0</v>
      </c>
      <c r="H1133" s="1116"/>
      <c r="I1133" s="1118" t="str">
        <f t="shared" si="1"/>
        <v/>
      </c>
      <c r="J1133" s="1110"/>
    </row>
    <row r="1134" ht="18.75" customHeight="1">
      <c r="A1134" s="1110"/>
      <c r="B1134" s="1115" t="s">
        <v>6336</v>
      </c>
      <c r="C1134" s="1108" t="s">
        <v>5753</v>
      </c>
      <c r="D1134" s="1108" t="s">
        <v>1236</v>
      </c>
      <c r="E1134" s="1116" t="s">
        <v>6402</v>
      </c>
      <c r="F1134" s="1117">
        <v>0.1</v>
      </c>
      <c r="G1134" s="1109">
        <v>0.0</v>
      </c>
      <c r="H1134" s="1118">
        <v>17300.0</v>
      </c>
      <c r="I1134" s="1118">
        <f t="shared" si="1"/>
        <v>15730</v>
      </c>
      <c r="J1134" s="1110"/>
    </row>
    <row r="1135" ht="18.75" customHeight="1">
      <c r="A1135" s="1110"/>
      <c r="B1135" s="1115" t="s">
        <v>6336</v>
      </c>
      <c r="C1135" s="1108" t="s">
        <v>5753</v>
      </c>
      <c r="D1135" s="1108" t="s">
        <v>6403</v>
      </c>
      <c r="E1135" s="1116" t="s">
        <v>6404</v>
      </c>
      <c r="F1135" s="1117">
        <v>0.1</v>
      </c>
      <c r="G1135" s="1109">
        <v>0.0</v>
      </c>
      <c r="H1135" s="1118">
        <v>17700.0</v>
      </c>
      <c r="I1135" s="1118">
        <f t="shared" si="1"/>
        <v>16090</v>
      </c>
      <c r="J1135" s="1110"/>
    </row>
    <row r="1136" ht="18.75" customHeight="1">
      <c r="A1136" s="1110"/>
      <c r="B1136" s="1115" t="s">
        <v>6336</v>
      </c>
      <c r="C1136" s="1108" t="s">
        <v>5753</v>
      </c>
      <c r="D1136" s="1108" t="s">
        <v>1238</v>
      </c>
      <c r="E1136" s="1116" t="s">
        <v>6405</v>
      </c>
      <c r="F1136" s="1117">
        <v>0.1</v>
      </c>
      <c r="G1136" s="1109">
        <v>0.0</v>
      </c>
      <c r="H1136" s="1118">
        <v>24400.0</v>
      </c>
      <c r="I1136" s="1118">
        <f t="shared" si="1"/>
        <v>22180</v>
      </c>
      <c r="J1136" s="1110"/>
    </row>
    <row r="1137" ht="18.75" customHeight="1">
      <c r="A1137" s="1110"/>
      <c r="B1137" s="1115" t="s">
        <v>6336</v>
      </c>
      <c r="C1137" s="1108" t="s">
        <v>5753</v>
      </c>
      <c r="D1137" s="1108" t="s">
        <v>6406</v>
      </c>
      <c r="E1137" s="1116" t="s">
        <v>6407</v>
      </c>
      <c r="F1137" s="1117">
        <v>0.1</v>
      </c>
      <c r="G1137" s="1109">
        <v>0.0</v>
      </c>
      <c r="H1137" s="1118">
        <v>23500.0</v>
      </c>
      <c r="I1137" s="1118">
        <f t="shared" si="1"/>
        <v>21360</v>
      </c>
      <c r="J1137" s="1110"/>
    </row>
    <row r="1138" ht="18.75" customHeight="1">
      <c r="A1138" s="1110"/>
      <c r="B1138" s="1115" t="s">
        <v>6336</v>
      </c>
      <c r="C1138" s="1108" t="s">
        <v>5753</v>
      </c>
      <c r="D1138" s="1108" t="s">
        <v>6408</v>
      </c>
      <c r="E1138" s="1116" t="s">
        <v>6409</v>
      </c>
      <c r="F1138" s="1117">
        <v>0.1</v>
      </c>
      <c r="G1138" s="1109">
        <v>0.0</v>
      </c>
      <c r="H1138" s="1118">
        <v>25300.0</v>
      </c>
      <c r="I1138" s="1118">
        <f t="shared" si="1"/>
        <v>23000</v>
      </c>
      <c r="J1138" s="1110"/>
    </row>
    <row r="1139" ht="18.75" customHeight="1">
      <c r="A1139" s="1110"/>
      <c r="B1139" s="1115" t="s">
        <v>6336</v>
      </c>
      <c r="C1139" s="1108" t="s">
        <v>5753</v>
      </c>
      <c r="D1139" s="1108" t="s">
        <v>1244</v>
      </c>
      <c r="E1139" s="1116" t="s">
        <v>6410</v>
      </c>
      <c r="F1139" s="1117">
        <v>0.1</v>
      </c>
      <c r="G1139" s="1109">
        <v>0.0</v>
      </c>
      <c r="H1139" s="1118">
        <v>33700.0</v>
      </c>
      <c r="I1139" s="1118">
        <f t="shared" si="1"/>
        <v>30640</v>
      </c>
      <c r="J1139" s="1110"/>
    </row>
    <row r="1140" ht="18.75" customHeight="1">
      <c r="A1140" s="1110"/>
      <c r="B1140" s="1115" t="s">
        <v>6336</v>
      </c>
      <c r="C1140" s="1108" t="s">
        <v>5753</v>
      </c>
      <c r="D1140" s="1108" t="s">
        <v>6411</v>
      </c>
      <c r="E1140" s="1116" t="s">
        <v>6412</v>
      </c>
      <c r="F1140" s="1117">
        <v>0.1</v>
      </c>
      <c r="G1140" s="1109">
        <v>0.0</v>
      </c>
      <c r="H1140" s="1116"/>
      <c r="I1140" s="1118" t="str">
        <f t="shared" si="1"/>
        <v/>
      </c>
      <c r="J1140" s="1110"/>
    </row>
    <row r="1141" ht="18.75" customHeight="1">
      <c r="A1141" s="1110"/>
      <c r="B1141" s="1115" t="s">
        <v>6336</v>
      </c>
      <c r="C1141" s="1108" t="s">
        <v>5753</v>
      </c>
      <c r="D1141" s="1108" t="s">
        <v>1250</v>
      </c>
      <c r="E1141" s="1116" t="s">
        <v>6413</v>
      </c>
      <c r="F1141" s="1117">
        <v>0.1</v>
      </c>
      <c r="G1141" s="1109">
        <v>0.0</v>
      </c>
      <c r="H1141" s="1118">
        <v>41800.0</v>
      </c>
      <c r="I1141" s="1118">
        <f t="shared" si="1"/>
        <v>38000</v>
      </c>
      <c r="J1141" s="1110"/>
    </row>
    <row r="1142" ht="18.75" customHeight="1">
      <c r="A1142" s="1110"/>
      <c r="B1142" s="1115" t="s">
        <v>6336</v>
      </c>
      <c r="C1142" s="1108" t="s">
        <v>5753</v>
      </c>
      <c r="D1142" s="1108" t="s">
        <v>6414</v>
      </c>
      <c r="E1142" s="1116" t="s">
        <v>6415</v>
      </c>
      <c r="F1142" s="1117">
        <v>0.1</v>
      </c>
      <c r="G1142" s="1109">
        <v>0.0</v>
      </c>
      <c r="H1142" s="1116"/>
      <c r="I1142" s="1118" t="str">
        <f t="shared" si="1"/>
        <v/>
      </c>
      <c r="J1142" s="1110"/>
    </row>
    <row r="1143" ht="18.75" customHeight="1">
      <c r="A1143" s="1110"/>
      <c r="B1143" s="1115" t="s">
        <v>6336</v>
      </c>
      <c r="C1143" s="1108" t="s">
        <v>5753</v>
      </c>
      <c r="D1143" s="1108" t="s">
        <v>6416</v>
      </c>
      <c r="E1143" s="1116" t="s">
        <v>6417</v>
      </c>
      <c r="F1143" s="1117">
        <v>0.1</v>
      </c>
      <c r="G1143" s="1109">
        <v>0.0</v>
      </c>
      <c r="H1143" s="1116"/>
      <c r="I1143" s="1118" t="str">
        <f t="shared" si="1"/>
        <v/>
      </c>
      <c r="J1143" s="1110"/>
    </row>
    <row r="1144" ht="18.75" customHeight="1">
      <c r="A1144" s="1110"/>
      <c r="B1144" s="1115" t="s">
        <v>6336</v>
      </c>
      <c r="C1144" s="1108" t="s">
        <v>5753</v>
      </c>
      <c r="D1144" s="1108" t="s">
        <v>6418</v>
      </c>
      <c r="E1144" s="1116" t="s">
        <v>6419</v>
      </c>
      <c r="F1144" s="1117">
        <v>0.1</v>
      </c>
      <c r="G1144" s="1109">
        <v>0.0</v>
      </c>
      <c r="H1144" s="1116"/>
      <c r="I1144" s="1118" t="str">
        <f t="shared" si="1"/>
        <v/>
      </c>
      <c r="J1144" s="1110"/>
    </row>
    <row r="1145" ht="18.75" customHeight="1">
      <c r="A1145" s="1110"/>
      <c r="B1145" s="1115" t="s">
        <v>6336</v>
      </c>
      <c r="C1145" s="1108" t="s">
        <v>5753</v>
      </c>
      <c r="D1145" s="1108" t="s">
        <v>1258</v>
      </c>
      <c r="E1145" s="1116" t="s">
        <v>6420</v>
      </c>
      <c r="F1145" s="1117">
        <v>0.1</v>
      </c>
      <c r="G1145" s="1109">
        <v>0.0</v>
      </c>
      <c r="H1145" s="1118">
        <v>55000.0</v>
      </c>
      <c r="I1145" s="1118">
        <f t="shared" si="1"/>
        <v>50000</v>
      </c>
      <c r="J1145" s="1110"/>
    </row>
    <row r="1146" ht="18.75" customHeight="1">
      <c r="A1146" s="1110"/>
      <c r="B1146" s="1115" t="s">
        <v>6336</v>
      </c>
      <c r="C1146" s="1108" t="s">
        <v>5753</v>
      </c>
      <c r="D1146" s="1108" t="s">
        <v>6421</v>
      </c>
      <c r="E1146" s="1116" t="s">
        <v>6422</v>
      </c>
      <c r="F1146" s="1117">
        <v>0.1</v>
      </c>
      <c r="G1146" s="1109">
        <v>0.0</v>
      </c>
      <c r="H1146" s="1116"/>
      <c r="I1146" s="1118" t="str">
        <f t="shared" si="1"/>
        <v/>
      </c>
      <c r="J1146" s="1110"/>
    </row>
    <row r="1147" ht="18.75" customHeight="1">
      <c r="A1147" s="1110"/>
      <c r="B1147" s="1115" t="s">
        <v>6336</v>
      </c>
      <c r="C1147" s="1108" t="s">
        <v>5753</v>
      </c>
      <c r="D1147" s="1108" t="s">
        <v>6423</v>
      </c>
      <c r="E1147" s="1116" t="s">
        <v>6424</v>
      </c>
      <c r="F1147" s="1117">
        <v>0.1</v>
      </c>
      <c r="G1147" s="1109">
        <v>0.0</v>
      </c>
      <c r="H1147" s="1116"/>
      <c r="I1147" s="1118" t="str">
        <f t="shared" si="1"/>
        <v/>
      </c>
      <c r="J1147" s="1110"/>
    </row>
    <row r="1148" ht="18.75" customHeight="1">
      <c r="A1148" s="1110"/>
      <c r="B1148" s="1115" t="s">
        <v>6336</v>
      </c>
      <c r="C1148" s="1108" t="s">
        <v>5753</v>
      </c>
      <c r="D1148" s="1108" t="s">
        <v>6425</v>
      </c>
      <c r="E1148" s="1116" t="s">
        <v>6426</v>
      </c>
      <c r="F1148" s="1117">
        <v>0.1</v>
      </c>
      <c r="G1148" s="1109">
        <v>0.0</v>
      </c>
      <c r="H1148" s="1118">
        <v>80700.0</v>
      </c>
      <c r="I1148" s="1118">
        <f t="shared" si="1"/>
        <v>73360</v>
      </c>
      <c r="J1148" s="1110"/>
    </row>
    <row r="1149" ht="18.75" customHeight="1">
      <c r="A1149" s="1110"/>
      <c r="B1149" s="1115" t="s">
        <v>6336</v>
      </c>
      <c r="C1149" s="1108" t="s">
        <v>5753</v>
      </c>
      <c r="D1149" s="1108" t="s">
        <v>6427</v>
      </c>
      <c r="E1149" s="1116" t="s">
        <v>6428</v>
      </c>
      <c r="F1149" s="1117">
        <v>0.1</v>
      </c>
      <c r="G1149" s="1109">
        <v>0.0</v>
      </c>
      <c r="H1149" s="1116"/>
      <c r="I1149" s="1118" t="str">
        <f t="shared" si="1"/>
        <v/>
      </c>
      <c r="J1149" s="1110"/>
    </row>
    <row r="1150" ht="18.75" customHeight="1">
      <c r="A1150" s="1110"/>
      <c r="B1150" s="1115" t="s">
        <v>6336</v>
      </c>
      <c r="C1150" s="1108" t="s">
        <v>5753</v>
      </c>
      <c r="D1150" s="1108" t="s">
        <v>6429</v>
      </c>
      <c r="E1150" s="1116" t="s">
        <v>6430</v>
      </c>
      <c r="F1150" s="1117">
        <v>0.1</v>
      </c>
      <c r="G1150" s="1109">
        <v>0.0</v>
      </c>
      <c r="H1150" s="1116"/>
      <c r="I1150" s="1118" t="str">
        <f t="shared" si="1"/>
        <v/>
      </c>
      <c r="J1150" s="1110"/>
    </row>
    <row r="1151" ht="18.75" customHeight="1">
      <c r="A1151" s="1110"/>
      <c r="B1151" s="1115" t="s">
        <v>6336</v>
      </c>
      <c r="C1151" s="1108" t="s">
        <v>5753</v>
      </c>
      <c r="D1151" s="1108" t="s">
        <v>6431</v>
      </c>
      <c r="E1151" s="1116" t="s">
        <v>6432</v>
      </c>
      <c r="F1151" s="1117">
        <v>0.1</v>
      </c>
      <c r="G1151" s="1109">
        <v>0.0</v>
      </c>
      <c r="H1151" s="1116"/>
      <c r="I1151" s="1118" t="str">
        <f t="shared" si="1"/>
        <v/>
      </c>
      <c r="J1151" s="1110"/>
    </row>
    <row r="1152" ht="18.75" customHeight="1">
      <c r="A1152" s="1110"/>
      <c r="B1152" s="1115" t="s">
        <v>6336</v>
      </c>
      <c r="C1152" s="1108" t="s">
        <v>5753</v>
      </c>
      <c r="D1152" s="1108" t="s">
        <v>6433</v>
      </c>
      <c r="E1152" s="1116" t="s">
        <v>6434</v>
      </c>
      <c r="F1152" s="1117">
        <v>0.1</v>
      </c>
      <c r="G1152" s="1109">
        <v>0.0</v>
      </c>
      <c r="H1152" s="1116"/>
      <c r="I1152" s="1118" t="str">
        <f t="shared" si="1"/>
        <v/>
      </c>
      <c r="J1152" s="1110"/>
    </row>
    <row r="1153" ht="18.75" customHeight="1">
      <c r="A1153" s="1110"/>
      <c r="B1153" s="1115" t="s">
        <v>6336</v>
      </c>
      <c r="C1153" s="1108" t="s">
        <v>5753</v>
      </c>
      <c r="D1153" s="1108" t="s">
        <v>6435</v>
      </c>
      <c r="E1153" s="1116" t="s">
        <v>6436</v>
      </c>
      <c r="F1153" s="1117">
        <v>0.1</v>
      </c>
      <c r="G1153" s="1109">
        <v>0.0</v>
      </c>
      <c r="H1153" s="1118">
        <v>113600.0</v>
      </c>
      <c r="I1153" s="1118">
        <f t="shared" si="1"/>
        <v>103270</v>
      </c>
      <c r="J1153" s="1110"/>
    </row>
    <row r="1154" ht="18.75" customHeight="1">
      <c r="A1154" s="1110"/>
      <c r="B1154" s="1115" t="s">
        <v>6336</v>
      </c>
      <c r="C1154" s="1108" t="s">
        <v>5753</v>
      </c>
      <c r="D1154" s="1108" t="s">
        <v>6437</v>
      </c>
      <c r="E1154" s="1116" t="s">
        <v>6438</v>
      </c>
      <c r="F1154" s="1117">
        <v>0.1</v>
      </c>
      <c r="G1154" s="1109">
        <v>0.0</v>
      </c>
      <c r="H1154" s="1116"/>
      <c r="I1154" s="1118" t="str">
        <f t="shared" si="1"/>
        <v/>
      </c>
      <c r="J1154" s="1110"/>
    </row>
    <row r="1155" ht="18.75" customHeight="1">
      <c r="A1155" s="1110"/>
      <c r="B1155" s="1115" t="s">
        <v>6336</v>
      </c>
      <c r="C1155" s="1108" t="s">
        <v>5753</v>
      </c>
      <c r="D1155" s="1108" t="s">
        <v>6439</v>
      </c>
      <c r="E1155" s="1116" t="s">
        <v>6440</v>
      </c>
      <c r="F1155" s="1117">
        <v>0.1</v>
      </c>
      <c r="G1155" s="1109">
        <v>0.0</v>
      </c>
      <c r="H1155" s="1116"/>
      <c r="I1155" s="1118" t="str">
        <f t="shared" si="1"/>
        <v/>
      </c>
      <c r="J1155" s="1110"/>
    </row>
    <row r="1156" ht="18.75" customHeight="1">
      <c r="A1156" s="1110"/>
      <c r="B1156" s="1115" t="s">
        <v>6336</v>
      </c>
      <c r="C1156" s="1108" t="s">
        <v>5753</v>
      </c>
      <c r="D1156" s="1108" t="s">
        <v>6441</v>
      </c>
      <c r="E1156" s="1116" t="s">
        <v>6442</v>
      </c>
      <c r="F1156" s="1117">
        <v>0.1</v>
      </c>
      <c r="G1156" s="1109">
        <v>0.0</v>
      </c>
      <c r="H1156" s="1116"/>
      <c r="I1156" s="1118" t="str">
        <f t="shared" si="1"/>
        <v/>
      </c>
      <c r="J1156" s="1110"/>
    </row>
    <row r="1157" ht="18.75" customHeight="1">
      <c r="A1157" s="1110"/>
      <c r="B1157" s="1115" t="s">
        <v>6336</v>
      </c>
      <c r="C1157" s="1108" t="s">
        <v>5753</v>
      </c>
      <c r="D1157" s="1108" t="s">
        <v>6443</v>
      </c>
      <c r="E1157" s="1116" t="s">
        <v>6444</v>
      </c>
      <c r="F1157" s="1117">
        <v>0.1</v>
      </c>
      <c r="G1157" s="1109">
        <v>0.0</v>
      </c>
      <c r="H1157" s="1116"/>
      <c r="I1157" s="1118" t="str">
        <f t="shared" si="1"/>
        <v/>
      </c>
      <c r="J1157" s="1110"/>
    </row>
    <row r="1158" ht="18.75" customHeight="1">
      <c r="A1158" s="1110"/>
      <c r="B1158" s="1115" t="s">
        <v>6336</v>
      </c>
      <c r="C1158" s="1108" t="s">
        <v>5753</v>
      </c>
      <c r="D1158" s="1108" t="s">
        <v>6445</v>
      </c>
      <c r="E1158" s="1116" t="s">
        <v>6446</v>
      </c>
      <c r="F1158" s="1117">
        <v>0.1</v>
      </c>
      <c r="G1158" s="1109">
        <v>0.0</v>
      </c>
      <c r="H1158" s="1116"/>
      <c r="I1158" s="1118" t="str">
        <f t="shared" si="1"/>
        <v/>
      </c>
      <c r="J1158" s="1110"/>
    </row>
    <row r="1159" ht="18.75" customHeight="1">
      <c r="A1159" s="1110"/>
      <c r="B1159" s="1115" t="s">
        <v>6336</v>
      </c>
      <c r="C1159" s="1108" t="s">
        <v>5753</v>
      </c>
      <c r="D1159" s="1108" t="s">
        <v>6447</v>
      </c>
      <c r="E1159" s="1116" t="s">
        <v>6448</v>
      </c>
      <c r="F1159" s="1117">
        <v>0.1</v>
      </c>
      <c r="G1159" s="1109">
        <v>0.0</v>
      </c>
      <c r="H1159" s="1116"/>
      <c r="I1159" s="1118" t="str">
        <f t="shared" si="1"/>
        <v/>
      </c>
      <c r="J1159" s="1110"/>
    </row>
    <row r="1160" ht="18.75" customHeight="1">
      <c r="A1160" s="1110"/>
      <c r="B1160" s="1115" t="s">
        <v>6336</v>
      </c>
      <c r="C1160" s="1108" t="s">
        <v>5753</v>
      </c>
      <c r="D1160" s="1108" t="s">
        <v>1240</v>
      </c>
      <c r="E1160" s="1116" t="s">
        <v>6449</v>
      </c>
      <c r="F1160" s="1117">
        <v>0.1</v>
      </c>
      <c r="G1160" s="1109">
        <v>0.0</v>
      </c>
      <c r="H1160" s="1118">
        <v>50900.0</v>
      </c>
      <c r="I1160" s="1118">
        <f t="shared" si="1"/>
        <v>46270</v>
      </c>
      <c r="J1160" s="1110"/>
    </row>
    <row r="1161" ht="18.75" customHeight="1">
      <c r="A1161" s="1110"/>
      <c r="B1161" s="1115" t="s">
        <v>6336</v>
      </c>
      <c r="C1161" s="1108" t="s">
        <v>5753</v>
      </c>
      <c r="D1161" s="1108" t="s">
        <v>1246</v>
      </c>
      <c r="E1161" s="1116" t="s">
        <v>6450</v>
      </c>
      <c r="F1161" s="1117">
        <v>0.1</v>
      </c>
      <c r="G1161" s="1109">
        <v>0.0</v>
      </c>
      <c r="H1161" s="1118">
        <v>56000.0</v>
      </c>
      <c r="I1161" s="1118">
        <f t="shared" si="1"/>
        <v>50910</v>
      </c>
      <c r="J1161" s="1110"/>
    </row>
    <row r="1162" ht="18.75" customHeight="1">
      <c r="A1162" s="1110"/>
      <c r="B1162" s="1115" t="s">
        <v>6336</v>
      </c>
      <c r="C1162" s="1108" t="s">
        <v>5753</v>
      </c>
      <c r="D1162" s="1108" t="s">
        <v>6451</v>
      </c>
      <c r="E1162" s="1116" t="s">
        <v>6452</v>
      </c>
      <c r="F1162" s="1117">
        <v>0.1</v>
      </c>
      <c r="G1162" s="1109">
        <v>0.0</v>
      </c>
      <c r="H1162" s="1116"/>
      <c r="I1162" s="1118" t="str">
        <f t="shared" si="1"/>
        <v/>
      </c>
      <c r="J1162" s="1110"/>
    </row>
    <row r="1163" ht="18.75" customHeight="1">
      <c r="A1163" s="1110"/>
      <c r="B1163" s="1115" t="s">
        <v>6336</v>
      </c>
      <c r="C1163" s="1108" t="s">
        <v>5753</v>
      </c>
      <c r="D1163" s="1108" t="s">
        <v>6453</v>
      </c>
      <c r="E1163" s="1116" t="s">
        <v>6454</v>
      </c>
      <c r="F1163" s="1117">
        <v>0.1</v>
      </c>
      <c r="G1163" s="1109">
        <v>0.0</v>
      </c>
      <c r="H1163" s="1116"/>
      <c r="I1163" s="1118" t="str">
        <f t="shared" si="1"/>
        <v/>
      </c>
      <c r="J1163" s="1110"/>
    </row>
    <row r="1164" ht="18.75" customHeight="1">
      <c r="A1164" s="1110"/>
      <c r="B1164" s="1115" t="s">
        <v>6336</v>
      </c>
      <c r="C1164" s="1108" t="s">
        <v>5753</v>
      </c>
      <c r="D1164" s="1108" t="s">
        <v>6455</v>
      </c>
      <c r="E1164" s="1116" t="s">
        <v>6456</v>
      </c>
      <c r="F1164" s="1117">
        <v>0.1</v>
      </c>
      <c r="G1164" s="1109">
        <v>0.0</v>
      </c>
      <c r="H1164" s="1116"/>
      <c r="I1164" s="1118" t="str">
        <f t="shared" si="1"/>
        <v/>
      </c>
      <c r="J1164" s="1110"/>
    </row>
    <row r="1165" ht="18.75" customHeight="1">
      <c r="A1165" s="1110"/>
      <c r="B1165" s="1115" t="s">
        <v>6336</v>
      </c>
      <c r="C1165" s="1108" t="s">
        <v>5753</v>
      </c>
      <c r="D1165" s="1108" t="s">
        <v>1254</v>
      </c>
      <c r="E1165" s="1116" t="s">
        <v>6457</v>
      </c>
      <c r="F1165" s="1117">
        <v>0.1</v>
      </c>
      <c r="G1165" s="1109">
        <v>0.0</v>
      </c>
      <c r="H1165" s="1118">
        <v>72300.0</v>
      </c>
      <c r="I1165" s="1118">
        <f t="shared" si="1"/>
        <v>65730</v>
      </c>
      <c r="J1165" s="1110"/>
    </row>
    <row r="1166" ht="18.75" customHeight="1">
      <c r="A1166" s="1110"/>
      <c r="B1166" s="1115" t="s">
        <v>6336</v>
      </c>
      <c r="C1166" s="1108" t="s">
        <v>5753</v>
      </c>
      <c r="D1166" s="1108" t="s">
        <v>6458</v>
      </c>
      <c r="E1166" s="1116" t="s">
        <v>6459</v>
      </c>
      <c r="F1166" s="1117">
        <v>0.1</v>
      </c>
      <c r="G1166" s="1109">
        <v>0.0</v>
      </c>
      <c r="H1166" s="1116"/>
      <c r="I1166" s="1118" t="str">
        <f t="shared" si="1"/>
        <v/>
      </c>
      <c r="J1166" s="1110"/>
    </row>
    <row r="1167" ht="18.75" customHeight="1">
      <c r="A1167" s="1110"/>
      <c r="B1167" s="1115" t="s">
        <v>6336</v>
      </c>
      <c r="C1167" s="1108" t="s">
        <v>5753</v>
      </c>
      <c r="D1167" s="1108" t="s">
        <v>6460</v>
      </c>
      <c r="E1167" s="1116" t="s">
        <v>6461</v>
      </c>
      <c r="F1167" s="1117">
        <v>0.1</v>
      </c>
      <c r="G1167" s="1109">
        <v>0.0</v>
      </c>
      <c r="H1167" s="1116"/>
      <c r="I1167" s="1118" t="str">
        <f t="shared" si="1"/>
        <v/>
      </c>
      <c r="J1167" s="1110"/>
    </row>
    <row r="1168" ht="18.75" customHeight="1">
      <c r="A1168" s="1110"/>
      <c r="B1168" s="1115" t="s">
        <v>6336</v>
      </c>
      <c r="C1168" s="1108" t="s">
        <v>5753</v>
      </c>
      <c r="D1168" s="1108" t="s">
        <v>6462</v>
      </c>
      <c r="E1168" s="1116" t="s">
        <v>6463</v>
      </c>
      <c r="F1168" s="1117">
        <v>0.1</v>
      </c>
      <c r="G1168" s="1109">
        <v>0.0</v>
      </c>
      <c r="H1168" s="1116"/>
      <c r="I1168" s="1118" t="str">
        <f t="shared" si="1"/>
        <v/>
      </c>
      <c r="J1168" s="1110"/>
    </row>
    <row r="1169" ht="18.75" customHeight="1">
      <c r="A1169" s="1110"/>
      <c r="B1169" s="1115" t="s">
        <v>6336</v>
      </c>
      <c r="C1169" s="1108" t="s">
        <v>5753</v>
      </c>
      <c r="D1169" s="1108" t="s">
        <v>6464</v>
      </c>
      <c r="E1169" s="1116" t="s">
        <v>6465</v>
      </c>
      <c r="F1169" s="1117">
        <v>0.1</v>
      </c>
      <c r="G1169" s="1109">
        <v>0.0</v>
      </c>
      <c r="H1169" s="1116"/>
      <c r="I1169" s="1118" t="str">
        <f t="shared" si="1"/>
        <v/>
      </c>
      <c r="J1169" s="1110"/>
    </row>
    <row r="1170" ht="18.75" customHeight="1">
      <c r="A1170" s="1110"/>
      <c r="B1170" s="1115" t="s">
        <v>6336</v>
      </c>
      <c r="C1170" s="1108" t="s">
        <v>5753</v>
      </c>
      <c r="D1170" s="1108" t="s">
        <v>6466</v>
      </c>
      <c r="E1170" s="1116" t="s">
        <v>6467</v>
      </c>
      <c r="F1170" s="1117">
        <v>0.1</v>
      </c>
      <c r="G1170" s="1109">
        <v>0.0</v>
      </c>
      <c r="H1170" s="1116"/>
      <c r="I1170" s="1118" t="str">
        <f t="shared" si="1"/>
        <v/>
      </c>
      <c r="J1170" s="1110"/>
    </row>
    <row r="1171" ht="18.75" customHeight="1">
      <c r="A1171" s="1110"/>
      <c r="B1171" s="1115" t="s">
        <v>6336</v>
      </c>
      <c r="C1171" s="1108" t="s">
        <v>5753</v>
      </c>
      <c r="D1171" s="1108" t="s">
        <v>6468</v>
      </c>
      <c r="E1171" s="1116" t="s">
        <v>6469</v>
      </c>
      <c r="F1171" s="1117">
        <v>0.1</v>
      </c>
      <c r="G1171" s="1109">
        <v>0.0</v>
      </c>
      <c r="H1171" s="1116"/>
      <c r="I1171" s="1118" t="str">
        <f t="shared" si="1"/>
        <v/>
      </c>
      <c r="J1171" s="1110"/>
    </row>
    <row r="1172" ht="18.75" customHeight="1">
      <c r="A1172" s="1110"/>
      <c r="B1172" s="1115" t="s">
        <v>6336</v>
      </c>
      <c r="C1172" s="1108" t="s">
        <v>5753</v>
      </c>
      <c r="D1172" s="1108" t="s">
        <v>6470</v>
      </c>
      <c r="E1172" s="1116" t="s">
        <v>6471</v>
      </c>
      <c r="F1172" s="1117">
        <v>0.1</v>
      </c>
      <c r="G1172" s="1109">
        <v>0.0</v>
      </c>
      <c r="H1172" s="1116"/>
      <c r="I1172" s="1118" t="str">
        <f t="shared" si="1"/>
        <v/>
      </c>
      <c r="J1172" s="1110"/>
    </row>
    <row r="1173" ht="18.75" customHeight="1">
      <c r="A1173" s="1110"/>
      <c r="B1173" s="1115" t="s">
        <v>6336</v>
      </c>
      <c r="C1173" s="1108" t="s">
        <v>5753</v>
      </c>
      <c r="D1173" s="1108" t="s">
        <v>6472</v>
      </c>
      <c r="E1173" s="1116" t="s">
        <v>6473</v>
      </c>
      <c r="F1173" s="1117">
        <v>0.1</v>
      </c>
      <c r="G1173" s="1109">
        <v>0.0</v>
      </c>
      <c r="H1173" s="1116"/>
      <c r="I1173" s="1118" t="str">
        <f t="shared" si="1"/>
        <v/>
      </c>
      <c r="J1173" s="1110"/>
    </row>
    <row r="1174" ht="18.75" customHeight="1">
      <c r="A1174" s="1110"/>
      <c r="B1174" s="1115" t="s">
        <v>6336</v>
      </c>
      <c r="C1174" s="1108" t="s">
        <v>5753</v>
      </c>
      <c r="D1174" s="1108" t="s">
        <v>6474</v>
      </c>
      <c r="E1174" s="1116" t="s">
        <v>6475</v>
      </c>
      <c r="F1174" s="1117">
        <v>0.1</v>
      </c>
      <c r="G1174" s="1109">
        <v>0.0</v>
      </c>
      <c r="H1174" s="1116"/>
      <c r="I1174" s="1118" t="str">
        <f t="shared" si="1"/>
        <v/>
      </c>
      <c r="J1174" s="1110"/>
    </row>
    <row r="1175" ht="18.75" customHeight="1">
      <c r="A1175" s="1110"/>
      <c r="B1175" s="1115" t="s">
        <v>6336</v>
      </c>
      <c r="C1175" s="1108" t="s">
        <v>5753</v>
      </c>
      <c r="D1175" s="1108" t="s">
        <v>6476</v>
      </c>
      <c r="E1175" s="1116" t="s">
        <v>6477</v>
      </c>
      <c r="F1175" s="1117">
        <v>0.1</v>
      </c>
      <c r="G1175" s="1109">
        <v>0.0</v>
      </c>
      <c r="H1175" s="1116"/>
      <c r="I1175" s="1118" t="str">
        <f t="shared" si="1"/>
        <v/>
      </c>
      <c r="J1175" s="1110"/>
    </row>
    <row r="1176" ht="18.75" customHeight="1">
      <c r="A1176" s="1110"/>
      <c r="B1176" s="1115" t="s">
        <v>6336</v>
      </c>
      <c r="C1176" s="1108" t="s">
        <v>5753</v>
      </c>
      <c r="D1176" s="1108" t="s">
        <v>6478</v>
      </c>
      <c r="E1176" s="1116" t="s">
        <v>6479</v>
      </c>
      <c r="F1176" s="1117">
        <v>0.1</v>
      </c>
      <c r="G1176" s="1109">
        <v>0.0</v>
      </c>
      <c r="H1176" s="1116"/>
      <c r="I1176" s="1118" t="str">
        <f t="shared" si="1"/>
        <v/>
      </c>
      <c r="J1176" s="1110"/>
    </row>
    <row r="1177" ht="18.75" customHeight="1">
      <c r="A1177" s="1110"/>
      <c r="B1177" s="1115" t="s">
        <v>6336</v>
      </c>
      <c r="C1177" s="1108" t="s">
        <v>5753</v>
      </c>
      <c r="D1177" s="1108" t="s">
        <v>6480</v>
      </c>
      <c r="E1177" s="1116" t="s">
        <v>6481</v>
      </c>
      <c r="F1177" s="1117">
        <v>0.1</v>
      </c>
      <c r="G1177" s="1109">
        <v>0.0</v>
      </c>
      <c r="H1177" s="1116"/>
      <c r="I1177" s="1118" t="str">
        <f t="shared" si="1"/>
        <v/>
      </c>
      <c r="J1177" s="1110"/>
    </row>
    <row r="1178" ht="18.75" customHeight="1">
      <c r="A1178" s="1110"/>
      <c r="B1178" s="1115" t="s">
        <v>6336</v>
      </c>
      <c r="C1178" s="1108" t="s">
        <v>5753</v>
      </c>
      <c r="D1178" s="1108" t="s">
        <v>6482</v>
      </c>
      <c r="E1178" s="1116" t="s">
        <v>6483</v>
      </c>
      <c r="F1178" s="1117">
        <v>0.1</v>
      </c>
      <c r="G1178" s="1109">
        <v>0.0</v>
      </c>
      <c r="H1178" s="1116"/>
      <c r="I1178" s="1118" t="str">
        <f t="shared" si="1"/>
        <v/>
      </c>
      <c r="J1178" s="1110"/>
    </row>
    <row r="1179" ht="18.75" customHeight="1">
      <c r="A1179" s="1110"/>
      <c r="B1179" s="1115" t="s">
        <v>6336</v>
      </c>
      <c r="C1179" s="1108" t="s">
        <v>5753</v>
      </c>
      <c r="D1179" s="1108" t="s">
        <v>6484</v>
      </c>
      <c r="E1179" s="1116" t="s">
        <v>6485</v>
      </c>
      <c r="F1179" s="1117">
        <v>0.1</v>
      </c>
      <c r="G1179" s="1109">
        <v>0.0</v>
      </c>
      <c r="H1179" s="1116"/>
      <c r="I1179" s="1118" t="str">
        <f t="shared" si="1"/>
        <v/>
      </c>
      <c r="J1179" s="1110"/>
    </row>
    <row r="1180" ht="18.75" customHeight="1">
      <c r="A1180" s="1110"/>
      <c r="B1180" s="1115" t="s">
        <v>6336</v>
      </c>
      <c r="C1180" s="1108" t="s">
        <v>5753</v>
      </c>
      <c r="D1180" s="1108" t="s">
        <v>6486</v>
      </c>
      <c r="E1180" s="1116" t="s">
        <v>6487</v>
      </c>
      <c r="F1180" s="1117">
        <v>0.1</v>
      </c>
      <c r="G1180" s="1109">
        <v>0.0</v>
      </c>
      <c r="H1180" s="1116"/>
      <c r="I1180" s="1118" t="str">
        <f t="shared" si="1"/>
        <v/>
      </c>
      <c r="J1180" s="1110"/>
    </row>
    <row r="1181" ht="18.75" customHeight="1">
      <c r="A1181" s="1110"/>
      <c r="B1181" s="1115" t="s">
        <v>6336</v>
      </c>
      <c r="C1181" s="1108" t="s">
        <v>5753</v>
      </c>
      <c r="D1181" s="1108" t="s">
        <v>6488</v>
      </c>
      <c r="E1181" s="1116" t="s">
        <v>6489</v>
      </c>
      <c r="F1181" s="1117">
        <v>0.1</v>
      </c>
      <c r="G1181" s="1109">
        <v>0.0</v>
      </c>
      <c r="H1181" s="1116"/>
      <c r="I1181" s="1118" t="str">
        <f t="shared" si="1"/>
        <v/>
      </c>
      <c r="J1181" s="1110"/>
    </row>
    <row r="1182" ht="18.75" customHeight="1">
      <c r="A1182" s="1110"/>
      <c r="B1182" s="1115" t="s">
        <v>6336</v>
      </c>
      <c r="C1182" s="1108" t="s">
        <v>5753</v>
      </c>
      <c r="D1182" s="1108" t="s">
        <v>6490</v>
      </c>
      <c r="E1182" s="1116" t="s">
        <v>6491</v>
      </c>
      <c r="F1182" s="1117">
        <v>0.1</v>
      </c>
      <c r="G1182" s="1109">
        <v>0.0</v>
      </c>
      <c r="H1182" s="1116"/>
      <c r="I1182" s="1118" t="str">
        <f t="shared" si="1"/>
        <v/>
      </c>
      <c r="J1182" s="1110"/>
    </row>
    <row r="1183" ht="18.75" customHeight="1">
      <c r="A1183" s="1110"/>
      <c r="B1183" s="1115" t="s">
        <v>6336</v>
      </c>
      <c r="C1183" s="1108" t="s">
        <v>5753</v>
      </c>
      <c r="D1183" s="1108" t="s">
        <v>6492</v>
      </c>
      <c r="E1183" s="1116" t="s">
        <v>6493</v>
      </c>
      <c r="F1183" s="1117">
        <v>0.1</v>
      </c>
      <c r="G1183" s="1109">
        <v>0.0</v>
      </c>
      <c r="H1183" s="1116"/>
      <c r="I1183" s="1118" t="str">
        <f t="shared" si="1"/>
        <v/>
      </c>
      <c r="J1183" s="1110"/>
    </row>
    <row r="1184" ht="18.75" customHeight="1">
      <c r="A1184" s="1110"/>
      <c r="B1184" s="1115" t="s">
        <v>6336</v>
      </c>
      <c r="C1184" s="1108" t="s">
        <v>5753</v>
      </c>
      <c r="D1184" s="1108" t="s">
        <v>6494</v>
      </c>
      <c r="E1184" s="1116" t="s">
        <v>6495</v>
      </c>
      <c r="F1184" s="1117">
        <v>0.1</v>
      </c>
      <c r="G1184" s="1109">
        <v>0.0</v>
      </c>
      <c r="H1184" s="1116"/>
      <c r="I1184" s="1118" t="str">
        <f t="shared" si="1"/>
        <v/>
      </c>
      <c r="J1184" s="1110"/>
    </row>
    <row r="1185" ht="18.75" customHeight="1">
      <c r="A1185" s="1110"/>
      <c r="B1185" s="1115" t="s">
        <v>6336</v>
      </c>
      <c r="C1185" s="1108" t="s">
        <v>5753</v>
      </c>
      <c r="D1185" s="1108" t="s">
        <v>6496</v>
      </c>
      <c r="E1185" s="1116" t="s">
        <v>6497</v>
      </c>
      <c r="F1185" s="1117">
        <v>0.1</v>
      </c>
      <c r="G1185" s="1109">
        <v>0.0</v>
      </c>
      <c r="H1185" s="1116"/>
      <c r="I1185" s="1118" t="str">
        <f t="shared" si="1"/>
        <v/>
      </c>
      <c r="J1185" s="1110"/>
    </row>
    <row r="1186" ht="18.75" customHeight="1">
      <c r="A1186" s="1110"/>
      <c r="B1186" s="1115" t="s">
        <v>6336</v>
      </c>
      <c r="C1186" s="1108" t="s">
        <v>5753</v>
      </c>
      <c r="D1186" s="1108" t="s">
        <v>6498</v>
      </c>
      <c r="E1186" s="1116" t="s">
        <v>6499</v>
      </c>
      <c r="F1186" s="1117">
        <v>0.1</v>
      </c>
      <c r="G1186" s="1109">
        <v>0.0</v>
      </c>
      <c r="H1186" s="1116"/>
      <c r="I1186" s="1118" t="str">
        <f t="shared" si="1"/>
        <v/>
      </c>
      <c r="J1186" s="1110"/>
    </row>
    <row r="1187" ht="18.75" customHeight="1">
      <c r="A1187" s="1110"/>
      <c r="B1187" s="1115" t="s">
        <v>6336</v>
      </c>
      <c r="C1187" s="1108" t="s">
        <v>5753</v>
      </c>
      <c r="D1187" s="1108" t="s">
        <v>6500</v>
      </c>
      <c r="E1187" s="1116" t="s">
        <v>6501</v>
      </c>
      <c r="F1187" s="1117">
        <v>0.1</v>
      </c>
      <c r="G1187" s="1109">
        <v>0.0</v>
      </c>
      <c r="H1187" s="1116"/>
      <c r="I1187" s="1118" t="str">
        <f t="shared" si="1"/>
        <v/>
      </c>
      <c r="J1187" s="1110"/>
    </row>
    <row r="1188" ht="18.75" customHeight="1">
      <c r="A1188" s="1110"/>
      <c r="B1188" s="1115" t="s">
        <v>6336</v>
      </c>
      <c r="C1188" s="1108" t="s">
        <v>5753</v>
      </c>
      <c r="D1188" s="1108" t="s">
        <v>6502</v>
      </c>
      <c r="E1188" s="1116" t="s">
        <v>6503</v>
      </c>
      <c r="F1188" s="1117">
        <v>0.1</v>
      </c>
      <c r="G1188" s="1109">
        <v>0.0</v>
      </c>
      <c r="H1188" s="1116"/>
      <c r="I1188" s="1118" t="str">
        <f t="shared" si="1"/>
        <v/>
      </c>
      <c r="J1188" s="1110"/>
    </row>
    <row r="1189" ht="18.75" customHeight="1">
      <c r="A1189" s="1110"/>
      <c r="B1189" s="1115" t="s">
        <v>6336</v>
      </c>
      <c r="C1189" s="1108" t="s">
        <v>5753</v>
      </c>
      <c r="D1189" s="1108" t="s">
        <v>6504</v>
      </c>
      <c r="E1189" s="1116" t="s">
        <v>6505</v>
      </c>
      <c r="F1189" s="1117">
        <v>0.1</v>
      </c>
      <c r="G1189" s="1109">
        <v>0.0</v>
      </c>
      <c r="H1189" s="1118"/>
      <c r="I1189" s="1118" t="str">
        <f t="shared" si="1"/>
        <v/>
      </c>
      <c r="J1189" s="1110"/>
    </row>
    <row r="1190" ht="18.75" customHeight="1">
      <c r="A1190" s="1110"/>
      <c r="B1190" s="1115" t="s">
        <v>6336</v>
      </c>
      <c r="C1190" s="1108" t="s">
        <v>5753</v>
      </c>
      <c r="D1190" s="1108" t="s">
        <v>6506</v>
      </c>
      <c r="E1190" s="1116" t="s">
        <v>6507</v>
      </c>
      <c r="F1190" s="1117">
        <v>0.1</v>
      </c>
      <c r="G1190" s="1109">
        <v>0.0</v>
      </c>
      <c r="H1190" s="1116"/>
      <c r="I1190" s="1118" t="str">
        <f t="shared" si="1"/>
        <v/>
      </c>
      <c r="J1190" s="1110"/>
    </row>
    <row r="1191" ht="18.75" customHeight="1">
      <c r="A1191" s="1110"/>
      <c r="B1191" s="1115" t="s">
        <v>6336</v>
      </c>
      <c r="C1191" s="1108" t="s">
        <v>5753</v>
      </c>
      <c r="D1191" s="1108" t="s">
        <v>6508</v>
      </c>
      <c r="E1191" s="1116" t="s">
        <v>6509</v>
      </c>
      <c r="F1191" s="1117">
        <v>0.1</v>
      </c>
      <c r="G1191" s="1109">
        <v>0.0</v>
      </c>
      <c r="H1191" s="1116"/>
      <c r="I1191" s="1118" t="str">
        <f t="shared" si="1"/>
        <v/>
      </c>
      <c r="J1191" s="1110"/>
    </row>
    <row r="1192" ht="18.75" customHeight="1">
      <c r="A1192" s="1110"/>
      <c r="B1192" s="1115" t="s">
        <v>6336</v>
      </c>
      <c r="C1192" s="1108" t="s">
        <v>5753</v>
      </c>
      <c r="D1192" s="1108" t="s">
        <v>6510</v>
      </c>
      <c r="E1192" s="1116" t="s">
        <v>6511</v>
      </c>
      <c r="F1192" s="1117">
        <v>0.1</v>
      </c>
      <c r="G1192" s="1109">
        <v>0.0</v>
      </c>
      <c r="H1192" s="1116"/>
      <c r="I1192" s="1118" t="str">
        <f t="shared" si="1"/>
        <v/>
      </c>
      <c r="J1192" s="1110"/>
    </row>
    <row r="1193" ht="18.75" customHeight="1">
      <c r="A1193" s="1110"/>
      <c r="B1193" s="1115" t="s">
        <v>6336</v>
      </c>
      <c r="C1193" s="1108" t="s">
        <v>5753</v>
      </c>
      <c r="D1193" s="1108" t="s">
        <v>6512</v>
      </c>
      <c r="E1193" s="1116" t="s">
        <v>6513</v>
      </c>
      <c r="F1193" s="1117">
        <v>0.1</v>
      </c>
      <c r="G1193" s="1109">
        <v>0.0</v>
      </c>
      <c r="H1193" s="1116"/>
      <c r="I1193" s="1118" t="str">
        <f t="shared" si="1"/>
        <v/>
      </c>
      <c r="J1193" s="1110"/>
    </row>
    <row r="1194" ht="18.75" customHeight="1">
      <c r="A1194" s="1110"/>
      <c r="B1194" s="1115" t="s">
        <v>6336</v>
      </c>
      <c r="C1194" s="1108" t="s">
        <v>5753</v>
      </c>
      <c r="D1194" s="1108" t="s">
        <v>6514</v>
      </c>
      <c r="E1194" s="1116" t="s">
        <v>6515</v>
      </c>
      <c r="F1194" s="1117">
        <v>0.1</v>
      </c>
      <c r="G1194" s="1109">
        <v>0.0</v>
      </c>
      <c r="H1194" s="1118"/>
      <c r="I1194" s="1118" t="str">
        <f t="shared" si="1"/>
        <v/>
      </c>
      <c r="J1194" s="1110"/>
    </row>
    <row r="1195" ht="18.75" customHeight="1">
      <c r="A1195" s="1110"/>
      <c r="B1195" s="1115" t="s">
        <v>6336</v>
      </c>
      <c r="C1195" s="1108" t="s">
        <v>5753</v>
      </c>
      <c r="D1195" s="1108" t="s">
        <v>6516</v>
      </c>
      <c r="E1195" s="1116" t="s">
        <v>6517</v>
      </c>
      <c r="F1195" s="1117">
        <v>0.1</v>
      </c>
      <c r="G1195" s="1109">
        <v>0.0</v>
      </c>
      <c r="H1195" s="1116"/>
      <c r="I1195" s="1118" t="str">
        <f t="shared" si="1"/>
        <v/>
      </c>
      <c r="J1195" s="1110"/>
    </row>
    <row r="1196" ht="18.75" customHeight="1">
      <c r="A1196" s="1110"/>
      <c r="B1196" s="1115" t="s">
        <v>6336</v>
      </c>
      <c r="C1196" s="1108" t="s">
        <v>5753</v>
      </c>
      <c r="D1196" s="1108" t="s">
        <v>6518</v>
      </c>
      <c r="E1196" s="1116" t="s">
        <v>6519</v>
      </c>
      <c r="F1196" s="1117">
        <v>0.1</v>
      </c>
      <c r="G1196" s="1109">
        <v>0.0</v>
      </c>
      <c r="H1196" s="1116"/>
      <c r="I1196" s="1118" t="str">
        <f t="shared" si="1"/>
        <v/>
      </c>
      <c r="J1196" s="1110"/>
    </row>
    <row r="1197" ht="18.75" customHeight="1">
      <c r="A1197" s="1110"/>
      <c r="B1197" s="1115" t="s">
        <v>6336</v>
      </c>
      <c r="C1197" s="1108" t="s">
        <v>5753</v>
      </c>
      <c r="D1197" s="1108" t="s">
        <v>6520</v>
      </c>
      <c r="E1197" s="1116" t="s">
        <v>6521</v>
      </c>
      <c r="F1197" s="1117">
        <v>0.1</v>
      </c>
      <c r="G1197" s="1109">
        <v>0.0</v>
      </c>
      <c r="H1197" s="1116"/>
      <c r="I1197" s="1118" t="str">
        <f t="shared" si="1"/>
        <v/>
      </c>
      <c r="J1197" s="1110"/>
    </row>
    <row r="1198" ht="18.75" customHeight="1">
      <c r="A1198" s="1110"/>
      <c r="B1198" s="1115" t="s">
        <v>6336</v>
      </c>
      <c r="C1198" s="1108" t="s">
        <v>5753</v>
      </c>
      <c r="D1198" s="1108" t="s">
        <v>6522</v>
      </c>
      <c r="E1198" s="1116" t="s">
        <v>6523</v>
      </c>
      <c r="F1198" s="1117">
        <v>0.1</v>
      </c>
      <c r="G1198" s="1109">
        <v>0.0</v>
      </c>
      <c r="H1198" s="1116"/>
      <c r="I1198" s="1118" t="str">
        <f t="shared" si="1"/>
        <v/>
      </c>
      <c r="J1198" s="1110"/>
    </row>
    <row r="1199" ht="18.75" customHeight="1">
      <c r="A1199" s="1110"/>
      <c r="B1199" s="1115" t="s">
        <v>6336</v>
      </c>
      <c r="C1199" s="1108" t="s">
        <v>5753</v>
      </c>
      <c r="D1199" s="1108" t="s">
        <v>6524</v>
      </c>
      <c r="E1199" s="1116" t="s">
        <v>6525</v>
      </c>
      <c r="F1199" s="1117">
        <v>0.1</v>
      </c>
      <c r="G1199" s="1109">
        <v>0.0</v>
      </c>
      <c r="H1199" s="1116"/>
      <c r="I1199" s="1118" t="str">
        <f t="shared" si="1"/>
        <v/>
      </c>
      <c r="J1199" s="1110"/>
    </row>
    <row r="1200" ht="18.75" customHeight="1">
      <c r="A1200" s="1110"/>
      <c r="B1200" s="1115" t="s">
        <v>6336</v>
      </c>
      <c r="C1200" s="1108" t="s">
        <v>5753</v>
      </c>
      <c r="D1200" s="1108" t="s">
        <v>6526</v>
      </c>
      <c r="E1200" s="1116" t="s">
        <v>6527</v>
      </c>
      <c r="F1200" s="1117">
        <v>0.1</v>
      </c>
      <c r="G1200" s="1109">
        <v>0.0</v>
      </c>
      <c r="H1200" s="1116"/>
      <c r="I1200" s="1118" t="str">
        <f t="shared" si="1"/>
        <v/>
      </c>
      <c r="J1200" s="1110"/>
    </row>
    <row r="1201" ht="18.75" customHeight="1">
      <c r="A1201" s="1110"/>
      <c r="B1201" s="1115" t="s">
        <v>6336</v>
      </c>
      <c r="C1201" s="1108" t="s">
        <v>5753</v>
      </c>
      <c r="D1201" s="1108" t="s">
        <v>6528</v>
      </c>
      <c r="E1201" s="1116" t="s">
        <v>6529</v>
      </c>
      <c r="F1201" s="1117">
        <v>0.1</v>
      </c>
      <c r="G1201" s="1109">
        <v>0.0</v>
      </c>
      <c r="H1201" s="1116"/>
      <c r="I1201" s="1118" t="str">
        <f t="shared" si="1"/>
        <v/>
      </c>
      <c r="J1201" s="1110"/>
    </row>
    <row r="1202" ht="18.75" customHeight="1">
      <c r="A1202" s="1110"/>
      <c r="B1202" s="1115" t="s">
        <v>6336</v>
      </c>
      <c r="C1202" s="1108" t="s">
        <v>5753</v>
      </c>
      <c r="D1202" s="1108" t="s">
        <v>6530</v>
      </c>
      <c r="E1202" s="1116" t="s">
        <v>6531</v>
      </c>
      <c r="F1202" s="1117">
        <v>0.1</v>
      </c>
      <c r="G1202" s="1109">
        <v>0.0</v>
      </c>
      <c r="H1202" s="1116"/>
      <c r="I1202" s="1118" t="str">
        <f t="shared" si="1"/>
        <v/>
      </c>
      <c r="J1202" s="1110"/>
    </row>
    <row r="1203" ht="18.75" customHeight="1">
      <c r="A1203" s="1110"/>
      <c r="B1203" s="1115" t="s">
        <v>6336</v>
      </c>
      <c r="C1203" s="1108" t="s">
        <v>5753</v>
      </c>
      <c r="D1203" s="1108" t="s">
        <v>6532</v>
      </c>
      <c r="E1203" s="1116" t="s">
        <v>6533</v>
      </c>
      <c r="F1203" s="1117">
        <v>0.1</v>
      </c>
      <c r="G1203" s="1109">
        <v>0.0</v>
      </c>
      <c r="H1203" s="1116"/>
      <c r="I1203" s="1118" t="str">
        <f t="shared" si="1"/>
        <v/>
      </c>
      <c r="J1203" s="1110"/>
    </row>
    <row r="1204" ht="18.75" customHeight="1">
      <c r="A1204" s="1110"/>
      <c r="B1204" s="1115" t="s">
        <v>6336</v>
      </c>
      <c r="C1204" s="1108" t="s">
        <v>5753</v>
      </c>
      <c r="D1204" s="1108" t="s">
        <v>6534</v>
      </c>
      <c r="E1204" s="1116" t="s">
        <v>6535</v>
      </c>
      <c r="F1204" s="1117">
        <v>0.1</v>
      </c>
      <c r="G1204" s="1109">
        <v>0.0</v>
      </c>
      <c r="H1204" s="1116"/>
      <c r="I1204" s="1118" t="str">
        <f t="shared" si="1"/>
        <v/>
      </c>
      <c r="J1204" s="1110"/>
    </row>
    <row r="1205" ht="18.75" customHeight="1">
      <c r="A1205" s="1110"/>
      <c r="B1205" s="1115" t="s">
        <v>6336</v>
      </c>
      <c r="C1205" s="1108" t="s">
        <v>5753</v>
      </c>
      <c r="D1205" s="1108" t="s">
        <v>6536</v>
      </c>
      <c r="E1205" s="1116" t="s">
        <v>6537</v>
      </c>
      <c r="F1205" s="1117">
        <v>0.1</v>
      </c>
      <c r="G1205" s="1109">
        <v>0.0</v>
      </c>
      <c r="H1205" s="1116"/>
      <c r="I1205" s="1118" t="str">
        <f t="shared" si="1"/>
        <v/>
      </c>
      <c r="J1205" s="1110"/>
    </row>
    <row r="1206" ht="18.75" customHeight="1">
      <c r="A1206" s="1110"/>
      <c r="B1206" s="1115" t="s">
        <v>6336</v>
      </c>
      <c r="C1206" s="1108" t="s">
        <v>5753</v>
      </c>
      <c r="D1206" s="1108" t="s">
        <v>6538</v>
      </c>
      <c r="E1206" s="1116" t="s">
        <v>6539</v>
      </c>
      <c r="F1206" s="1117">
        <v>0.1</v>
      </c>
      <c r="G1206" s="1109">
        <v>0.0</v>
      </c>
      <c r="H1206" s="1116"/>
      <c r="I1206" s="1118" t="str">
        <f t="shared" si="1"/>
        <v/>
      </c>
      <c r="J1206" s="1110"/>
    </row>
    <row r="1207" ht="18.75" customHeight="1">
      <c r="A1207" s="1110"/>
      <c r="B1207" s="1115" t="s">
        <v>6336</v>
      </c>
      <c r="C1207" s="1108" t="s">
        <v>5753</v>
      </c>
      <c r="D1207" s="1108" t="s">
        <v>6540</v>
      </c>
      <c r="E1207" s="1116" t="s">
        <v>6541</v>
      </c>
      <c r="F1207" s="1117">
        <v>0.1</v>
      </c>
      <c r="G1207" s="1109">
        <v>0.0</v>
      </c>
      <c r="H1207" s="1116"/>
      <c r="I1207" s="1118" t="str">
        <f t="shared" si="1"/>
        <v/>
      </c>
      <c r="J1207" s="1110"/>
    </row>
    <row r="1208" ht="18.75" customHeight="1">
      <c r="A1208" s="1110"/>
      <c r="B1208" s="1115" t="s">
        <v>6336</v>
      </c>
      <c r="C1208" s="1108" t="s">
        <v>5753</v>
      </c>
      <c r="D1208" s="1108" t="s">
        <v>6542</v>
      </c>
      <c r="E1208" s="1116" t="s">
        <v>6543</v>
      </c>
      <c r="F1208" s="1117">
        <v>0.1</v>
      </c>
      <c r="G1208" s="1109">
        <v>0.0</v>
      </c>
      <c r="H1208" s="1116"/>
      <c r="I1208" s="1118" t="str">
        <f t="shared" si="1"/>
        <v/>
      </c>
      <c r="J1208" s="1110"/>
    </row>
    <row r="1209" ht="18.75" customHeight="1">
      <c r="A1209" s="1110"/>
      <c r="B1209" s="1115" t="s">
        <v>6336</v>
      </c>
      <c r="C1209" s="1108" t="s">
        <v>5753</v>
      </c>
      <c r="D1209" s="1108" t="s">
        <v>6544</v>
      </c>
      <c r="E1209" s="1116" t="s">
        <v>6545</v>
      </c>
      <c r="F1209" s="1117">
        <v>0.1</v>
      </c>
      <c r="G1209" s="1109">
        <v>0.0</v>
      </c>
      <c r="H1209" s="1116"/>
      <c r="I1209" s="1118" t="str">
        <f t="shared" si="1"/>
        <v/>
      </c>
      <c r="J1209" s="1110"/>
    </row>
    <row r="1210" ht="18.75" customHeight="1">
      <c r="A1210" s="1110"/>
      <c r="B1210" s="1115" t="s">
        <v>6336</v>
      </c>
      <c r="C1210" s="1108" t="s">
        <v>5753</v>
      </c>
      <c r="D1210" s="1108" t="s">
        <v>6546</v>
      </c>
      <c r="E1210" s="1116" t="s">
        <v>6547</v>
      </c>
      <c r="F1210" s="1117">
        <v>0.1</v>
      </c>
      <c r="G1210" s="1109">
        <v>0.0</v>
      </c>
      <c r="H1210" s="1116"/>
      <c r="I1210" s="1118" t="str">
        <f t="shared" si="1"/>
        <v/>
      </c>
      <c r="J1210" s="1110"/>
    </row>
    <row r="1211" ht="18.75" customHeight="1">
      <c r="A1211" s="1110"/>
      <c r="B1211" s="1115" t="s">
        <v>6336</v>
      </c>
      <c r="C1211" s="1108" t="s">
        <v>5753</v>
      </c>
      <c r="D1211" s="1108" t="s">
        <v>6548</v>
      </c>
      <c r="E1211" s="1116" t="s">
        <v>6549</v>
      </c>
      <c r="F1211" s="1117">
        <v>0.1</v>
      </c>
      <c r="G1211" s="1109">
        <v>0.0</v>
      </c>
      <c r="H1211" s="1116"/>
      <c r="I1211" s="1118" t="str">
        <f t="shared" si="1"/>
        <v/>
      </c>
      <c r="J1211" s="1110"/>
    </row>
    <row r="1212" ht="18.75" customHeight="1">
      <c r="A1212" s="1110"/>
      <c r="B1212" s="1115" t="s">
        <v>6336</v>
      </c>
      <c r="C1212" s="1108" t="s">
        <v>5753</v>
      </c>
      <c r="D1212" s="1108" t="s">
        <v>6550</v>
      </c>
      <c r="E1212" s="1116" t="s">
        <v>6551</v>
      </c>
      <c r="F1212" s="1117">
        <v>0.1</v>
      </c>
      <c r="G1212" s="1109">
        <v>0.0</v>
      </c>
      <c r="H1212" s="1116"/>
      <c r="I1212" s="1118" t="str">
        <f t="shared" si="1"/>
        <v/>
      </c>
      <c r="J1212" s="1110"/>
    </row>
    <row r="1213" ht="18.75" customHeight="1">
      <c r="A1213" s="1110"/>
      <c r="B1213" s="1115" t="s">
        <v>6336</v>
      </c>
      <c r="C1213" s="1108" t="s">
        <v>5753</v>
      </c>
      <c r="D1213" s="1108" t="s">
        <v>6552</v>
      </c>
      <c r="E1213" s="1116" t="s">
        <v>6553</v>
      </c>
      <c r="F1213" s="1117">
        <v>0.1</v>
      </c>
      <c r="G1213" s="1109">
        <v>0.0</v>
      </c>
      <c r="H1213" s="1116"/>
      <c r="I1213" s="1118" t="str">
        <f t="shared" si="1"/>
        <v/>
      </c>
      <c r="J1213" s="1110"/>
    </row>
    <row r="1214" ht="18.75" customHeight="1">
      <c r="A1214" s="1110"/>
      <c r="B1214" s="1115" t="s">
        <v>6336</v>
      </c>
      <c r="C1214" s="1108" t="s">
        <v>5753</v>
      </c>
      <c r="D1214" s="1108" t="s">
        <v>6554</v>
      </c>
      <c r="E1214" s="1116" t="s">
        <v>6555</v>
      </c>
      <c r="F1214" s="1117">
        <v>0.1</v>
      </c>
      <c r="G1214" s="1109">
        <v>0.0</v>
      </c>
      <c r="H1214" s="1116"/>
      <c r="I1214" s="1118" t="str">
        <f t="shared" si="1"/>
        <v/>
      </c>
      <c r="J1214" s="1110"/>
    </row>
    <row r="1215" ht="18.75" customHeight="1">
      <c r="A1215" s="1110"/>
      <c r="B1215" s="1115" t="s">
        <v>6336</v>
      </c>
      <c r="C1215" s="1108" t="s">
        <v>5753</v>
      </c>
      <c r="D1215" s="1108" t="s">
        <v>6556</v>
      </c>
      <c r="E1215" s="1116" t="s">
        <v>6557</v>
      </c>
      <c r="F1215" s="1117">
        <v>0.1</v>
      </c>
      <c r="G1215" s="1109">
        <v>0.0</v>
      </c>
      <c r="H1215" s="1116"/>
      <c r="I1215" s="1118" t="str">
        <f t="shared" si="1"/>
        <v/>
      </c>
      <c r="J1215" s="1110"/>
    </row>
    <row r="1216" ht="18.75" customHeight="1">
      <c r="A1216" s="1110"/>
      <c r="B1216" s="1115" t="s">
        <v>6336</v>
      </c>
      <c r="C1216" s="1108" t="s">
        <v>5753</v>
      </c>
      <c r="D1216" s="1108" t="s">
        <v>6558</v>
      </c>
      <c r="E1216" s="1116" t="s">
        <v>6559</v>
      </c>
      <c r="F1216" s="1117">
        <v>0.1</v>
      </c>
      <c r="G1216" s="1109">
        <v>0.0</v>
      </c>
      <c r="H1216" s="1116"/>
      <c r="I1216" s="1118" t="str">
        <f t="shared" si="1"/>
        <v/>
      </c>
      <c r="J1216" s="1110"/>
    </row>
    <row r="1217" ht="18.75" customHeight="1">
      <c r="A1217" s="1110"/>
      <c r="B1217" s="1115" t="s">
        <v>6336</v>
      </c>
      <c r="C1217" s="1108" t="s">
        <v>5753</v>
      </c>
      <c r="D1217" s="1108" t="s">
        <v>6560</v>
      </c>
      <c r="E1217" s="1116" t="s">
        <v>6561</v>
      </c>
      <c r="F1217" s="1117">
        <v>0.1</v>
      </c>
      <c r="G1217" s="1109">
        <v>0.0</v>
      </c>
      <c r="H1217" s="1116"/>
      <c r="I1217" s="1118" t="str">
        <f t="shared" si="1"/>
        <v/>
      </c>
      <c r="J1217" s="1110"/>
    </row>
    <row r="1218" ht="18.75" customHeight="1">
      <c r="A1218" s="1110"/>
      <c r="B1218" s="1115" t="s">
        <v>6336</v>
      </c>
      <c r="C1218" s="1108" t="s">
        <v>5753</v>
      </c>
      <c r="D1218" s="1108" t="s">
        <v>6562</v>
      </c>
      <c r="E1218" s="1116" t="s">
        <v>6563</v>
      </c>
      <c r="F1218" s="1117">
        <v>0.1</v>
      </c>
      <c r="G1218" s="1109">
        <v>0.0</v>
      </c>
      <c r="H1218" s="1116"/>
      <c r="I1218" s="1118" t="str">
        <f t="shared" si="1"/>
        <v/>
      </c>
      <c r="J1218" s="1110"/>
    </row>
    <row r="1219" ht="18.75" customHeight="1">
      <c r="A1219" s="1110"/>
      <c r="B1219" s="1115" t="s">
        <v>6336</v>
      </c>
      <c r="C1219" s="1108" t="s">
        <v>5753</v>
      </c>
      <c r="D1219" s="1108" t="s">
        <v>6564</v>
      </c>
      <c r="E1219" s="1116" t="s">
        <v>6565</v>
      </c>
      <c r="F1219" s="1117">
        <v>0.1</v>
      </c>
      <c r="G1219" s="1109">
        <v>0.0</v>
      </c>
      <c r="H1219" s="1116"/>
      <c r="I1219" s="1118" t="str">
        <f t="shared" si="1"/>
        <v/>
      </c>
      <c r="J1219" s="1110"/>
    </row>
    <row r="1220" ht="18.75" customHeight="1">
      <c r="A1220" s="1110"/>
      <c r="B1220" s="1115" t="s">
        <v>6336</v>
      </c>
      <c r="C1220" s="1108" t="s">
        <v>5753</v>
      </c>
      <c r="D1220" s="1108" t="s">
        <v>6566</v>
      </c>
      <c r="E1220" s="1116" t="s">
        <v>6567</v>
      </c>
      <c r="F1220" s="1117">
        <v>0.1</v>
      </c>
      <c r="G1220" s="1109">
        <v>0.0</v>
      </c>
      <c r="H1220" s="1116"/>
      <c r="I1220" s="1118" t="str">
        <f t="shared" si="1"/>
        <v/>
      </c>
      <c r="J1220" s="1110"/>
    </row>
    <row r="1221" ht="18.75" customHeight="1">
      <c r="A1221" s="1110"/>
      <c r="B1221" s="1115" t="s">
        <v>6336</v>
      </c>
      <c r="C1221" s="1108" t="s">
        <v>5753</v>
      </c>
      <c r="D1221" s="1108" t="s">
        <v>6568</v>
      </c>
      <c r="E1221" s="1116" t="s">
        <v>6569</v>
      </c>
      <c r="F1221" s="1117">
        <v>0.1</v>
      </c>
      <c r="G1221" s="1109">
        <v>0.0</v>
      </c>
      <c r="H1221" s="1116"/>
      <c r="I1221" s="1118" t="str">
        <f t="shared" si="1"/>
        <v/>
      </c>
      <c r="J1221" s="1110"/>
    </row>
    <row r="1222" ht="18.75" customHeight="1">
      <c r="A1222" s="1110"/>
      <c r="B1222" s="1115" t="s">
        <v>6336</v>
      </c>
      <c r="C1222" s="1108" t="s">
        <v>5753</v>
      </c>
      <c r="D1222" s="1108" t="s">
        <v>6570</v>
      </c>
      <c r="E1222" s="1116" t="s">
        <v>6571</v>
      </c>
      <c r="F1222" s="1117">
        <v>0.1</v>
      </c>
      <c r="G1222" s="1109">
        <v>0.0</v>
      </c>
      <c r="H1222" s="1116"/>
      <c r="I1222" s="1118" t="str">
        <f t="shared" si="1"/>
        <v/>
      </c>
      <c r="J1222" s="1110"/>
    </row>
    <row r="1223" ht="18.75" customHeight="1">
      <c r="A1223" s="1110"/>
      <c r="B1223" s="1115" t="s">
        <v>6336</v>
      </c>
      <c r="C1223" s="1108" t="s">
        <v>5753</v>
      </c>
      <c r="D1223" s="1108" t="s">
        <v>6572</v>
      </c>
      <c r="E1223" s="1116" t="s">
        <v>6573</v>
      </c>
      <c r="F1223" s="1117">
        <v>0.1</v>
      </c>
      <c r="G1223" s="1109">
        <v>0.0</v>
      </c>
      <c r="H1223" s="1116"/>
      <c r="I1223" s="1118" t="str">
        <f t="shared" si="1"/>
        <v/>
      </c>
      <c r="J1223" s="1110"/>
    </row>
    <row r="1224" ht="18.75" customHeight="1">
      <c r="A1224" s="1110"/>
      <c r="B1224" s="1115" t="s">
        <v>6336</v>
      </c>
      <c r="C1224" s="1108" t="s">
        <v>5753</v>
      </c>
      <c r="D1224" s="1108" t="s">
        <v>6574</v>
      </c>
      <c r="E1224" s="1116" t="s">
        <v>6575</v>
      </c>
      <c r="F1224" s="1117">
        <v>0.1</v>
      </c>
      <c r="G1224" s="1109">
        <v>0.0</v>
      </c>
      <c r="H1224" s="1116"/>
      <c r="I1224" s="1118" t="str">
        <f t="shared" si="1"/>
        <v/>
      </c>
      <c r="J1224" s="1110"/>
    </row>
    <row r="1225" ht="18.75" customHeight="1">
      <c r="A1225" s="1110"/>
      <c r="B1225" s="1115" t="s">
        <v>6336</v>
      </c>
      <c r="C1225" s="1108" t="s">
        <v>5753</v>
      </c>
      <c r="D1225" s="1108" t="s">
        <v>6576</v>
      </c>
      <c r="E1225" s="1116" t="s">
        <v>6577</v>
      </c>
      <c r="F1225" s="1117">
        <v>0.1</v>
      </c>
      <c r="G1225" s="1109">
        <v>0.0</v>
      </c>
      <c r="H1225" s="1116"/>
      <c r="I1225" s="1118" t="str">
        <f t="shared" si="1"/>
        <v/>
      </c>
      <c r="J1225" s="1110"/>
    </row>
    <row r="1226" ht="18.75" customHeight="1">
      <c r="A1226" s="1110"/>
      <c r="B1226" s="1115" t="s">
        <v>6336</v>
      </c>
      <c r="C1226" s="1108" t="s">
        <v>5753</v>
      </c>
      <c r="D1226" s="1108" t="s">
        <v>6578</v>
      </c>
      <c r="E1226" s="1116" t="s">
        <v>6579</v>
      </c>
      <c r="F1226" s="1117">
        <v>0.1</v>
      </c>
      <c r="G1226" s="1109">
        <v>0.0</v>
      </c>
      <c r="H1226" s="1116"/>
      <c r="I1226" s="1118" t="str">
        <f t="shared" si="1"/>
        <v/>
      </c>
      <c r="J1226" s="1110"/>
    </row>
    <row r="1227" ht="18.75" customHeight="1">
      <c r="A1227" s="1110"/>
      <c r="B1227" s="1115" t="s">
        <v>6336</v>
      </c>
      <c r="C1227" s="1108" t="s">
        <v>5753</v>
      </c>
      <c r="D1227" s="1108" t="s">
        <v>6580</v>
      </c>
      <c r="E1227" s="1116" t="s">
        <v>6581</v>
      </c>
      <c r="F1227" s="1117">
        <v>0.1</v>
      </c>
      <c r="G1227" s="1109">
        <v>0.0</v>
      </c>
      <c r="H1227" s="1116"/>
      <c r="I1227" s="1118" t="str">
        <f t="shared" si="1"/>
        <v/>
      </c>
      <c r="J1227" s="1110"/>
    </row>
    <row r="1228" ht="18.75" customHeight="1">
      <c r="A1228" s="1110"/>
      <c r="B1228" s="1115" t="s">
        <v>6336</v>
      </c>
      <c r="C1228" s="1108" t="s">
        <v>5753</v>
      </c>
      <c r="D1228" s="1108" t="s">
        <v>6582</v>
      </c>
      <c r="E1228" s="1116" t="s">
        <v>6583</v>
      </c>
      <c r="F1228" s="1117">
        <v>0.1</v>
      </c>
      <c r="G1228" s="1109">
        <v>0.0</v>
      </c>
      <c r="H1228" s="1116"/>
      <c r="I1228" s="1118" t="str">
        <f t="shared" si="1"/>
        <v/>
      </c>
      <c r="J1228" s="1110"/>
    </row>
    <row r="1229" ht="18.75" customHeight="1">
      <c r="A1229" s="1110"/>
      <c r="B1229" s="1115" t="s">
        <v>6336</v>
      </c>
      <c r="C1229" s="1108" t="s">
        <v>5753</v>
      </c>
      <c r="D1229" s="1108" t="s">
        <v>6584</v>
      </c>
      <c r="E1229" s="1116" t="s">
        <v>6585</v>
      </c>
      <c r="F1229" s="1117">
        <v>0.1</v>
      </c>
      <c r="G1229" s="1109">
        <v>0.0</v>
      </c>
      <c r="H1229" s="1116"/>
      <c r="I1229" s="1118" t="str">
        <f t="shared" si="1"/>
        <v/>
      </c>
      <c r="J1229" s="1110"/>
    </row>
    <row r="1230" ht="18.75" customHeight="1">
      <c r="A1230" s="1110"/>
      <c r="B1230" s="1115" t="s">
        <v>6336</v>
      </c>
      <c r="C1230" s="1108" t="s">
        <v>5753</v>
      </c>
      <c r="D1230" s="1108" t="s">
        <v>6586</v>
      </c>
      <c r="E1230" s="1116" t="s">
        <v>6587</v>
      </c>
      <c r="F1230" s="1117">
        <v>0.1</v>
      </c>
      <c r="G1230" s="1109">
        <v>0.0</v>
      </c>
      <c r="H1230" s="1116"/>
      <c r="I1230" s="1118" t="str">
        <f t="shared" si="1"/>
        <v/>
      </c>
      <c r="J1230" s="1110"/>
    </row>
    <row r="1231" ht="18.75" customHeight="1">
      <c r="A1231" s="1110"/>
      <c r="B1231" s="1115" t="s">
        <v>6336</v>
      </c>
      <c r="C1231" s="1108" t="s">
        <v>5753</v>
      </c>
      <c r="D1231" s="1108" t="s">
        <v>6588</v>
      </c>
      <c r="E1231" s="1116" t="s">
        <v>6589</v>
      </c>
      <c r="F1231" s="1117">
        <v>0.1</v>
      </c>
      <c r="G1231" s="1109">
        <v>0.0</v>
      </c>
      <c r="H1231" s="1116"/>
      <c r="I1231" s="1118" t="str">
        <f t="shared" si="1"/>
        <v/>
      </c>
      <c r="J1231" s="1110"/>
    </row>
    <row r="1232" ht="18.75" customHeight="1">
      <c r="A1232" s="1110"/>
      <c r="B1232" s="1115" t="s">
        <v>6336</v>
      </c>
      <c r="C1232" s="1108" t="s">
        <v>5753</v>
      </c>
      <c r="D1232" s="1108" t="s">
        <v>6590</v>
      </c>
      <c r="E1232" s="1116" t="s">
        <v>6591</v>
      </c>
      <c r="F1232" s="1117">
        <v>0.1</v>
      </c>
      <c r="G1232" s="1109">
        <v>0.0</v>
      </c>
      <c r="H1232" s="1116"/>
      <c r="I1232" s="1118" t="str">
        <f t="shared" si="1"/>
        <v/>
      </c>
      <c r="J1232" s="1110"/>
    </row>
    <row r="1233" ht="18.75" customHeight="1">
      <c r="A1233" s="1110"/>
      <c r="B1233" s="1115" t="s">
        <v>6336</v>
      </c>
      <c r="C1233" s="1108" t="s">
        <v>5753</v>
      </c>
      <c r="D1233" s="1108" t="s">
        <v>6592</v>
      </c>
      <c r="E1233" s="1116" t="s">
        <v>6593</v>
      </c>
      <c r="F1233" s="1117">
        <v>0.1</v>
      </c>
      <c r="G1233" s="1109">
        <v>0.0</v>
      </c>
      <c r="H1233" s="1116"/>
      <c r="I1233" s="1118" t="str">
        <f t="shared" si="1"/>
        <v/>
      </c>
      <c r="J1233" s="1110"/>
    </row>
    <row r="1234" ht="18.75" customHeight="1">
      <c r="A1234" s="1110"/>
      <c r="B1234" s="1115" t="s">
        <v>6336</v>
      </c>
      <c r="C1234" s="1108" t="s">
        <v>5753</v>
      </c>
      <c r="D1234" s="1108" t="s">
        <v>6594</v>
      </c>
      <c r="E1234" s="1116" t="s">
        <v>6595</v>
      </c>
      <c r="F1234" s="1117">
        <v>0.1</v>
      </c>
      <c r="G1234" s="1109">
        <v>0.0</v>
      </c>
      <c r="H1234" s="1116"/>
      <c r="I1234" s="1118" t="str">
        <f t="shared" si="1"/>
        <v/>
      </c>
      <c r="J1234" s="1110"/>
    </row>
    <row r="1235" ht="18.75" customHeight="1">
      <c r="A1235" s="1110"/>
      <c r="B1235" s="1115" t="s">
        <v>6336</v>
      </c>
      <c r="C1235" s="1108" t="s">
        <v>5753</v>
      </c>
      <c r="D1235" s="1108" t="s">
        <v>6596</v>
      </c>
      <c r="E1235" s="1116" t="s">
        <v>6597</v>
      </c>
      <c r="F1235" s="1117">
        <v>0.1</v>
      </c>
      <c r="G1235" s="1109">
        <v>0.0</v>
      </c>
      <c r="H1235" s="1116"/>
      <c r="I1235" s="1118" t="str">
        <f t="shared" si="1"/>
        <v/>
      </c>
      <c r="J1235" s="1110"/>
    </row>
    <row r="1236" ht="18.75" customHeight="1">
      <c r="A1236" s="1110"/>
      <c r="B1236" s="1115" t="s">
        <v>6336</v>
      </c>
      <c r="C1236" s="1108" t="s">
        <v>5753</v>
      </c>
      <c r="D1236" s="1108" t="s">
        <v>1266</v>
      </c>
      <c r="E1236" s="1116" t="s">
        <v>6598</v>
      </c>
      <c r="F1236" s="1117">
        <v>0.1</v>
      </c>
      <c r="G1236" s="1109">
        <v>0.0</v>
      </c>
      <c r="H1236" s="1118">
        <v>476300.0</v>
      </c>
      <c r="I1236" s="1118">
        <f t="shared" si="1"/>
        <v>433000</v>
      </c>
      <c r="J1236" s="1110"/>
    </row>
    <row r="1237" ht="18.75" customHeight="1">
      <c r="A1237" s="1110"/>
      <c r="B1237" s="1115" t="s">
        <v>6336</v>
      </c>
      <c r="C1237" s="1108" t="s">
        <v>5753</v>
      </c>
      <c r="D1237" s="1108" t="s">
        <v>6599</v>
      </c>
      <c r="E1237" s="1116" t="s">
        <v>6600</v>
      </c>
      <c r="F1237" s="1117">
        <v>0.1</v>
      </c>
      <c r="G1237" s="1109">
        <v>0.0</v>
      </c>
      <c r="H1237" s="1116"/>
      <c r="I1237" s="1118" t="str">
        <f t="shared" si="1"/>
        <v/>
      </c>
      <c r="J1237" s="1110"/>
    </row>
    <row r="1238" ht="18.75" customHeight="1">
      <c r="A1238" s="1110"/>
      <c r="B1238" s="1115" t="s">
        <v>6336</v>
      </c>
      <c r="C1238" s="1108" t="s">
        <v>5753</v>
      </c>
      <c r="D1238" s="1108" t="s">
        <v>6601</v>
      </c>
      <c r="E1238" s="1116" t="s">
        <v>6602</v>
      </c>
      <c r="F1238" s="1117">
        <v>0.1</v>
      </c>
      <c r="G1238" s="1109">
        <v>0.0</v>
      </c>
      <c r="H1238" s="1116"/>
      <c r="I1238" s="1118" t="str">
        <f t="shared" si="1"/>
        <v/>
      </c>
      <c r="J1238" s="1110"/>
    </row>
    <row r="1239" ht="18.75" customHeight="1">
      <c r="A1239" s="1110"/>
      <c r="B1239" s="1115" t="s">
        <v>6336</v>
      </c>
      <c r="C1239" s="1108" t="s">
        <v>5753</v>
      </c>
      <c r="D1239" s="1108" t="s">
        <v>6603</v>
      </c>
      <c r="E1239" s="1116" t="s">
        <v>6604</v>
      </c>
      <c r="F1239" s="1117">
        <v>0.1</v>
      </c>
      <c r="G1239" s="1109">
        <v>0.0</v>
      </c>
      <c r="H1239" s="1116"/>
      <c r="I1239" s="1118" t="str">
        <f t="shared" si="1"/>
        <v/>
      </c>
      <c r="J1239" s="1110"/>
    </row>
    <row r="1240" ht="18.75" customHeight="1">
      <c r="A1240" s="1110"/>
      <c r="B1240" s="1115" t="s">
        <v>6336</v>
      </c>
      <c r="C1240" s="1108" t="s">
        <v>5753</v>
      </c>
      <c r="D1240" s="1108" t="s">
        <v>6605</v>
      </c>
      <c r="E1240" s="1116" t="s">
        <v>6606</v>
      </c>
      <c r="F1240" s="1117">
        <v>0.1</v>
      </c>
      <c r="G1240" s="1109">
        <v>0.0</v>
      </c>
      <c r="H1240" s="1116"/>
      <c r="I1240" s="1118" t="str">
        <f t="shared" si="1"/>
        <v/>
      </c>
      <c r="J1240" s="1110"/>
    </row>
    <row r="1241" ht="18.75" customHeight="1">
      <c r="A1241" s="1110"/>
      <c r="B1241" s="1115" t="s">
        <v>6607</v>
      </c>
      <c r="C1241" s="1108" t="s">
        <v>6608</v>
      </c>
      <c r="D1241" s="1108" t="s">
        <v>6609</v>
      </c>
      <c r="E1241" s="1116" t="s">
        <v>6610</v>
      </c>
      <c r="F1241" s="1117">
        <v>0.1</v>
      </c>
      <c r="G1241" s="1109">
        <v>0.0</v>
      </c>
      <c r="H1241" s="1118">
        <v>13200.0</v>
      </c>
      <c r="I1241" s="1118">
        <f t="shared" si="1"/>
        <v>12000</v>
      </c>
      <c r="J1241" s="1110"/>
    </row>
    <row r="1242" ht="18.75" customHeight="1">
      <c r="A1242" s="1110"/>
      <c r="B1242" s="1115" t="s">
        <v>6607</v>
      </c>
      <c r="C1242" s="1108" t="s">
        <v>6608</v>
      </c>
      <c r="D1242" s="1108" t="s">
        <v>6611</v>
      </c>
      <c r="E1242" s="1116" t="s">
        <v>6612</v>
      </c>
      <c r="F1242" s="1117">
        <v>0.1</v>
      </c>
      <c r="G1242" s="1109">
        <v>0.0</v>
      </c>
      <c r="H1242" s="1118">
        <v>15400.0</v>
      </c>
      <c r="I1242" s="1118">
        <f t="shared" si="1"/>
        <v>14000</v>
      </c>
      <c r="J1242" s="1110"/>
    </row>
    <row r="1243" ht="18.75" customHeight="1">
      <c r="A1243" s="1110"/>
      <c r="B1243" s="1115" t="s">
        <v>6607</v>
      </c>
      <c r="C1243" s="1108" t="s">
        <v>6608</v>
      </c>
      <c r="D1243" s="1108" t="s">
        <v>6613</v>
      </c>
      <c r="E1243" s="1116" t="s">
        <v>6614</v>
      </c>
      <c r="F1243" s="1117">
        <v>0.1</v>
      </c>
      <c r="G1243" s="1109">
        <v>0.0</v>
      </c>
      <c r="H1243" s="1118">
        <v>18800.0</v>
      </c>
      <c r="I1243" s="1118">
        <f t="shared" si="1"/>
        <v>17090</v>
      </c>
      <c r="J1243" s="1110"/>
    </row>
    <row r="1244" ht="18.75" customHeight="1">
      <c r="A1244" s="1110"/>
      <c r="B1244" s="1115" t="s">
        <v>6607</v>
      </c>
      <c r="C1244" s="1108" t="s">
        <v>6608</v>
      </c>
      <c r="D1244" s="1108" t="s">
        <v>6615</v>
      </c>
      <c r="E1244" s="1116" t="s">
        <v>6616</v>
      </c>
      <c r="F1244" s="1117">
        <v>0.1</v>
      </c>
      <c r="G1244" s="1109">
        <v>0.0</v>
      </c>
      <c r="H1244" s="1118">
        <v>20900.0</v>
      </c>
      <c r="I1244" s="1118">
        <f t="shared" si="1"/>
        <v>19000</v>
      </c>
      <c r="J1244" s="1110"/>
    </row>
    <row r="1245" ht="18.75" customHeight="1">
      <c r="A1245" s="1110"/>
      <c r="B1245" s="1115" t="s">
        <v>6607</v>
      </c>
      <c r="C1245" s="1108" t="s">
        <v>6608</v>
      </c>
      <c r="D1245" s="1108" t="s">
        <v>6617</v>
      </c>
      <c r="E1245" s="1116" t="s">
        <v>6618</v>
      </c>
      <c r="F1245" s="1117">
        <v>0.1</v>
      </c>
      <c r="G1245" s="1109">
        <v>0.0</v>
      </c>
      <c r="H1245" s="1118">
        <v>23100.0</v>
      </c>
      <c r="I1245" s="1118">
        <f t="shared" si="1"/>
        <v>21000</v>
      </c>
      <c r="J1245" s="1110"/>
    </row>
    <row r="1246" ht="18.75" customHeight="1">
      <c r="A1246" s="1110"/>
      <c r="B1246" s="1115" t="s">
        <v>6607</v>
      </c>
      <c r="C1246" s="1108" t="s">
        <v>6608</v>
      </c>
      <c r="D1246" s="1108" t="s">
        <v>6619</v>
      </c>
      <c r="E1246" s="1116" t="s">
        <v>6620</v>
      </c>
      <c r="F1246" s="1117">
        <v>0.1</v>
      </c>
      <c r="G1246" s="1109">
        <v>0.0</v>
      </c>
      <c r="H1246" s="1118">
        <v>24200.0</v>
      </c>
      <c r="I1246" s="1118">
        <f t="shared" si="1"/>
        <v>22000</v>
      </c>
      <c r="J1246" s="1110"/>
    </row>
    <row r="1247" ht="18.75" customHeight="1">
      <c r="A1247" s="1110"/>
      <c r="B1247" s="1115" t="s">
        <v>6607</v>
      </c>
      <c r="C1247" s="1108" t="s">
        <v>6608</v>
      </c>
      <c r="D1247" s="1108" t="s">
        <v>6621</v>
      </c>
      <c r="E1247" s="1116" t="s">
        <v>6622</v>
      </c>
      <c r="F1247" s="1117">
        <v>0.1</v>
      </c>
      <c r="G1247" s="1109">
        <v>0.0</v>
      </c>
      <c r="H1247" s="1118">
        <v>24200.0</v>
      </c>
      <c r="I1247" s="1118">
        <f t="shared" si="1"/>
        <v>22000</v>
      </c>
      <c r="J1247" s="1110"/>
    </row>
    <row r="1248" ht="18.75" customHeight="1">
      <c r="A1248" s="1110"/>
      <c r="B1248" s="1115" t="s">
        <v>6607</v>
      </c>
      <c r="C1248" s="1108" t="s">
        <v>6623</v>
      </c>
      <c r="D1248" s="1108" t="s">
        <v>6624</v>
      </c>
      <c r="E1248" s="1116" t="s">
        <v>6625</v>
      </c>
      <c r="F1248" s="1117">
        <v>0.1</v>
      </c>
      <c r="G1248" s="1109">
        <v>0.0</v>
      </c>
      <c r="H1248" s="1118">
        <v>28600.0</v>
      </c>
      <c r="I1248" s="1118">
        <f t="shared" si="1"/>
        <v>26000</v>
      </c>
      <c r="J1248" s="1110"/>
    </row>
    <row r="1249" ht="18.75" customHeight="1">
      <c r="A1249" s="1110"/>
      <c r="B1249" s="1115" t="s">
        <v>6607</v>
      </c>
      <c r="C1249" s="1108" t="s">
        <v>6608</v>
      </c>
      <c r="D1249" s="1108" t="s">
        <v>6626</v>
      </c>
      <c r="E1249" s="1116" t="s">
        <v>6627</v>
      </c>
      <c r="F1249" s="1117">
        <v>0.1</v>
      </c>
      <c r="G1249" s="1109">
        <v>0.0</v>
      </c>
      <c r="H1249" s="1118">
        <v>33000.0</v>
      </c>
      <c r="I1249" s="1118">
        <f t="shared" si="1"/>
        <v>30000</v>
      </c>
      <c r="J1249" s="1110"/>
    </row>
    <row r="1250" ht="18.75" customHeight="1">
      <c r="A1250" s="1110"/>
      <c r="B1250" s="1115" t="s">
        <v>6607</v>
      </c>
      <c r="C1250" s="1108" t="s">
        <v>6608</v>
      </c>
      <c r="D1250" s="1108" t="s">
        <v>6628</v>
      </c>
      <c r="E1250" s="1116" t="s">
        <v>6629</v>
      </c>
      <c r="F1250" s="1117">
        <v>0.1</v>
      </c>
      <c r="G1250" s="1109">
        <v>0.0</v>
      </c>
      <c r="H1250" s="1118">
        <v>36300.0</v>
      </c>
      <c r="I1250" s="1118">
        <f t="shared" si="1"/>
        <v>33000</v>
      </c>
      <c r="J1250" s="1110"/>
    </row>
    <row r="1251" ht="18.75" customHeight="1">
      <c r="A1251" s="1110"/>
      <c r="B1251" s="1115" t="s">
        <v>6607</v>
      </c>
      <c r="C1251" s="1108" t="s">
        <v>6608</v>
      </c>
      <c r="D1251" s="1108" t="s">
        <v>6630</v>
      </c>
      <c r="E1251" s="1116" t="s">
        <v>6631</v>
      </c>
      <c r="F1251" s="1117">
        <v>0.1</v>
      </c>
      <c r="G1251" s="1109">
        <v>0.0</v>
      </c>
      <c r="H1251" s="1118">
        <v>44000.0</v>
      </c>
      <c r="I1251" s="1118">
        <f t="shared" si="1"/>
        <v>40000</v>
      </c>
      <c r="J1251" s="1110"/>
    </row>
    <row r="1252" ht="18.75" customHeight="1">
      <c r="A1252" s="1110"/>
      <c r="B1252" s="1115" t="s">
        <v>6607</v>
      </c>
      <c r="C1252" s="1108" t="s">
        <v>6608</v>
      </c>
      <c r="D1252" s="1108" t="s">
        <v>6632</v>
      </c>
      <c r="E1252" s="1116" t="s">
        <v>6633</v>
      </c>
      <c r="F1252" s="1117">
        <v>0.1</v>
      </c>
      <c r="G1252" s="1109">
        <v>0.0</v>
      </c>
      <c r="H1252" s="1118">
        <v>47300.0</v>
      </c>
      <c r="I1252" s="1118">
        <f t="shared" si="1"/>
        <v>43000</v>
      </c>
      <c r="J1252" s="1110"/>
    </row>
    <row r="1253" ht="18.75" customHeight="1">
      <c r="A1253" s="1110"/>
      <c r="B1253" s="1115" t="s">
        <v>6607</v>
      </c>
      <c r="C1253" s="1108" t="s">
        <v>6608</v>
      </c>
      <c r="D1253" s="1108" t="s">
        <v>6634</v>
      </c>
      <c r="E1253" s="1116" t="s">
        <v>6635</v>
      </c>
      <c r="F1253" s="1117">
        <v>0.1</v>
      </c>
      <c r="G1253" s="1109">
        <v>0.0</v>
      </c>
      <c r="H1253" s="1118">
        <v>53900.0</v>
      </c>
      <c r="I1253" s="1118">
        <f t="shared" si="1"/>
        <v>49000</v>
      </c>
      <c r="J1253" s="1110"/>
    </row>
    <row r="1254" ht="18.75" customHeight="1">
      <c r="A1254" s="1110"/>
      <c r="B1254" s="1115" t="s">
        <v>6607</v>
      </c>
      <c r="C1254" s="1108" t="s">
        <v>6608</v>
      </c>
      <c r="D1254" s="1108" t="s">
        <v>6636</v>
      </c>
      <c r="E1254" s="1116" t="s">
        <v>6637</v>
      </c>
      <c r="F1254" s="1117">
        <v>0.1</v>
      </c>
      <c r="G1254" s="1109">
        <v>0.0</v>
      </c>
      <c r="H1254" s="1118">
        <v>62700.0</v>
      </c>
      <c r="I1254" s="1118">
        <f t="shared" si="1"/>
        <v>57000</v>
      </c>
      <c r="J1254" s="1110"/>
    </row>
    <row r="1255" ht="18.75" customHeight="1">
      <c r="A1255" s="1110"/>
      <c r="B1255" s="1115" t="s">
        <v>6607</v>
      </c>
      <c r="C1255" s="1108" t="s">
        <v>6623</v>
      </c>
      <c r="D1255" s="1108" t="s">
        <v>6638</v>
      </c>
      <c r="E1255" s="1116" t="s">
        <v>6639</v>
      </c>
      <c r="F1255" s="1117">
        <v>0.1</v>
      </c>
      <c r="G1255" s="1109">
        <v>0.0</v>
      </c>
      <c r="H1255" s="1118">
        <v>19800.0</v>
      </c>
      <c r="I1255" s="1118">
        <f t="shared" si="1"/>
        <v>18000</v>
      </c>
      <c r="J1255" s="1110"/>
    </row>
    <row r="1256" ht="18.75" customHeight="1">
      <c r="A1256" s="1110"/>
      <c r="B1256" s="1115" t="s">
        <v>6607</v>
      </c>
      <c r="C1256" s="1108" t="s">
        <v>6623</v>
      </c>
      <c r="D1256" s="1108" t="s">
        <v>6640</v>
      </c>
      <c r="E1256" s="1116" t="s">
        <v>6641</v>
      </c>
      <c r="F1256" s="1117">
        <v>0.1</v>
      </c>
      <c r="G1256" s="1109">
        <v>0.0</v>
      </c>
      <c r="H1256" s="1118">
        <v>22000.0</v>
      </c>
      <c r="I1256" s="1118">
        <f t="shared" si="1"/>
        <v>20000</v>
      </c>
      <c r="J1256" s="1110"/>
    </row>
    <row r="1257" ht="18.75" customHeight="1">
      <c r="A1257" s="1110"/>
      <c r="B1257" s="1115" t="s">
        <v>6607</v>
      </c>
      <c r="C1257" s="1108" t="s">
        <v>6623</v>
      </c>
      <c r="D1257" s="1108" t="s">
        <v>6642</v>
      </c>
      <c r="E1257" s="1116" t="s">
        <v>6643</v>
      </c>
      <c r="F1257" s="1117">
        <v>0.1</v>
      </c>
      <c r="G1257" s="1109">
        <v>0.0</v>
      </c>
      <c r="H1257" s="1118">
        <v>23100.0</v>
      </c>
      <c r="I1257" s="1118">
        <f t="shared" si="1"/>
        <v>21000</v>
      </c>
      <c r="J1257" s="1110"/>
    </row>
    <row r="1258" ht="18.75" customHeight="1">
      <c r="A1258" s="1110"/>
      <c r="B1258" s="1115" t="s">
        <v>6607</v>
      </c>
      <c r="C1258" s="1108" t="s">
        <v>6623</v>
      </c>
      <c r="D1258" s="1108" t="s">
        <v>6644</v>
      </c>
      <c r="E1258" s="1116" t="s">
        <v>6645</v>
      </c>
      <c r="F1258" s="1117">
        <v>0.1</v>
      </c>
      <c r="G1258" s="1109">
        <v>0.0</v>
      </c>
      <c r="H1258" s="1118">
        <v>25300.0</v>
      </c>
      <c r="I1258" s="1118">
        <f t="shared" si="1"/>
        <v>23000</v>
      </c>
      <c r="J1258" s="1110"/>
    </row>
    <row r="1259" ht="18.75" customHeight="1">
      <c r="A1259" s="1110"/>
      <c r="B1259" s="1115" t="s">
        <v>6607</v>
      </c>
      <c r="C1259" s="1108" t="s">
        <v>6608</v>
      </c>
      <c r="D1259" s="1108" t="s">
        <v>6646</v>
      </c>
      <c r="E1259" s="1116" t="s">
        <v>6647</v>
      </c>
      <c r="F1259" s="1117">
        <v>0.1</v>
      </c>
      <c r="G1259" s="1109">
        <v>0.0</v>
      </c>
      <c r="H1259" s="1118">
        <v>30900.0</v>
      </c>
      <c r="I1259" s="1118">
        <f t="shared" si="1"/>
        <v>28090</v>
      </c>
      <c r="J1259" s="1110"/>
    </row>
    <row r="1260" ht="18.75" customHeight="1">
      <c r="A1260" s="1110"/>
      <c r="B1260" s="1115" t="s">
        <v>6607</v>
      </c>
      <c r="C1260" s="1108" t="s">
        <v>6648</v>
      </c>
      <c r="D1260" s="1108" t="s">
        <v>6649</v>
      </c>
      <c r="E1260" s="1116" t="s">
        <v>6650</v>
      </c>
      <c r="F1260" s="1117">
        <v>0.1</v>
      </c>
      <c r="G1260" s="1109">
        <v>0.0</v>
      </c>
      <c r="H1260" s="1118">
        <v>33000.0</v>
      </c>
      <c r="I1260" s="1118">
        <f t="shared" si="1"/>
        <v>30000</v>
      </c>
      <c r="J1260" s="1110"/>
    </row>
    <row r="1261" ht="18.75" customHeight="1">
      <c r="A1261" s="1110"/>
      <c r="B1261" s="1115" t="s">
        <v>6607</v>
      </c>
      <c r="C1261" s="1108" t="s">
        <v>6608</v>
      </c>
      <c r="D1261" s="1108" t="s">
        <v>6651</v>
      </c>
      <c r="E1261" s="1116" t="s">
        <v>6652</v>
      </c>
      <c r="F1261" s="1117">
        <v>0.1</v>
      </c>
      <c r="G1261" s="1109">
        <v>0.0</v>
      </c>
      <c r="H1261" s="1118">
        <v>37400.0</v>
      </c>
      <c r="I1261" s="1118">
        <f t="shared" si="1"/>
        <v>34000</v>
      </c>
      <c r="J1261" s="1110"/>
    </row>
    <row r="1262" ht="18.75" customHeight="1">
      <c r="A1262" s="1110"/>
      <c r="B1262" s="1115" t="s">
        <v>6607</v>
      </c>
      <c r="C1262" s="1108" t="s">
        <v>6648</v>
      </c>
      <c r="D1262" s="1108" t="s">
        <v>6653</v>
      </c>
      <c r="E1262" s="1116" t="s">
        <v>6654</v>
      </c>
      <c r="F1262" s="1117">
        <v>0.1</v>
      </c>
      <c r="G1262" s="1109">
        <v>0.0</v>
      </c>
      <c r="H1262" s="1118">
        <v>38500.0</v>
      </c>
      <c r="I1262" s="1118">
        <f t="shared" si="1"/>
        <v>35000</v>
      </c>
      <c r="J1262" s="1110"/>
    </row>
    <row r="1263" ht="18.75" customHeight="1">
      <c r="A1263" s="1110"/>
      <c r="B1263" s="1115" t="s">
        <v>6607</v>
      </c>
      <c r="C1263" s="1108" t="s">
        <v>6608</v>
      </c>
      <c r="D1263" s="1108" t="s">
        <v>6655</v>
      </c>
      <c r="E1263" s="1116" t="s">
        <v>6656</v>
      </c>
      <c r="F1263" s="1117">
        <v>0.1</v>
      </c>
      <c r="G1263" s="1109">
        <v>0.0</v>
      </c>
      <c r="H1263" s="1118">
        <v>45100.0</v>
      </c>
      <c r="I1263" s="1118">
        <f t="shared" si="1"/>
        <v>41000</v>
      </c>
      <c r="J1263" s="1110"/>
    </row>
    <row r="1264" ht="18.75" customHeight="1">
      <c r="A1264" s="1110"/>
      <c r="B1264" s="1115" t="s">
        <v>6607</v>
      </c>
      <c r="C1264" s="1108" t="s">
        <v>6648</v>
      </c>
      <c r="D1264" s="1108" t="s">
        <v>6657</v>
      </c>
      <c r="E1264" s="1116" t="s">
        <v>6658</v>
      </c>
      <c r="F1264" s="1117">
        <v>0.1</v>
      </c>
      <c r="G1264" s="1109">
        <v>0.0</v>
      </c>
      <c r="H1264" s="1118">
        <v>46200.0</v>
      </c>
      <c r="I1264" s="1118">
        <f t="shared" si="1"/>
        <v>42000</v>
      </c>
      <c r="J1264" s="1110"/>
    </row>
    <row r="1265" ht="18.75" customHeight="1">
      <c r="A1265" s="1110"/>
      <c r="B1265" s="1115" t="s">
        <v>6607</v>
      </c>
      <c r="C1265" s="1108" t="s">
        <v>6648</v>
      </c>
      <c r="D1265" s="1108" t="s">
        <v>6659</v>
      </c>
      <c r="E1265" s="1116" t="s">
        <v>6660</v>
      </c>
      <c r="F1265" s="1117">
        <v>0.1</v>
      </c>
      <c r="G1265" s="1109">
        <v>0.0</v>
      </c>
      <c r="H1265" s="1116"/>
      <c r="I1265" s="1118" t="str">
        <f t="shared" si="1"/>
        <v/>
      </c>
      <c r="J1265" s="1110"/>
    </row>
    <row r="1266" ht="18.75" customHeight="1">
      <c r="A1266" s="1110"/>
      <c r="B1266" s="1115" t="s">
        <v>6607</v>
      </c>
      <c r="C1266" s="1108" t="s">
        <v>6623</v>
      </c>
      <c r="D1266" s="1108" t="s">
        <v>6661</v>
      </c>
      <c r="E1266" s="1116" t="s">
        <v>6662</v>
      </c>
      <c r="F1266" s="1117">
        <v>0.1</v>
      </c>
      <c r="G1266" s="1109">
        <v>0.0</v>
      </c>
      <c r="H1266" s="1118">
        <v>59400.0</v>
      </c>
      <c r="I1266" s="1118">
        <f t="shared" si="1"/>
        <v>54000</v>
      </c>
      <c r="J1266" s="1110"/>
    </row>
    <row r="1267" ht="18.75" customHeight="1">
      <c r="A1267" s="1110"/>
      <c r="B1267" s="1115" t="s">
        <v>6607</v>
      </c>
      <c r="C1267" s="1108" t="s">
        <v>6623</v>
      </c>
      <c r="D1267" s="1108" t="s">
        <v>6663</v>
      </c>
      <c r="E1267" s="1116" t="s">
        <v>6664</v>
      </c>
      <c r="F1267" s="1117">
        <v>0.1</v>
      </c>
      <c r="G1267" s="1109">
        <v>0.0</v>
      </c>
      <c r="H1267" s="1116"/>
      <c r="I1267" s="1118" t="str">
        <f t="shared" si="1"/>
        <v/>
      </c>
      <c r="J1267" s="1110"/>
    </row>
    <row r="1268" ht="18.75" customHeight="1">
      <c r="A1268" s="1110"/>
      <c r="B1268" s="1115" t="s">
        <v>6607</v>
      </c>
      <c r="C1268" s="1108" t="s">
        <v>6648</v>
      </c>
      <c r="D1268" s="1108" t="s">
        <v>6665</v>
      </c>
      <c r="E1268" s="1116" t="s">
        <v>6666</v>
      </c>
      <c r="F1268" s="1117">
        <v>0.1</v>
      </c>
      <c r="G1268" s="1109">
        <v>0.0</v>
      </c>
      <c r="H1268" s="1118">
        <v>64900.0</v>
      </c>
      <c r="I1268" s="1118">
        <f t="shared" si="1"/>
        <v>59000</v>
      </c>
      <c r="J1268" s="1110"/>
    </row>
    <row r="1269" ht="18.75" customHeight="1">
      <c r="A1269" s="1110"/>
      <c r="B1269" s="1115" t="s">
        <v>6607</v>
      </c>
      <c r="C1269" s="1108" t="s">
        <v>6608</v>
      </c>
      <c r="D1269" s="1108" t="s">
        <v>6667</v>
      </c>
      <c r="E1269" s="1116" t="s">
        <v>6668</v>
      </c>
      <c r="F1269" s="1117">
        <v>0.1</v>
      </c>
      <c r="G1269" s="1109">
        <v>0.0</v>
      </c>
      <c r="H1269" s="1116"/>
      <c r="I1269" s="1118" t="str">
        <f t="shared" si="1"/>
        <v/>
      </c>
      <c r="J1269" s="1110"/>
    </row>
    <row r="1270" ht="18.75" customHeight="1">
      <c r="A1270" s="1110"/>
      <c r="B1270" s="1115" t="s">
        <v>6607</v>
      </c>
      <c r="C1270" s="1108" t="s">
        <v>6608</v>
      </c>
      <c r="D1270" s="1108" t="s">
        <v>6669</v>
      </c>
      <c r="E1270" s="1116" t="s">
        <v>6670</v>
      </c>
      <c r="F1270" s="1117">
        <v>0.1</v>
      </c>
      <c r="G1270" s="1109">
        <v>0.0</v>
      </c>
      <c r="H1270" s="1118">
        <v>68200.0</v>
      </c>
      <c r="I1270" s="1118">
        <f t="shared" si="1"/>
        <v>62000</v>
      </c>
      <c r="J1270" s="1110"/>
    </row>
    <row r="1271" ht="18.75" customHeight="1">
      <c r="A1271" s="1110"/>
      <c r="B1271" s="1115" t="s">
        <v>6607</v>
      </c>
      <c r="C1271" s="1108" t="s">
        <v>6608</v>
      </c>
      <c r="D1271" s="1108" t="s">
        <v>6671</v>
      </c>
      <c r="E1271" s="1116" t="s">
        <v>6672</v>
      </c>
      <c r="F1271" s="1117">
        <v>0.1</v>
      </c>
      <c r="G1271" s="1109">
        <v>0.0</v>
      </c>
      <c r="H1271" s="1116"/>
      <c r="I1271" s="1118" t="str">
        <f t="shared" si="1"/>
        <v/>
      </c>
      <c r="J1271" s="1110"/>
    </row>
    <row r="1272" ht="18.75" customHeight="1">
      <c r="A1272" s="1110"/>
      <c r="B1272" s="1115" t="s">
        <v>6607</v>
      </c>
      <c r="C1272" s="1108" t="s">
        <v>6648</v>
      </c>
      <c r="D1272" s="1108" t="s">
        <v>6673</v>
      </c>
      <c r="E1272" s="1116" t="s">
        <v>6674</v>
      </c>
      <c r="F1272" s="1117">
        <v>0.1</v>
      </c>
      <c r="G1272" s="1109">
        <v>0.0</v>
      </c>
      <c r="H1272" s="1118">
        <v>74800.0</v>
      </c>
      <c r="I1272" s="1118">
        <f t="shared" si="1"/>
        <v>68000</v>
      </c>
      <c r="J1272" s="1110"/>
    </row>
    <row r="1273" ht="18.75" customHeight="1">
      <c r="A1273" s="1110"/>
      <c r="B1273" s="1115" t="s">
        <v>6607</v>
      </c>
      <c r="C1273" s="1108" t="s">
        <v>6608</v>
      </c>
      <c r="D1273" s="1108" t="s">
        <v>6675</v>
      </c>
      <c r="E1273" s="1116" t="s">
        <v>6676</v>
      </c>
      <c r="F1273" s="1117">
        <v>0.1</v>
      </c>
      <c r="G1273" s="1109">
        <v>0.0</v>
      </c>
      <c r="H1273" s="1116"/>
      <c r="I1273" s="1118" t="str">
        <f t="shared" si="1"/>
        <v/>
      </c>
      <c r="J1273" s="1110"/>
    </row>
    <row r="1274" ht="18.75" customHeight="1">
      <c r="A1274" s="1110"/>
      <c r="B1274" s="1115" t="s">
        <v>6607</v>
      </c>
      <c r="C1274" s="1108" t="s">
        <v>6608</v>
      </c>
      <c r="D1274" s="1108" t="s">
        <v>6677</v>
      </c>
      <c r="E1274" s="1116" t="s">
        <v>6678</v>
      </c>
      <c r="F1274" s="1117">
        <v>0.1</v>
      </c>
      <c r="G1274" s="1109">
        <v>0.0</v>
      </c>
      <c r="H1274" s="1118">
        <v>104500.0</v>
      </c>
      <c r="I1274" s="1118">
        <f t="shared" si="1"/>
        <v>95000</v>
      </c>
      <c r="J1274" s="1110"/>
    </row>
    <row r="1275" ht="18.75" customHeight="1">
      <c r="A1275" s="1110"/>
      <c r="B1275" s="1115" t="s">
        <v>6607</v>
      </c>
      <c r="C1275" s="1108" t="s">
        <v>6608</v>
      </c>
      <c r="D1275" s="1108" t="s">
        <v>6679</v>
      </c>
      <c r="E1275" s="1116" t="s">
        <v>6680</v>
      </c>
      <c r="F1275" s="1117">
        <v>0.1</v>
      </c>
      <c r="G1275" s="1109">
        <v>0.0</v>
      </c>
      <c r="H1275" s="1116"/>
      <c r="I1275" s="1118" t="str">
        <f t="shared" si="1"/>
        <v/>
      </c>
      <c r="J1275" s="1110"/>
    </row>
    <row r="1276" ht="18.75" customHeight="1">
      <c r="A1276" s="1110"/>
      <c r="B1276" s="1115" t="s">
        <v>6607</v>
      </c>
      <c r="C1276" s="1108" t="s">
        <v>6623</v>
      </c>
      <c r="D1276" s="1108" t="s">
        <v>6681</v>
      </c>
      <c r="E1276" s="1116" t="s">
        <v>6682</v>
      </c>
      <c r="F1276" s="1117">
        <v>0.1</v>
      </c>
      <c r="G1276" s="1109">
        <v>0.0</v>
      </c>
      <c r="H1276" s="1118">
        <v>122300.0</v>
      </c>
      <c r="I1276" s="1118">
        <f t="shared" si="1"/>
        <v>111180</v>
      </c>
      <c r="J1276" s="1110"/>
    </row>
    <row r="1277" ht="18.75" customHeight="1">
      <c r="A1277" s="1110"/>
      <c r="B1277" s="1115" t="s">
        <v>6607</v>
      </c>
      <c r="C1277" s="1108" t="s">
        <v>6623</v>
      </c>
      <c r="D1277" s="1108" t="s">
        <v>6683</v>
      </c>
      <c r="E1277" s="1116" t="s">
        <v>6684</v>
      </c>
      <c r="F1277" s="1117">
        <v>0.1</v>
      </c>
      <c r="G1277" s="1109">
        <v>0.0</v>
      </c>
      <c r="H1277" s="1116"/>
      <c r="I1277" s="1118" t="str">
        <f t="shared" si="1"/>
        <v/>
      </c>
      <c r="J1277" s="1110"/>
    </row>
    <row r="1278" ht="18.75" customHeight="1">
      <c r="A1278" s="1110"/>
      <c r="B1278" s="1115" t="s">
        <v>6607</v>
      </c>
      <c r="C1278" s="1108" t="s">
        <v>6623</v>
      </c>
      <c r="D1278" s="1108" t="s">
        <v>6685</v>
      </c>
      <c r="E1278" s="1116" t="s">
        <v>6686</v>
      </c>
      <c r="F1278" s="1117">
        <v>0.1</v>
      </c>
      <c r="G1278" s="1109">
        <v>0.0</v>
      </c>
      <c r="H1278" s="1116"/>
      <c r="I1278" s="1118" t="str">
        <f t="shared" si="1"/>
        <v/>
      </c>
      <c r="J1278" s="1110"/>
    </row>
    <row r="1279" ht="18.75" customHeight="1">
      <c r="A1279" s="1110"/>
      <c r="B1279" s="1115" t="s">
        <v>6607</v>
      </c>
      <c r="C1279" s="1108" t="s">
        <v>6623</v>
      </c>
      <c r="D1279" s="1108" t="s">
        <v>6687</v>
      </c>
      <c r="E1279" s="1116" t="s">
        <v>6688</v>
      </c>
      <c r="F1279" s="1117">
        <v>0.1</v>
      </c>
      <c r="G1279" s="1109">
        <v>0.0</v>
      </c>
      <c r="H1279" s="1118">
        <v>146700.0</v>
      </c>
      <c r="I1279" s="1118">
        <f t="shared" si="1"/>
        <v>133360</v>
      </c>
      <c r="J1279" s="1110"/>
    </row>
    <row r="1280" ht="18.75" customHeight="1">
      <c r="A1280" s="1110"/>
      <c r="B1280" s="1115" t="s">
        <v>6607</v>
      </c>
      <c r="C1280" s="1108" t="s">
        <v>6623</v>
      </c>
      <c r="D1280" s="1108" t="s">
        <v>6689</v>
      </c>
      <c r="E1280" s="1116" t="s">
        <v>6690</v>
      </c>
      <c r="F1280" s="1117">
        <v>0.1</v>
      </c>
      <c r="G1280" s="1109">
        <v>0.0</v>
      </c>
      <c r="H1280" s="1116"/>
      <c r="I1280" s="1118" t="str">
        <f t="shared" si="1"/>
        <v/>
      </c>
      <c r="J1280" s="1110"/>
    </row>
    <row r="1281" ht="18.75" customHeight="1">
      <c r="A1281" s="1110"/>
      <c r="B1281" s="1115" t="s">
        <v>6607</v>
      </c>
      <c r="C1281" s="1108" t="s">
        <v>6623</v>
      </c>
      <c r="D1281" s="1108" t="s">
        <v>6691</v>
      </c>
      <c r="E1281" s="1116" t="s">
        <v>6692</v>
      </c>
      <c r="F1281" s="1117">
        <v>0.1</v>
      </c>
      <c r="G1281" s="1109">
        <v>0.0</v>
      </c>
      <c r="H1281" s="1116"/>
      <c r="I1281" s="1118" t="str">
        <f t="shared" si="1"/>
        <v/>
      </c>
      <c r="J1281" s="1110"/>
    </row>
    <row r="1282" ht="18.75" customHeight="1">
      <c r="A1282" s="1110"/>
      <c r="B1282" s="1115" t="s">
        <v>6607</v>
      </c>
      <c r="C1282" s="1108" t="s">
        <v>6623</v>
      </c>
      <c r="D1282" s="1108" t="s">
        <v>6693</v>
      </c>
      <c r="E1282" s="1116" t="s">
        <v>6694</v>
      </c>
      <c r="F1282" s="1117">
        <v>0.1</v>
      </c>
      <c r="G1282" s="1109">
        <v>0.0</v>
      </c>
      <c r="H1282" s="1116"/>
      <c r="I1282" s="1118" t="str">
        <f t="shared" si="1"/>
        <v/>
      </c>
      <c r="J1282" s="1110"/>
    </row>
    <row r="1283" ht="18.75" customHeight="1">
      <c r="A1283" s="1110"/>
      <c r="B1283" s="1115" t="s">
        <v>6607</v>
      </c>
      <c r="C1283" s="1108" t="s">
        <v>6623</v>
      </c>
      <c r="D1283" s="1108" t="s">
        <v>6695</v>
      </c>
      <c r="E1283" s="1116" t="s">
        <v>6696</v>
      </c>
      <c r="F1283" s="1117">
        <v>0.1</v>
      </c>
      <c r="G1283" s="1109">
        <v>0.0</v>
      </c>
      <c r="H1283" s="1116"/>
      <c r="I1283" s="1118" t="str">
        <f t="shared" si="1"/>
        <v/>
      </c>
      <c r="J1283" s="1110"/>
    </row>
    <row r="1284" ht="18.75" customHeight="1">
      <c r="A1284" s="1110"/>
      <c r="B1284" s="1115" t="s">
        <v>6607</v>
      </c>
      <c r="C1284" s="1108" t="s">
        <v>6623</v>
      </c>
      <c r="D1284" s="1108" t="s">
        <v>6697</v>
      </c>
      <c r="E1284" s="1116" t="s">
        <v>6698</v>
      </c>
      <c r="F1284" s="1117">
        <v>0.1</v>
      </c>
      <c r="G1284" s="1109">
        <v>0.0</v>
      </c>
      <c r="H1284" s="1116"/>
      <c r="I1284" s="1118" t="str">
        <f t="shared" si="1"/>
        <v/>
      </c>
      <c r="J1284" s="1110"/>
    </row>
    <row r="1285" ht="18.75" customHeight="1">
      <c r="A1285" s="1110"/>
      <c r="B1285" s="1115" t="s">
        <v>6607</v>
      </c>
      <c r="C1285" s="1108" t="s">
        <v>6608</v>
      </c>
      <c r="D1285" s="1108" t="s">
        <v>6699</v>
      </c>
      <c r="E1285" s="1116" t="s">
        <v>6700</v>
      </c>
      <c r="F1285" s="1117">
        <v>0.1</v>
      </c>
      <c r="G1285" s="1109">
        <v>0.0</v>
      </c>
      <c r="H1285" s="1118">
        <v>179700.0</v>
      </c>
      <c r="I1285" s="1118">
        <f t="shared" si="1"/>
        <v>163360</v>
      </c>
      <c r="J1285" s="1110"/>
    </row>
    <row r="1286" ht="18.75" customHeight="1">
      <c r="A1286" s="1110"/>
      <c r="B1286" s="1115" t="s">
        <v>6607</v>
      </c>
      <c r="C1286" s="1108" t="s">
        <v>6608</v>
      </c>
      <c r="D1286" s="1108" t="s">
        <v>6701</v>
      </c>
      <c r="E1286" s="1116" t="s">
        <v>6702</v>
      </c>
      <c r="F1286" s="1117">
        <v>0.1</v>
      </c>
      <c r="G1286" s="1109">
        <v>0.0</v>
      </c>
      <c r="H1286" s="1116"/>
      <c r="I1286" s="1118" t="str">
        <f t="shared" si="1"/>
        <v/>
      </c>
      <c r="J1286" s="1110"/>
    </row>
    <row r="1287" ht="18.75" customHeight="1">
      <c r="A1287" s="1110"/>
      <c r="B1287" s="1115" t="s">
        <v>6607</v>
      </c>
      <c r="C1287" s="1108" t="s">
        <v>6608</v>
      </c>
      <c r="D1287" s="1108" t="s">
        <v>6703</v>
      </c>
      <c r="E1287" s="1116" t="s">
        <v>6704</v>
      </c>
      <c r="F1287" s="1117">
        <v>0.1</v>
      </c>
      <c r="G1287" s="1109">
        <v>0.0</v>
      </c>
      <c r="H1287" s="1116"/>
      <c r="I1287" s="1118" t="str">
        <f t="shared" si="1"/>
        <v/>
      </c>
      <c r="J1287" s="1110"/>
    </row>
    <row r="1288" ht="18.75" customHeight="1">
      <c r="A1288" s="1110"/>
      <c r="B1288" s="1115" t="s">
        <v>6607</v>
      </c>
      <c r="C1288" s="1108" t="s">
        <v>6608</v>
      </c>
      <c r="D1288" s="1108" t="s">
        <v>6705</v>
      </c>
      <c r="E1288" s="1116" t="s">
        <v>6706</v>
      </c>
      <c r="F1288" s="1117">
        <v>0.1</v>
      </c>
      <c r="G1288" s="1109">
        <v>0.0</v>
      </c>
      <c r="H1288" s="1116"/>
      <c r="I1288" s="1118" t="str">
        <f t="shared" si="1"/>
        <v/>
      </c>
      <c r="J1288" s="1110"/>
    </row>
    <row r="1289" ht="18.75" customHeight="1">
      <c r="A1289" s="1110"/>
      <c r="B1289" s="1115" t="s">
        <v>6607</v>
      </c>
      <c r="C1289" s="1108" t="s">
        <v>6608</v>
      </c>
      <c r="D1289" s="1108" t="s">
        <v>6707</v>
      </c>
      <c r="E1289" s="1116" t="s">
        <v>6708</v>
      </c>
      <c r="F1289" s="1117">
        <v>0.1</v>
      </c>
      <c r="G1289" s="1109">
        <v>0.0</v>
      </c>
      <c r="H1289" s="1116"/>
      <c r="I1289" s="1118" t="str">
        <f t="shared" si="1"/>
        <v/>
      </c>
      <c r="J1289" s="1110"/>
    </row>
    <row r="1290" ht="18.75" customHeight="1">
      <c r="A1290" s="1110"/>
      <c r="B1290" s="1115" t="s">
        <v>6607</v>
      </c>
      <c r="C1290" s="1108" t="s">
        <v>6648</v>
      </c>
      <c r="D1290" s="1108" t="s">
        <v>6709</v>
      </c>
      <c r="E1290" s="1116" t="s">
        <v>6710</v>
      </c>
      <c r="F1290" s="1117">
        <v>0.1</v>
      </c>
      <c r="G1290" s="1109">
        <v>0.0</v>
      </c>
      <c r="H1290" s="1118">
        <v>35200.0</v>
      </c>
      <c r="I1290" s="1118">
        <f t="shared" si="1"/>
        <v>32000</v>
      </c>
      <c r="J1290" s="1110"/>
    </row>
    <row r="1291" ht="18.75" customHeight="1">
      <c r="A1291" s="1110"/>
      <c r="B1291" s="1115" t="s">
        <v>6607</v>
      </c>
      <c r="C1291" s="1108" t="s">
        <v>6648</v>
      </c>
      <c r="D1291" s="1108" t="s">
        <v>6711</v>
      </c>
      <c r="E1291" s="1116" t="s">
        <v>6712</v>
      </c>
      <c r="F1291" s="1117">
        <v>0.1</v>
      </c>
      <c r="G1291" s="1109">
        <v>0.0</v>
      </c>
      <c r="H1291" s="1118">
        <v>37400.0</v>
      </c>
      <c r="I1291" s="1118">
        <f t="shared" si="1"/>
        <v>34000</v>
      </c>
      <c r="J1291" s="1110"/>
    </row>
    <row r="1292" ht="18.75" customHeight="1">
      <c r="A1292" s="1110"/>
      <c r="B1292" s="1115" t="s">
        <v>6607</v>
      </c>
      <c r="C1292" s="1108" t="s">
        <v>6648</v>
      </c>
      <c r="D1292" s="1108" t="s">
        <v>6713</v>
      </c>
      <c r="E1292" s="1116" t="s">
        <v>6714</v>
      </c>
      <c r="F1292" s="1117">
        <v>0.1</v>
      </c>
      <c r="G1292" s="1109">
        <v>0.0</v>
      </c>
      <c r="H1292" s="1118">
        <v>41800.0</v>
      </c>
      <c r="I1292" s="1118">
        <f t="shared" si="1"/>
        <v>38000</v>
      </c>
      <c r="J1292" s="1110"/>
    </row>
    <row r="1293" ht="18.75" customHeight="1">
      <c r="A1293" s="1110"/>
      <c r="B1293" s="1115" t="s">
        <v>6607</v>
      </c>
      <c r="C1293" s="1108" t="s">
        <v>6648</v>
      </c>
      <c r="D1293" s="1108" t="s">
        <v>6715</v>
      </c>
      <c r="E1293" s="1116" t="s">
        <v>6716</v>
      </c>
      <c r="F1293" s="1117">
        <v>0.1</v>
      </c>
      <c r="G1293" s="1109">
        <v>0.0</v>
      </c>
      <c r="H1293" s="1118">
        <v>46200.0</v>
      </c>
      <c r="I1293" s="1118">
        <f t="shared" si="1"/>
        <v>42000</v>
      </c>
      <c r="J1293" s="1110"/>
    </row>
    <row r="1294" ht="18.75" customHeight="1">
      <c r="A1294" s="1110"/>
      <c r="B1294" s="1115" t="s">
        <v>6607</v>
      </c>
      <c r="C1294" s="1108" t="s">
        <v>6648</v>
      </c>
      <c r="D1294" s="1108" t="s">
        <v>6717</v>
      </c>
      <c r="E1294" s="1116" t="s">
        <v>6718</v>
      </c>
      <c r="F1294" s="1117">
        <v>0.1</v>
      </c>
      <c r="G1294" s="1109">
        <v>0.0</v>
      </c>
      <c r="H1294" s="1118">
        <v>51700.0</v>
      </c>
      <c r="I1294" s="1118">
        <f t="shared" si="1"/>
        <v>47000</v>
      </c>
      <c r="J1294" s="1110"/>
    </row>
    <row r="1295" ht="18.75" customHeight="1">
      <c r="A1295" s="1110"/>
      <c r="B1295" s="1115" t="s">
        <v>6607</v>
      </c>
      <c r="C1295" s="1108" t="s">
        <v>6648</v>
      </c>
      <c r="D1295" s="1108" t="s">
        <v>6719</v>
      </c>
      <c r="E1295" s="1116" t="s">
        <v>6720</v>
      </c>
      <c r="F1295" s="1117">
        <v>0.1</v>
      </c>
      <c r="G1295" s="1109">
        <v>0.0</v>
      </c>
      <c r="H1295" s="1118">
        <v>56100.0</v>
      </c>
      <c r="I1295" s="1118">
        <f t="shared" si="1"/>
        <v>51000</v>
      </c>
      <c r="J1295" s="1110"/>
    </row>
    <row r="1296" ht="18.75" customHeight="1">
      <c r="A1296" s="1110"/>
      <c r="B1296" s="1115" t="s">
        <v>6607</v>
      </c>
      <c r="C1296" s="1108" t="s">
        <v>6623</v>
      </c>
      <c r="D1296" s="1108" t="s">
        <v>6721</v>
      </c>
      <c r="E1296" s="1116" t="s">
        <v>6722</v>
      </c>
      <c r="F1296" s="1117">
        <v>0.1</v>
      </c>
      <c r="G1296" s="1109">
        <v>0.0</v>
      </c>
      <c r="H1296" s="1118">
        <v>61600.0</v>
      </c>
      <c r="I1296" s="1118">
        <f t="shared" si="1"/>
        <v>56000</v>
      </c>
      <c r="J1296" s="1110"/>
    </row>
    <row r="1297" ht="18.75" customHeight="1">
      <c r="A1297" s="1110"/>
      <c r="B1297" s="1115" t="s">
        <v>6607</v>
      </c>
      <c r="C1297" s="1108" t="s">
        <v>6648</v>
      </c>
      <c r="D1297" s="1108" t="s">
        <v>6723</v>
      </c>
      <c r="E1297" s="1116" t="s">
        <v>6724</v>
      </c>
      <c r="F1297" s="1117">
        <v>0.1</v>
      </c>
      <c r="G1297" s="1109">
        <v>0.0</v>
      </c>
      <c r="H1297" s="1118">
        <v>67200.0</v>
      </c>
      <c r="I1297" s="1118">
        <f t="shared" si="1"/>
        <v>61090</v>
      </c>
      <c r="J1297" s="1110"/>
    </row>
    <row r="1298" ht="18.75" customHeight="1">
      <c r="A1298" s="1110"/>
      <c r="B1298" s="1115" t="s">
        <v>6607</v>
      </c>
      <c r="C1298" s="1108" t="s">
        <v>6623</v>
      </c>
      <c r="D1298" s="1108" t="s">
        <v>6725</v>
      </c>
      <c r="E1298" s="1116" t="s">
        <v>6726</v>
      </c>
      <c r="F1298" s="1117">
        <v>0.1</v>
      </c>
      <c r="G1298" s="1109">
        <v>0.0</v>
      </c>
      <c r="H1298" s="1118">
        <v>73700.0</v>
      </c>
      <c r="I1298" s="1118">
        <f t="shared" si="1"/>
        <v>67000</v>
      </c>
      <c r="J1298" s="1110"/>
    </row>
    <row r="1299" ht="18.75" customHeight="1">
      <c r="A1299" s="1110"/>
      <c r="B1299" s="1115" t="s">
        <v>6607</v>
      </c>
      <c r="C1299" s="1108" t="s">
        <v>6648</v>
      </c>
      <c r="D1299" s="1108" t="s">
        <v>6727</v>
      </c>
      <c r="E1299" s="1116" t="s">
        <v>6728</v>
      </c>
      <c r="F1299" s="1117">
        <v>0.1</v>
      </c>
      <c r="G1299" s="1109">
        <v>0.0</v>
      </c>
      <c r="H1299" s="1118">
        <v>84700.0</v>
      </c>
      <c r="I1299" s="1118">
        <f t="shared" si="1"/>
        <v>77000</v>
      </c>
      <c r="J1299" s="1110"/>
    </row>
    <row r="1300" ht="18.75" customHeight="1">
      <c r="A1300" s="1110"/>
      <c r="B1300" s="1115" t="s">
        <v>6607</v>
      </c>
      <c r="C1300" s="1108" t="s">
        <v>6608</v>
      </c>
      <c r="D1300" s="1108" t="s">
        <v>6729</v>
      </c>
      <c r="E1300" s="1116" t="s">
        <v>6730</v>
      </c>
      <c r="F1300" s="1117">
        <v>0.1</v>
      </c>
      <c r="G1300" s="1109">
        <v>0.0</v>
      </c>
      <c r="H1300" s="1118">
        <v>90800.0</v>
      </c>
      <c r="I1300" s="1118">
        <f t="shared" si="1"/>
        <v>82550</v>
      </c>
      <c r="J1300" s="1110"/>
    </row>
    <row r="1301" ht="18.75" customHeight="1">
      <c r="A1301" s="1110"/>
      <c r="B1301" s="1115" t="s">
        <v>6607</v>
      </c>
      <c r="C1301" s="1108" t="s">
        <v>6648</v>
      </c>
      <c r="D1301" s="1108" t="s">
        <v>6731</v>
      </c>
      <c r="E1301" s="1116" t="s">
        <v>6732</v>
      </c>
      <c r="F1301" s="1117">
        <v>0.1</v>
      </c>
      <c r="G1301" s="1109">
        <v>0.0</v>
      </c>
      <c r="H1301" s="1118">
        <v>97900.0</v>
      </c>
      <c r="I1301" s="1118">
        <f t="shared" si="1"/>
        <v>89000</v>
      </c>
      <c r="J1301" s="1110"/>
    </row>
    <row r="1302" ht="18.75" customHeight="1">
      <c r="A1302" s="1110"/>
      <c r="B1302" s="1115" t="s">
        <v>6607</v>
      </c>
      <c r="C1302" s="1108" t="s">
        <v>6648</v>
      </c>
      <c r="D1302" s="1108" t="s">
        <v>6733</v>
      </c>
      <c r="E1302" s="1116" t="s">
        <v>6734</v>
      </c>
      <c r="F1302" s="1117">
        <v>0.1</v>
      </c>
      <c r="G1302" s="1109">
        <v>0.0</v>
      </c>
      <c r="H1302" s="1116"/>
      <c r="I1302" s="1118" t="str">
        <f t="shared" si="1"/>
        <v/>
      </c>
      <c r="J1302" s="1110"/>
    </row>
    <row r="1303" ht="18.75" customHeight="1">
      <c r="A1303" s="1110"/>
      <c r="B1303" s="1115" t="s">
        <v>6607</v>
      </c>
      <c r="C1303" s="1108" t="s">
        <v>6623</v>
      </c>
      <c r="D1303" s="1108" t="s">
        <v>6735</v>
      </c>
      <c r="E1303" s="1116" t="s">
        <v>6736</v>
      </c>
      <c r="F1303" s="1117">
        <v>0.1</v>
      </c>
      <c r="G1303" s="1109">
        <v>0.0</v>
      </c>
      <c r="H1303" s="1118">
        <v>115000.0</v>
      </c>
      <c r="I1303" s="1118">
        <f t="shared" si="1"/>
        <v>104550</v>
      </c>
      <c r="J1303" s="1110"/>
    </row>
    <row r="1304" ht="18.75" customHeight="1">
      <c r="A1304" s="1110"/>
      <c r="B1304" s="1115" t="s">
        <v>6607</v>
      </c>
      <c r="C1304" s="1108" t="s">
        <v>6608</v>
      </c>
      <c r="D1304" s="1108" t="s">
        <v>6737</v>
      </c>
      <c r="E1304" s="1116" t="s">
        <v>6738</v>
      </c>
      <c r="F1304" s="1117">
        <v>0.1</v>
      </c>
      <c r="G1304" s="1109">
        <v>0.0</v>
      </c>
      <c r="H1304" s="1118">
        <v>122800.0</v>
      </c>
      <c r="I1304" s="1118">
        <f t="shared" si="1"/>
        <v>111640</v>
      </c>
      <c r="J1304" s="1110"/>
    </row>
    <row r="1305" ht="18.75" customHeight="1">
      <c r="A1305" s="1110"/>
      <c r="B1305" s="1115" t="s">
        <v>6607</v>
      </c>
      <c r="C1305" s="1108" t="s">
        <v>6608</v>
      </c>
      <c r="D1305" s="1108" t="s">
        <v>6739</v>
      </c>
      <c r="E1305" s="1116" t="s">
        <v>6740</v>
      </c>
      <c r="F1305" s="1117">
        <v>0.1</v>
      </c>
      <c r="G1305" s="1109">
        <v>0.0</v>
      </c>
      <c r="H1305" s="1118">
        <v>130700.0</v>
      </c>
      <c r="I1305" s="1118">
        <f t="shared" si="1"/>
        <v>118820</v>
      </c>
      <c r="J1305" s="1110"/>
    </row>
    <row r="1306" ht="18.75" customHeight="1">
      <c r="A1306" s="1110"/>
      <c r="B1306" s="1115" t="s">
        <v>6607</v>
      </c>
      <c r="C1306" s="1108" t="s">
        <v>6608</v>
      </c>
      <c r="D1306" s="1108" t="s">
        <v>6741</v>
      </c>
      <c r="E1306" s="1116" t="s">
        <v>6742</v>
      </c>
      <c r="F1306" s="1117">
        <v>0.1</v>
      </c>
      <c r="G1306" s="1109">
        <v>0.0</v>
      </c>
      <c r="H1306" s="1116"/>
      <c r="I1306" s="1118" t="str">
        <f t="shared" si="1"/>
        <v/>
      </c>
      <c r="J1306" s="1110"/>
    </row>
    <row r="1307" ht="18.75" customHeight="1">
      <c r="A1307" s="1110"/>
      <c r="B1307" s="1115" t="s">
        <v>6607</v>
      </c>
      <c r="C1307" s="1108" t="s">
        <v>6623</v>
      </c>
      <c r="D1307" s="1108" t="s">
        <v>6743</v>
      </c>
      <c r="E1307" s="1116" t="s">
        <v>6744</v>
      </c>
      <c r="F1307" s="1117">
        <v>0.1</v>
      </c>
      <c r="G1307" s="1109">
        <v>0.0</v>
      </c>
      <c r="H1307" s="1118">
        <v>140400.0</v>
      </c>
      <c r="I1307" s="1118">
        <f t="shared" si="1"/>
        <v>127640</v>
      </c>
      <c r="J1307" s="1110"/>
    </row>
    <row r="1308" ht="18.75" customHeight="1">
      <c r="A1308" s="1110"/>
      <c r="B1308" s="1115" t="s">
        <v>6607</v>
      </c>
      <c r="C1308" s="1108" t="s">
        <v>6623</v>
      </c>
      <c r="D1308" s="1108" t="s">
        <v>6745</v>
      </c>
      <c r="E1308" s="1116" t="s">
        <v>6746</v>
      </c>
      <c r="F1308" s="1117">
        <v>0.1</v>
      </c>
      <c r="G1308" s="1109">
        <v>0.0</v>
      </c>
      <c r="H1308" s="1116"/>
      <c r="I1308" s="1118" t="str">
        <f t="shared" si="1"/>
        <v/>
      </c>
      <c r="J1308" s="1110"/>
    </row>
    <row r="1309" ht="18.75" customHeight="1">
      <c r="A1309" s="1110"/>
      <c r="B1309" s="1115" t="s">
        <v>6607</v>
      </c>
      <c r="C1309" s="1108" t="s">
        <v>6608</v>
      </c>
      <c r="D1309" s="1108" t="s">
        <v>6747</v>
      </c>
      <c r="E1309" s="1116" t="s">
        <v>6748</v>
      </c>
      <c r="F1309" s="1117">
        <v>0.1</v>
      </c>
      <c r="G1309" s="1109">
        <v>0.0</v>
      </c>
      <c r="H1309" s="1118">
        <v>151300.0</v>
      </c>
      <c r="I1309" s="1118">
        <f t="shared" si="1"/>
        <v>137550</v>
      </c>
      <c r="J1309" s="1110"/>
    </row>
    <row r="1310" ht="18.75" customHeight="1">
      <c r="A1310" s="1110"/>
      <c r="B1310" s="1115" t="s">
        <v>6607</v>
      </c>
      <c r="C1310" s="1108" t="s">
        <v>6623</v>
      </c>
      <c r="D1310" s="1108" t="s">
        <v>6749</v>
      </c>
      <c r="E1310" s="1116" t="s">
        <v>6750</v>
      </c>
      <c r="F1310" s="1117">
        <v>0.1</v>
      </c>
      <c r="G1310" s="1109">
        <v>0.0</v>
      </c>
      <c r="H1310" s="1116"/>
      <c r="I1310" s="1118" t="str">
        <f t="shared" si="1"/>
        <v/>
      </c>
      <c r="J1310" s="1110"/>
    </row>
    <row r="1311" ht="18.75" customHeight="1">
      <c r="A1311" s="1110"/>
      <c r="B1311" s="1115" t="s">
        <v>6607</v>
      </c>
      <c r="C1311" s="1108" t="s">
        <v>6623</v>
      </c>
      <c r="D1311" s="1108" t="s">
        <v>6751</v>
      </c>
      <c r="E1311" s="1116" t="s">
        <v>6752</v>
      </c>
      <c r="F1311" s="1117">
        <v>0.1</v>
      </c>
      <c r="G1311" s="1109">
        <v>0.0</v>
      </c>
      <c r="H1311" s="1118">
        <v>180300.0</v>
      </c>
      <c r="I1311" s="1118">
        <f t="shared" si="1"/>
        <v>163910</v>
      </c>
      <c r="J1311" s="1110"/>
    </row>
    <row r="1312" ht="18.75" customHeight="1">
      <c r="A1312" s="1110"/>
      <c r="B1312" s="1115" t="s">
        <v>6607</v>
      </c>
      <c r="C1312" s="1108" t="s">
        <v>6623</v>
      </c>
      <c r="D1312" s="1108" t="s">
        <v>6753</v>
      </c>
      <c r="E1312" s="1116" t="s">
        <v>6754</v>
      </c>
      <c r="F1312" s="1117">
        <v>0.1</v>
      </c>
      <c r="G1312" s="1109">
        <v>0.0</v>
      </c>
      <c r="H1312" s="1116"/>
      <c r="I1312" s="1118" t="str">
        <f t="shared" si="1"/>
        <v/>
      </c>
      <c r="J1312" s="1110"/>
    </row>
    <row r="1313" ht="18.75" customHeight="1">
      <c r="A1313" s="1110"/>
      <c r="B1313" s="1115" t="s">
        <v>6607</v>
      </c>
      <c r="C1313" s="1108" t="s">
        <v>6623</v>
      </c>
      <c r="D1313" s="1108" t="s">
        <v>6755</v>
      </c>
      <c r="E1313" s="1116" t="s">
        <v>6756</v>
      </c>
      <c r="F1313" s="1117">
        <v>0.1</v>
      </c>
      <c r="G1313" s="1109">
        <v>0.0</v>
      </c>
      <c r="H1313" s="1116"/>
      <c r="I1313" s="1118" t="str">
        <f t="shared" si="1"/>
        <v/>
      </c>
      <c r="J1313" s="1110"/>
    </row>
    <row r="1314" ht="18.75" customHeight="1">
      <c r="A1314" s="1110"/>
      <c r="B1314" s="1115" t="s">
        <v>6607</v>
      </c>
      <c r="C1314" s="1108" t="s">
        <v>6623</v>
      </c>
      <c r="D1314" s="1108" t="s">
        <v>6757</v>
      </c>
      <c r="E1314" s="1116" t="s">
        <v>6758</v>
      </c>
      <c r="F1314" s="1117">
        <v>0.1</v>
      </c>
      <c r="G1314" s="1109">
        <v>0.0</v>
      </c>
      <c r="H1314" s="1118">
        <v>203300.0</v>
      </c>
      <c r="I1314" s="1118">
        <f t="shared" si="1"/>
        <v>184820</v>
      </c>
      <c r="J1314" s="1110"/>
    </row>
    <row r="1315" ht="18.75" customHeight="1">
      <c r="A1315" s="1110"/>
      <c r="B1315" s="1115" t="s">
        <v>6607</v>
      </c>
      <c r="C1315" s="1108" t="s">
        <v>6623</v>
      </c>
      <c r="D1315" s="1108" t="s">
        <v>6759</v>
      </c>
      <c r="E1315" s="1116" t="s">
        <v>6760</v>
      </c>
      <c r="F1315" s="1117">
        <v>0.1</v>
      </c>
      <c r="G1315" s="1109">
        <v>0.0</v>
      </c>
      <c r="H1315" s="1116"/>
      <c r="I1315" s="1118" t="str">
        <f t="shared" si="1"/>
        <v/>
      </c>
      <c r="J1315" s="1110"/>
    </row>
    <row r="1316" ht="18.75" customHeight="1">
      <c r="A1316" s="1110"/>
      <c r="B1316" s="1115" t="s">
        <v>6607</v>
      </c>
      <c r="C1316" s="1108" t="s">
        <v>6623</v>
      </c>
      <c r="D1316" s="1108" t="s">
        <v>6761</v>
      </c>
      <c r="E1316" s="1116" t="s">
        <v>6762</v>
      </c>
      <c r="F1316" s="1117">
        <v>0.1</v>
      </c>
      <c r="G1316" s="1109">
        <v>0.0</v>
      </c>
      <c r="H1316" s="1116"/>
      <c r="I1316" s="1118" t="str">
        <f t="shared" si="1"/>
        <v/>
      </c>
      <c r="J1316" s="1110"/>
    </row>
    <row r="1317" ht="18.75" customHeight="1">
      <c r="A1317" s="1110"/>
      <c r="B1317" s="1115" t="s">
        <v>6607</v>
      </c>
      <c r="C1317" s="1108" t="s">
        <v>6623</v>
      </c>
      <c r="D1317" s="1108" t="s">
        <v>6763</v>
      </c>
      <c r="E1317" s="1116" t="s">
        <v>6764</v>
      </c>
      <c r="F1317" s="1117">
        <v>0.1</v>
      </c>
      <c r="G1317" s="1109">
        <v>0.0</v>
      </c>
      <c r="H1317" s="1116"/>
      <c r="I1317" s="1118" t="str">
        <f t="shared" si="1"/>
        <v/>
      </c>
      <c r="J1317" s="1110"/>
    </row>
    <row r="1318" ht="18.75" customHeight="1">
      <c r="A1318" s="1110"/>
      <c r="B1318" s="1115" t="s">
        <v>6607</v>
      </c>
      <c r="C1318" s="1108" t="s">
        <v>6623</v>
      </c>
      <c r="D1318" s="1108" t="s">
        <v>6765</v>
      </c>
      <c r="E1318" s="1116" t="s">
        <v>6766</v>
      </c>
      <c r="F1318" s="1117">
        <v>0.1</v>
      </c>
      <c r="G1318" s="1109">
        <v>0.0</v>
      </c>
      <c r="H1318" s="1116"/>
      <c r="I1318" s="1118" t="str">
        <f t="shared" si="1"/>
        <v/>
      </c>
      <c r="J1318" s="1110"/>
    </row>
    <row r="1319" ht="18.75" customHeight="1">
      <c r="A1319" s="1110"/>
      <c r="B1319" s="1115" t="s">
        <v>6607</v>
      </c>
      <c r="C1319" s="1108" t="s">
        <v>6623</v>
      </c>
      <c r="D1319" s="1108" t="s">
        <v>6767</v>
      </c>
      <c r="E1319" s="1116" t="s">
        <v>6768</v>
      </c>
      <c r="F1319" s="1117">
        <v>0.1</v>
      </c>
      <c r="G1319" s="1109">
        <v>0.0</v>
      </c>
      <c r="H1319" s="1116"/>
      <c r="I1319" s="1118" t="str">
        <f t="shared" si="1"/>
        <v/>
      </c>
      <c r="J1319" s="1110"/>
    </row>
    <row r="1320" ht="18.75" customHeight="1">
      <c r="A1320" s="1110"/>
      <c r="B1320" s="1115" t="s">
        <v>6607</v>
      </c>
      <c r="C1320" s="1108" t="s">
        <v>6608</v>
      </c>
      <c r="D1320" s="1108" t="s">
        <v>6769</v>
      </c>
      <c r="E1320" s="1116" t="s">
        <v>6770</v>
      </c>
      <c r="F1320" s="1117">
        <v>0.1</v>
      </c>
      <c r="G1320" s="1109">
        <v>0.0</v>
      </c>
      <c r="H1320" s="1118">
        <v>286800.0</v>
      </c>
      <c r="I1320" s="1118">
        <f t="shared" si="1"/>
        <v>260730</v>
      </c>
      <c r="J1320" s="1110"/>
    </row>
    <row r="1321" ht="18.75" customHeight="1">
      <c r="A1321" s="1110"/>
      <c r="B1321" s="1115" t="s">
        <v>6607</v>
      </c>
      <c r="C1321" s="1108" t="s">
        <v>6608</v>
      </c>
      <c r="D1321" s="1108" t="s">
        <v>6771</v>
      </c>
      <c r="E1321" s="1116" t="s">
        <v>6772</v>
      </c>
      <c r="F1321" s="1117">
        <v>0.1</v>
      </c>
      <c r="G1321" s="1109">
        <v>0.0</v>
      </c>
      <c r="H1321" s="1116"/>
      <c r="I1321" s="1118" t="str">
        <f t="shared" si="1"/>
        <v/>
      </c>
      <c r="J1321" s="1110"/>
    </row>
    <row r="1322" ht="18.75" customHeight="1">
      <c r="A1322" s="1110"/>
      <c r="B1322" s="1115" t="s">
        <v>6607</v>
      </c>
      <c r="C1322" s="1108" t="s">
        <v>6608</v>
      </c>
      <c r="D1322" s="1108" t="s">
        <v>6773</v>
      </c>
      <c r="E1322" s="1116" t="s">
        <v>6774</v>
      </c>
      <c r="F1322" s="1117">
        <v>0.1</v>
      </c>
      <c r="G1322" s="1109">
        <v>0.0</v>
      </c>
      <c r="H1322" s="1116"/>
      <c r="I1322" s="1118" t="str">
        <f t="shared" si="1"/>
        <v/>
      </c>
      <c r="J1322" s="1110"/>
    </row>
    <row r="1323" ht="18.75" customHeight="1">
      <c r="A1323" s="1110"/>
      <c r="B1323" s="1115" t="s">
        <v>6607</v>
      </c>
      <c r="C1323" s="1108" t="s">
        <v>6608</v>
      </c>
      <c r="D1323" s="1108" t="s">
        <v>6775</v>
      </c>
      <c r="E1323" s="1116" t="s">
        <v>6776</v>
      </c>
      <c r="F1323" s="1117">
        <v>0.1</v>
      </c>
      <c r="G1323" s="1109">
        <v>0.0</v>
      </c>
      <c r="H1323" s="1116"/>
      <c r="I1323" s="1118" t="str">
        <f t="shared" si="1"/>
        <v/>
      </c>
      <c r="J1323" s="1110"/>
    </row>
    <row r="1324" ht="18.75" customHeight="1">
      <c r="A1324" s="1110"/>
      <c r="B1324" s="1115" t="s">
        <v>6607</v>
      </c>
      <c r="C1324" s="1108" t="s">
        <v>6608</v>
      </c>
      <c r="D1324" s="1108" t="s">
        <v>6777</v>
      </c>
      <c r="E1324" s="1116" t="s">
        <v>6778</v>
      </c>
      <c r="F1324" s="1117">
        <v>0.1</v>
      </c>
      <c r="G1324" s="1109">
        <v>0.0</v>
      </c>
      <c r="H1324" s="1116"/>
      <c r="I1324" s="1118" t="str">
        <f t="shared" si="1"/>
        <v/>
      </c>
      <c r="J1324" s="1110"/>
    </row>
    <row r="1325" ht="18.75" customHeight="1">
      <c r="A1325" s="1110"/>
      <c r="B1325" s="1115" t="s">
        <v>6607</v>
      </c>
      <c r="C1325" s="1108" t="s">
        <v>6623</v>
      </c>
      <c r="D1325" s="1108" t="s">
        <v>6779</v>
      </c>
      <c r="E1325" s="1116" t="s">
        <v>6780</v>
      </c>
      <c r="F1325" s="1117">
        <v>0.1</v>
      </c>
      <c r="G1325" s="1109">
        <v>0.0</v>
      </c>
      <c r="H1325" s="1116"/>
      <c r="I1325" s="1118" t="str">
        <f t="shared" si="1"/>
        <v/>
      </c>
      <c r="J1325" s="1110"/>
    </row>
    <row r="1326" ht="18.75" customHeight="1">
      <c r="A1326" s="1110"/>
      <c r="B1326" s="1115" t="s">
        <v>6607</v>
      </c>
      <c r="C1326" s="1108" t="s">
        <v>6623</v>
      </c>
      <c r="D1326" s="1108" t="s">
        <v>6781</v>
      </c>
      <c r="E1326" s="1116" t="s">
        <v>6782</v>
      </c>
      <c r="F1326" s="1117">
        <v>0.1</v>
      </c>
      <c r="G1326" s="1109">
        <v>0.0</v>
      </c>
      <c r="H1326" s="1118">
        <v>71500.0</v>
      </c>
      <c r="I1326" s="1118">
        <f t="shared" si="1"/>
        <v>65000</v>
      </c>
      <c r="J1326" s="1110"/>
    </row>
    <row r="1327" ht="18.75" customHeight="1">
      <c r="A1327" s="1110"/>
      <c r="B1327" s="1115" t="s">
        <v>6607</v>
      </c>
      <c r="C1327" s="1108" t="s">
        <v>6623</v>
      </c>
      <c r="D1327" s="1108" t="s">
        <v>6783</v>
      </c>
      <c r="E1327" s="1116" t="s">
        <v>6784</v>
      </c>
      <c r="F1327" s="1117">
        <v>0.1</v>
      </c>
      <c r="G1327" s="1109">
        <v>0.0</v>
      </c>
      <c r="H1327" s="1118">
        <v>79300.0</v>
      </c>
      <c r="I1327" s="1118">
        <f t="shared" si="1"/>
        <v>72090</v>
      </c>
      <c r="J1327" s="1110"/>
    </row>
    <row r="1328" ht="18.75" customHeight="1">
      <c r="A1328" s="1110"/>
      <c r="B1328" s="1115" t="s">
        <v>6607</v>
      </c>
      <c r="C1328" s="1108" t="s">
        <v>6623</v>
      </c>
      <c r="D1328" s="1108" t="s">
        <v>6785</v>
      </c>
      <c r="E1328" s="1116" t="s">
        <v>6786</v>
      </c>
      <c r="F1328" s="1117">
        <v>0.1</v>
      </c>
      <c r="G1328" s="1109">
        <v>0.0</v>
      </c>
      <c r="H1328" s="1118">
        <v>86900.0</v>
      </c>
      <c r="I1328" s="1118">
        <f t="shared" si="1"/>
        <v>79000</v>
      </c>
      <c r="J1328" s="1110"/>
    </row>
    <row r="1329" ht="18.75" customHeight="1">
      <c r="A1329" s="1110"/>
      <c r="B1329" s="1115" t="s">
        <v>6607</v>
      </c>
      <c r="C1329" s="1108" t="s">
        <v>6623</v>
      </c>
      <c r="D1329" s="1108" t="s">
        <v>6787</v>
      </c>
      <c r="E1329" s="1116" t="s">
        <v>6788</v>
      </c>
      <c r="F1329" s="1117">
        <v>0.1</v>
      </c>
      <c r="G1329" s="1109">
        <v>0.0</v>
      </c>
      <c r="H1329" s="1118">
        <v>92400.0</v>
      </c>
      <c r="I1329" s="1118">
        <f t="shared" si="1"/>
        <v>84000</v>
      </c>
      <c r="J1329" s="1110"/>
    </row>
    <row r="1330" ht="18.75" customHeight="1">
      <c r="A1330" s="1110"/>
      <c r="B1330" s="1115" t="s">
        <v>6607</v>
      </c>
      <c r="C1330" s="1108" t="s">
        <v>6623</v>
      </c>
      <c r="D1330" s="1108" t="s">
        <v>6789</v>
      </c>
      <c r="E1330" s="1116" t="s">
        <v>6790</v>
      </c>
      <c r="F1330" s="1117">
        <v>0.1</v>
      </c>
      <c r="G1330" s="1109">
        <v>0.0</v>
      </c>
      <c r="H1330" s="1118">
        <v>102300.0</v>
      </c>
      <c r="I1330" s="1118">
        <f t="shared" si="1"/>
        <v>93000</v>
      </c>
      <c r="J1330" s="1110"/>
    </row>
    <row r="1331" ht="18.75" customHeight="1">
      <c r="A1331" s="1110"/>
      <c r="B1331" s="1115" t="s">
        <v>6607</v>
      </c>
      <c r="C1331" s="1108" t="s">
        <v>6623</v>
      </c>
      <c r="D1331" s="1108" t="s">
        <v>6791</v>
      </c>
      <c r="E1331" s="1116" t="s">
        <v>6792</v>
      </c>
      <c r="F1331" s="1117">
        <v>0.1</v>
      </c>
      <c r="G1331" s="1109">
        <v>0.0</v>
      </c>
      <c r="H1331" s="1118">
        <v>113300.0</v>
      </c>
      <c r="I1331" s="1118">
        <f t="shared" si="1"/>
        <v>103000</v>
      </c>
      <c r="J1331" s="1110"/>
    </row>
    <row r="1332" ht="18.75" customHeight="1">
      <c r="A1332" s="1110"/>
      <c r="B1332" s="1115" t="s">
        <v>6607</v>
      </c>
      <c r="C1332" s="1108" t="s">
        <v>6648</v>
      </c>
      <c r="D1332" s="1108" t="s">
        <v>6793</v>
      </c>
      <c r="E1332" s="1116" t="s">
        <v>6794</v>
      </c>
      <c r="F1332" s="1117">
        <v>0.1</v>
      </c>
      <c r="G1332" s="1109">
        <v>0.0</v>
      </c>
      <c r="H1332" s="1118">
        <v>118800.0</v>
      </c>
      <c r="I1332" s="1118">
        <f t="shared" si="1"/>
        <v>108000</v>
      </c>
      <c r="J1332" s="1110"/>
    </row>
    <row r="1333" ht="18.75" customHeight="1">
      <c r="A1333" s="1110"/>
      <c r="B1333" s="1115" t="s">
        <v>6607</v>
      </c>
      <c r="C1333" s="1108" t="s">
        <v>6623</v>
      </c>
      <c r="D1333" s="1108" t="s">
        <v>6795</v>
      </c>
      <c r="E1333" s="1116" t="s">
        <v>6796</v>
      </c>
      <c r="F1333" s="1117">
        <v>0.1</v>
      </c>
      <c r="G1333" s="1109">
        <v>0.0</v>
      </c>
      <c r="H1333" s="1118">
        <v>127700.0</v>
      </c>
      <c r="I1333" s="1118">
        <f t="shared" si="1"/>
        <v>116090</v>
      </c>
      <c r="J1333" s="1110"/>
    </row>
    <row r="1334" ht="18.75" customHeight="1">
      <c r="A1334" s="1110"/>
      <c r="B1334" s="1115" t="s">
        <v>6607</v>
      </c>
      <c r="C1334" s="1108" t="s">
        <v>6648</v>
      </c>
      <c r="D1334" s="1108" t="s">
        <v>6797</v>
      </c>
      <c r="E1334" s="1116" t="s">
        <v>6798</v>
      </c>
      <c r="F1334" s="1117">
        <v>0.1</v>
      </c>
      <c r="G1334" s="1109">
        <v>0.0</v>
      </c>
      <c r="H1334" s="1118">
        <v>134200.0</v>
      </c>
      <c r="I1334" s="1118">
        <f t="shared" si="1"/>
        <v>122000</v>
      </c>
      <c r="J1334" s="1110"/>
    </row>
    <row r="1335" ht="18.75" customHeight="1">
      <c r="A1335" s="1110"/>
      <c r="B1335" s="1115" t="s">
        <v>6607</v>
      </c>
      <c r="C1335" s="1108" t="s">
        <v>6623</v>
      </c>
      <c r="D1335" s="1108" t="s">
        <v>6799</v>
      </c>
      <c r="E1335" s="1116" t="s">
        <v>6800</v>
      </c>
      <c r="F1335" s="1117">
        <v>0.1</v>
      </c>
      <c r="G1335" s="1109">
        <v>0.0</v>
      </c>
      <c r="H1335" s="1118">
        <v>143000.0</v>
      </c>
      <c r="I1335" s="1118">
        <f t="shared" si="1"/>
        <v>130000</v>
      </c>
      <c r="J1335" s="1110"/>
    </row>
    <row r="1336" ht="18.75" customHeight="1">
      <c r="A1336" s="1110"/>
      <c r="B1336" s="1115" t="s">
        <v>6607</v>
      </c>
      <c r="C1336" s="1108" t="s">
        <v>6648</v>
      </c>
      <c r="D1336" s="1108" t="s">
        <v>6801</v>
      </c>
      <c r="E1336" s="1116" t="s">
        <v>6802</v>
      </c>
      <c r="F1336" s="1117">
        <v>0.1</v>
      </c>
      <c r="G1336" s="1109">
        <v>0.0</v>
      </c>
      <c r="H1336" s="1118">
        <v>150700.0</v>
      </c>
      <c r="I1336" s="1118">
        <f t="shared" si="1"/>
        <v>137000</v>
      </c>
      <c r="J1336" s="1110"/>
    </row>
    <row r="1337" ht="18.75" customHeight="1">
      <c r="A1337" s="1110"/>
      <c r="B1337" s="1115" t="s">
        <v>6607</v>
      </c>
      <c r="C1337" s="1108" t="s">
        <v>6648</v>
      </c>
      <c r="D1337" s="1108" t="s">
        <v>6803</v>
      </c>
      <c r="E1337" s="1116" t="s">
        <v>6804</v>
      </c>
      <c r="F1337" s="1117">
        <v>0.1</v>
      </c>
      <c r="G1337" s="1109">
        <v>0.0</v>
      </c>
      <c r="H1337" s="1116"/>
      <c r="I1337" s="1118" t="str">
        <f t="shared" si="1"/>
        <v/>
      </c>
      <c r="J1337" s="1110"/>
    </row>
    <row r="1338" ht="18.75" customHeight="1">
      <c r="A1338" s="1110"/>
      <c r="B1338" s="1115" t="s">
        <v>6607</v>
      </c>
      <c r="C1338" s="1108" t="s">
        <v>6623</v>
      </c>
      <c r="D1338" s="1108" t="s">
        <v>6805</v>
      </c>
      <c r="E1338" s="1116" t="s">
        <v>6806</v>
      </c>
      <c r="F1338" s="1117">
        <v>0.1</v>
      </c>
      <c r="G1338" s="1109">
        <v>0.0</v>
      </c>
      <c r="H1338" s="1118">
        <v>157300.0</v>
      </c>
      <c r="I1338" s="1118">
        <f t="shared" si="1"/>
        <v>143000</v>
      </c>
      <c r="J1338" s="1110"/>
    </row>
    <row r="1339" ht="18.75" customHeight="1">
      <c r="A1339" s="1110"/>
      <c r="B1339" s="1115" t="s">
        <v>6607</v>
      </c>
      <c r="C1339" s="1108" t="s">
        <v>6608</v>
      </c>
      <c r="D1339" s="1108" t="s">
        <v>6807</v>
      </c>
      <c r="E1339" s="1116" t="s">
        <v>6808</v>
      </c>
      <c r="F1339" s="1117">
        <v>0.1</v>
      </c>
      <c r="G1339" s="1109">
        <v>0.0</v>
      </c>
      <c r="H1339" s="1118">
        <v>171600.0</v>
      </c>
      <c r="I1339" s="1118">
        <f t="shared" si="1"/>
        <v>156000</v>
      </c>
      <c r="J1339" s="1110"/>
    </row>
    <row r="1340" ht="18.75" customHeight="1">
      <c r="A1340" s="1110"/>
      <c r="B1340" s="1115" t="s">
        <v>6607</v>
      </c>
      <c r="C1340" s="1108" t="s">
        <v>6608</v>
      </c>
      <c r="D1340" s="1108" t="s">
        <v>6809</v>
      </c>
      <c r="E1340" s="1116" t="s">
        <v>6810</v>
      </c>
      <c r="F1340" s="1117">
        <v>0.1</v>
      </c>
      <c r="G1340" s="1109">
        <v>0.0</v>
      </c>
      <c r="H1340" s="1116"/>
      <c r="I1340" s="1118" t="str">
        <f t="shared" si="1"/>
        <v/>
      </c>
      <c r="J1340" s="1110"/>
    </row>
    <row r="1341" ht="18.75" customHeight="1">
      <c r="A1341" s="1110"/>
      <c r="B1341" s="1115" t="s">
        <v>6607</v>
      </c>
      <c r="C1341" s="1108" t="s">
        <v>6608</v>
      </c>
      <c r="D1341" s="1108" t="s">
        <v>6811</v>
      </c>
      <c r="E1341" s="1116" t="s">
        <v>6812</v>
      </c>
      <c r="F1341" s="1117">
        <v>0.1</v>
      </c>
      <c r="G1341" s="1109">
        <v>0.0</v>
      </c>
      <c r="H1341" s="1118">
        <v>205700.0</v>
      </c>
      <c r="I1341" s="1118">
        <f t="shared" si="1"/>
        <v>187000</v>
      </c>
      <c r="J1341" s="1110"/>
    </row>
    <row r="1342" ht="18.75" customHeight="1">
      <c r="A1342" s="1110"/>
      <c r="B1342" s="1115" t="s">
        <v>6607</v>
      </c>
      <c r="C1342" s="1108" t="s">
        <v>6608</v>
      </c>
      <c r="D1342" s="1108" t="s">
        <v>6813</v>
      </c>
      <c r="E1342" s="1116" t="s">
        <v>6814</v>
      </c>
      <c r="F1342" s="1117">
        <v>0.1</v>
      </c>
      <c r="G1342" s="1109">
        <v>0.0</v>
      </c>
      <c r="H1342" s="1116"/>
      <c r="I1342" s="1118" t="str">
        <f t="shared" si="1"/>
        <v/>
      </c>
      <c r="J1342" s="1110"/>
    </row>
    <row r="1343" ht="18.75" customHeight="1">
      <c r="A1343" s="1110"/>
      <c r="B1343" s="1115" t="s">
        <v>6607</v>
      </c>
      <c r="C1343" s="1108" t="s">
        <v>6608</v>
      </c>
      <c r="D1343" s="1108" t="s">
        <v>6815</v>
      </c>
      <c r="E1343" s="1116" t="s">
        <v>6816</v>
      </c>
      <c r="F1343" s="1117">
        <v>0.1</v>
      </c>
      <c r="G1343" s="1109">
        <v>0.0</v>
      </c>
      <c r="H1343" s="1118">
        <v>218900.0</v>
      </c>
      <c r="I1343" s="1118">
        <f t="shared" si="1"/>
        <v>199000</v>
      </c>
      <c r="J1343" s="1110"/>
    </row>
    <row r="1344" ht="18.75" customHeight="1">
      <c r="A1344" s="1110"/>
      <c r="B1344" s="1115" t="s">
        <v>6607</v>
      </c>
      <c r="C1344" s="1108" t="s">
        <v>6623</v>
      </c>
      <c r="D1344" s="1108" t="s">
        <v>6817</v>
      </c>
      <c r="E1344" s="1116" t="s">
        <v>6818</v>
      </c>
      <c r="F1344" s="1117">
        <v>0.1</v>
      </c>
      <c r="G1344" s="1109">
        <v>0.0</v>
      </c>
      <c r="H1344" s="1116"/>
      <c r="I1344" s="1118" t="str">
        <f t="shared" si="1"/>
        <v/>
      </c>
      <c r="J1344" s="1110"/>
    </row>
    <row r="1345" ht="18.75" customHeight="1">
      <c r="A1345" s="1110"/>
      <c r="B1345" s="1115" t="s">
        <v>6607</v>
      </c>
      <c r="C1345" s="1108" t="s">
        <v>6623</v>
      </c>
      <c r="D1345" s="1108" t="s">
        <v>6819</v>
      </c>
      <c r="E1345" s="1116" t="s">
        <v>6820</v>
      </c>
      <c r="F1345" s="1117">
        <v>0.1</v>
      </c>
      <c r="G1345" s="1109">
        <v>0.0</v>
      </c>
      <c r="H1345" s="1118">
        <v>262900.0</v>
      </c>
      <c r="I1345" s="1118">
        <f t="shared" si="1"/>
        <v>239000</v>
      </c>
      <c r="J1345" s="1110"/>
    </row>
    <row r="1346" ht="18.75" customHeight="1">
      <c r="A1346" s="1110"/>
      <c r="B1346" s="1115" t="s">
        <v>6607</v>
      </c>
      <c r="C1346" s="1108" t="s">
        <v>6608</v>
      </c>
      <c r="D1346" s="1108" t="s">
        <v>6821</v>
      </c>
      <c r="E1346" s="1116" t="s">
        <v>6822</v>
      </c>
      <c r="F1346" s="1117">
        <v>0.1</v>
      </c>
      <c r="G1346" s="1109">
        <v>0.0</v>
      </c>
      <c r="H1346" s="1118">
        <v>269500.0</v>
      </c>
      <c r="I1346" s="1118">
        <f t="shared" si="1"/>
        <v>245000</v>
      </c>
      <c r="J1346" s="1110"/>
    </row>
    <row r="1347" ht="18.75" customHeight="1">
      <c r="A1347" s="1110"/>
      <c r="B1347" s="1115" t="s">
        <v>6607</v>
      </c>
      <c r="C1347" s="1108" t="s">
        <v>6608</v>
      </c>
      <c r="D1347" s="1108" t="s">
        <v>6823</v>
      </c>
      <c r="E1347" s="1116" t="s">
        <v>6824</v>
      </c>
      <c r="F1347" s="1117">
        <v>0.1</v>
      </c>
      <c r="G1347" s="1109">
        <v>0.0</v>
      </c>
      <c r="H1347" s="1116"/>
      <c r="I1347" s="1118" t="str">
        <f t="shared" si="1"/>
        <v/>
      </c>
      <c r="J1347" s="1110"/>
    </row>
    <row r="1348" ht="18.75" customHeight="1">
      <c r="A1348" s="1110"/>
      <c r="B1348" s="1115" t="s">
        <v>6607</v>
      </c>
      <c r="C1348" s="1108" t="s">
        <v>6608</v>
      </c>
      <c r="D1348" s="1108" t="s">
        <v>6825</v>
      </c>
      <c r="E1348" s="1116" t="s">
        <v>6826</v>
      </c>
      <c r="F1348" s="1117">
        <v>0.1</v>
      </c>
      <c r="G1348" s="1109">
        <v>0.0</v>
      </c>
      <c r="H1348" s="1118">
        <v>286000.0</v>
      </c>
      <c r="I1348" s="1118">
        <f t="shared" si="1"/>
        <v>260000</v>
      </c>
      <c r="J1348" s="1110"/>
    </row>
    <row r="1349" ht="18.75" customHeight="1">
      <c r="A1349" s="1110"/>
      <c r="B1349" s="1115" t="s">
        <v>6607</v>
      </c>
      <c r="C1349" s="1108" t="s">
        <v>6608</v>
      </c>
      <c r="D1349" s="1108" t="s">
        <v>6827</v>
      </c>
      <c r="E1349" s="1116" t="s">
        <v>6828</v>
      </c>
      <c r="F1349" s="1117">
        <v>0.1</v>
      </c>
      <c r="G1349" s="1109">
        <v>0.0</v>
      </c>
      <c r="H1349" s="1116"/>
      <c r="I1349" s="1118" t="str">
        <f t="shared" si="1"/>
        <v/>
      </c>
      <c r="J1349" s="1110"/>
    </row>
    <row r="1350" ht="18.75" customHeight="1">
      <c r="A1350" s="1110"/>
      <c r="B1350" s="1115" t="s">
        <v>6607</v>
      </c>
      <c r="C1350" s="1108" t="s">
        <v>6608</v>
      </c>
      <c r="D1350" s="1108" t="s">
        <v>6829</v>
      </c>
      <c r="E1350" s="1116" t="s">
        <v>6830</v>
      </c>
      <c r="F1350" s="1117">
        <v>0.1</v>
      </c>
      <c r="G1350" s="1109">
        <v>0.0</v>
      </c>
      <c r="H1350" s="1116"/>
      <c r="I1350" s="1118" t="str">
        <f t="shared" si="1"/>
        <v/>
      </c>
      <c r="J1350" s="1110"/>
    </row>
    <row r="1351" ht="18.75" customHeight="1">
      <c r="A1351" s="1110"/>
      <c r="B1351" s="1115" t="s">
        <v>6607</v>
      </c>
      <c r="C1351" s="1108" t="s">
        <v>6608</v>
      </c>
      <c r="D1351" s="1108" t="s">
        <v>6831</v>
      </c>
      <c r="E1351" s="1116" t="s">
        <v>6832</v>
      </c>
      <c r="F1351" s="1117">
        <v>0.1</v>
      </c>
      <c r="G1351" s="1109">
        <v>0.0</v>
      </c>
      <c r="H1351" s="1116"/>
      <c r="I1351" s="1118" t="str">
        <f t="shared" si="1"/>
        <v/>
      </c>
      <c r="J1351" s="1110"/>
    </row>
    <row r="1352" ht="18.75" customHeight="1">
      <c r="A1352" s="1110"/>
      <c r="B1352" s="1115" t="s">
        <v>6607</v>
      </c>
      <c r="C1352" s="1108" t="s">
        <v>6608</v>
      </c>
      <c r="D1352" s="1108" t="s">
        <v>6833</v>
      </c>
      <c r="E1352" s="1116" t="s">
        <v>6834</v>
      </c>
      <c r="F1352" s="1117">
        <v>0.1</v>
      </c>
      <c r="G1352" s="1109">
        <v>0.0</v>
      </c>
      <c r="H1352" s="1116"/>
      <c r="I1352" s="1118" t="str">
        <f t="shared" si="1"/>
        <v/>
      </c>
      <c r="J1352" s="1110"/>
    </row>
    <row r="1353" ht="18.75" customHeight="1">
      <c r="A1353" s="1110"/>
      <c r="B1353" s="1115" t="s">
        <v>6607</v>
      </c>
      <c r="C1353" s="1108" t="s">
        <v>6608</v>
      </c>
      <c r="D1353" s="1108" t="s">
        <v>6835</v>
      </c>
      <c r="E1353" s="1116" t="s">
        <v>6836</v>
      </c>
      <c r="F1353" s="1117">
        <v>0.1</v>
      </c>
      <c r="G1353" s="1109">
        <v>0.0</v>
      </c>
      <c r="H1353" s="1118">
        <v>326700.0</v>
      </c>
      <c r="I1353" s="1118">
        <f t="shared" si="1"/>
        <v>297000</v>
      </c>
      <c r="J1353" s="1110"/>
    </row>
    <row r="1354" ht="18.75" customHeight="1">
      <c r="A1354" s="1110"/>
      <c r="B1354" s="1115" t="s">
        <v>6607</v>
      </c>
      <c r="C1354" s="1108" t="s">
        <v>6608</v>
      </c>
      <c r="D1354" s="1108" t="s">
        <v>6837</v>
      </c>
      <c r="E1354" s="1116" t="s">
        <v>6838</v>
      </c>
      <c r="F1354" s="1117">
        <v>0.1</v>
      </c>
      <c r="G1354" s="1109">
        <v>0.0</v>
      </c>
      <c r="H1354" s="1118">
        <v>339900.0</v>
      </c>
      <c r="I1354" s="1118">
        <f t="shared" si="1"/>
        <v>309000</v>
      </c>
      <c r="J1354" s="1110"/>
    </row>
    <row r="1355" ht="18.75" customHeight="1">
      <c r="A1355" s="1110"/>
      <c r="B1355" s="1115" t="s">
        <v>6607</v>
      </c>
      <c r="C1355" s="1108" t="s">
        <v>6608</v>
      </c>
      <c r="D1355" s="1108" t="s">
        <v>6839</v>
      </c>
      <c r="E1355" s="1116" t="s">
        <v>6840</v>
      </c>
      <c r="F1355" s="1117">
        <v>0.1</v>
      </c>
      <c r="G1355" s="1109">
        <v>0.0</v>
      </c>
      <c r="H1355" s="1116"/>
      <c r="I1355" s="1118" t="str">
        <f t="shared" si="1"/>
        <v/>
      </c>
      <c r="J1355" s="1110"/>
    </row>
    <row r="1356" ht="18.75" customHeight="1">
      <c r="A1356" s="1110"/>
      <c r="B1356" s="1115" t="s">
        <v>6607</v>
      </c>
      <c r="C1356" s="1108" t="s">
        <v>6608</v>
      </c>
      <c r="D1356" s="1108" t="s">
        <v>6841</v>
      </c>
      <c r="E1356" s="1116" t="s">
        <v>6842</v>
      </c>
      <c r="F1356" s="1117">
        <v>0.1</v>
      </c>
      <c r="G1356" s="1109">
        <v>0.0</v>
      </c>
      <c r="H1356" s="1116"/>
      <c r="I1356" s="1118" t="str">
        <f t="shared" si="1"/>
        <v/>
      </c>
      <c r="J1356" s="1110"/>
    </row>
    <row r="1357" ht="18.75" customHeight="1">
      <c r="A1357" s="1110"/>
      <c r="B1357" s="1115" t="s">
        <v>6607</v>
      </c>
      <c r="C1357" s="1108" t="s">
        <v>6608</v>
      </c>
      <c r="D1357" s="1108" t="s">
        <v>6843</v>
      </c>
      <c r="E1357" s="1116" t="s">
        <v>6844</v>
      </c>
      <c r="F1357" s="1117">
        <v>0.1</v>
      </c>
      <c r="G1357" s="1109">
        <v>0.0</v>
      </c>
      <c r="H1357" s="1118">
        <v>426800.0</v>
      </c>
      <c r="I1357" s="1118">
        <f t="shared" si="1"/>
        <v>388000</v>
      </c>
      <c r="J1357" s="1110"/>
    </row>
    <row r="1358" ht="18.75" customHeight="1">
      <c r="A1358" s="1110"/>
      <c r="B1358" s="1115" t="s">
        <v>6607</v>
      </c>
      <c r="C1358" s="1108" t="s">
        <v>6608</v>
      </c>
      <c r="D1358" s="1108" t="s">
        <v>6845</v>
      </c>
      <c r="E1358" s="1116" t="s">
        <v>6846</v>
      </c>
      <c r="F1358" s="1117">
        <v>0.1</v>
      </c>
      <c r="G1358" s="1109">
        <v>0.0</v>
      </c>
      <c r="H1358" s="1116"/>
      <c r="I1358" s="1118" t="str">
        <f t="shared" si="1"/>
        <v/>
      </c>
      <c r="J1358" s="1110"/>
    </row>
    <row r="1359" ht="18.75" customHeight="1">
      <c r="A1359" s="1110"/>
      <c r="B1359" s="1115" t="s">
        <v>6607</v>
      </c>
      <c r="C1359" s="1108" t="s">
        <v>6608</v>
      </c>
      <c r="D1359" s="1108" t="s">
        <v>6847</v>
      </c>
      <c r="E1359" s="1116" t="s">
        <v>6848</v>
      </c>
      <c r="F1359" s="1117">
        <v>0.1</v>
      </c>
      <c r="G1359" s="1109">
        <v>0.0</v>
      </c>
      <c r="H1359" s="1116"/>
      <c r="I1359" s="1118" t="str">
        <f t="shared" si="1"/>
        <v/>
      </c>
      <c r="J1359" s="1110"/>
    </row>
    <row r="1360" ht="18.75" customHeight="1">
      <c r="A1360" s="1110"/>
      <c r="B1360" s="1115" t="s">
        <v>6607</v>
      </c>
      <c r="C1360" s="1108" t="s">
        <v>6608</v>
      </c>
      <c r="D1360" s="1108" t="s">
        <v>6849</v>
      </c>
      <c r="E1360" s="1116" t="s">
        <v>6850</v>
      </c>
      <c r="F1360" s="1117">
        <v>0.1</v>
      </c>
      <c r="G1360" s="1109">
        <v>0.0</v>
      </c>
      <c r="H1360" s="1116"/>
      <c r="I1360" s="1118" t="str">
        <f t="shared" si="1"/>
        <v/>
      </c>
      <c r="J1360" s="1110"/>
    </row>
    <row r="1361" ht="18.75" customHeight="1">
      <c r="A1361" s="1110"/>
      <c r="B1361" s="1115" t="s">
        <v>6607</v>
      </c>
      <c r="C1361" s="1108" t="s">
        <v>6608</v>
      </c>
      <c r="D1361" s="1108" t="s">
        <v>6851</v>
      </c>
      <c r="E1361" s="1116" t="s">
        <v>6852</v>
      </c>
      <c r="F1361" s="1117">
        <v>0.1</v>
      </c>
      <c r="G1361" s="1109">
        <v>0.0</v>
      </c>
      <c r="H1361" s="1118">
        <v>127700.0</v>
      </c>
      <c r="I1361" s="1118">
        <f t="shared" si="1"/>
        <v>116090</v>
      </c>
      <c r="J1361" s="1110"/>
    </row>
    <row r="1362" ht="18.75" customHeight="1">
      <c r="A1362" s="1110"/>
      <c r="B1362" s="1115" t="s">
        <v>6607</v>
      </c>
      <c r="C1362" s="1108" t="s">
        <v>6608</v>
      </c>
      <c r="D1362" s="1108" t="s">
        <v>6853</v>
      </c>
      <c r="E1362" s="1116" t="s">
        <v>6854</v>
      </c>
      <c r="F1362" s="1117">
        <v>0.1</v>
      </c>
      <c r="G1362" s="1109">
        <v>0.0</v>
      </c>
      <c r="H1362" s="1118">
        <v>134200.0</v>
      </c>
      <c r="I1362" s="1118">
        <f t="shared" si="1"/>
        <v>122000</v>
      </c>
      <c r="J1362" s="1110"/>
    </row>
    <row r="1363" ht="18.75" customHeight="1">
      <c r="A1363" s="1110"/>
      <c r="B1363" s="1115" t="s">
        <v>6607</v>
      </c>
      <c r="C1363" s="1108" t="s">
        <v>6608</v>
      </c>
      <c r="D1363" s="1108" t="s">
        <v>6855</v>
      </c>
      <c r="E1363" s="1116" t="s">
        <v>6856</v>
      </c>
      <c r="F1363" s="1117">
        <v>0.1</v>
      </c>
      <c r="G1363" s="1109">
        <v>0.0</v>
      </c>
      <c r="H1363" s="1118">
        <v>140800.0</v>
      </c>
      <c r="I1363" s="1118">
        <f t="shared" si="1"/>
        <v>128000</v>
      </c>
      <c r="J1363" s="1110"/>
    </row>
    <row r="1364" ht="18.75" customHeight="1">
      <c r="A1364" s="1110"/>
      <c r="B1364" s="1115" t="s">
        <v>6607</v>
      </c>
      <c r="C1364" s="1108" t="s">
        <v>6608</v>
      </c>
      <c r="D1364" s="1108" t="s">
        <v>6857</v>
      </c>
      <c r="E1364" s="1116" t="s">
        <v>6858</v>
      </c>
      <c r="F1364" s="1117">
        <v>0.1</v>
      </c>
      <c r="G1364" s="1109">
        <v>0.0</v>
      </c>
      <c r="H1364" s="1118">
        <v>147400.0</v>
      </c>
      <c r="I1364" s="1118">
        <f t="shared" si="1"/>
        <v>134000</v>
      </c>
      <c r="J1364" s="1110"/>
    </row>
    <row r="1365" ht="18.75" customHeight="1">
      <c r="A1365" s="1110"/>
      <c r="B1365" s="1115" t="s">
        <v>6607</v>
      </c>
      <c r="C1365" s="1108" t="s">
        <v>6608</v>
      </c>
      <c r="D1365" s="1108" t="s">
        <v>6859</v>
      </c>
      <c r="E1365" s="1116" t="s">
        <v>6860</v>
      </c>
      <c r="F1365" s="1117">
        <v>0.1</v>
      </c>
      <c r="G1365" s="1109">
        <v>0.0</v>
      </c>
      <c r="H1365" s="1118">
        <v>150700.0</v>
      </c>
      <c r="I1365" s="1118">
        <f t="shared" si="1"/>
        <v>137000</v>
      </c>
      <c r="J1365" s="1110"/>
    </row>
    <row r="1366" ht="18.75" customHeight="1">
      <c r="A1366" s="1110"/>
      <c r="B1366" s="1115" t="s">
        <v>6607</v>
      </c>
      <c r="C1366" s="1108" t="s">
        <v>6608</v>
      </c>
      <c r="D1366" s="1108" t="s">
        <v>6861</v>
      </c>
      <c r="E1366" s="1116" t="s">
        <v>6862</v>
      </c>
      <c r="F1366" s="1117">
        <v>0.1</v>
      </c>
      <c r="G1366" s="1109">
        <v>0.0</v>
      </c>
      <c r="H1366" s="1118">
        <v>162800.0</v>
      </c>
      <c r="I1366" s="1118">
        <f t="shared" si="1"/>
        <v>148000</v>
      </c>
      <c r="J1366" s="1110"/>
    </row>
    <row r="1367" ht="18.75" customHeight="1">
      <c r="A1367" s="1110"/>
      <c r="B1367" s="1115" t="s">
        <v>6607</v>
      </c>
      <c r="C1367" s="1108" t="s">
        <v>6608</v>
      </c>
      <c r="D1367" s="1108" t="s">
        <v>6863</v>
      </c>
      <c r="E1367" s="1116" t="s">
        <v>6864</v>
      </c>
      <c r="F1367" s="1117">
        <v>0.1</v>
      </c>
      <c r="G1367" s="1109">
        <v>0.0</v>
      </c>
      <c r="H1367" s="1118">
        <v>179300.0</v>
      </c>
      <c r="I1367" s="1118">
        <f t="shared" si="1"/>
        <v>163000</v>
      </c>
      <c r="J1367" s="1110"/>
    </row>
    <row r="1368" ht="18.75" customHeight="1">
      <c r="A1368" s="1110"/>
      <c r="B1368" s="1115" t="s">
        <v>6607</v>
      </c>
      <c r="C1368" s="1108" t="s">
        <v>6608</v>
      </c>
      <c r="D1368" s="1108" t="s">
        <v>6865</v>
      </c>
      <c r="E1368" s="1116" t="s">
        <v>6866</v>
      </c>
      <c r="F1368" s="1117">
        <v>0.1</v>
      </c>
      <c r="G1368" s="1109">
        <v>0.0</v>
      </c>
      <c r="H1368" s="1118">
        <v>181500.0</v>
      </c>
      <c r="I1368" s="1118">
        <f t="shared" si="1"/>
        <v>165000</v>
      </c>
      <c r="J1368" s="1110"/>
    </row>
    <row r="1369" ht="18.75" customHeight="1">
      <c r="A1369" s="1110"/>
      <c r="B1369" s="1115" t="s">
        <v>6607</v>
      </c>
      <c r="C1369" s="1108" t="s">
        <v>6608</v>
      </c>
      <c r="D1369" s="1108" t="s">
        <v>6867</v>
      </c>
      <c r="E1369" s="1116" t="s">
        <v>6868</v>
      </c>
      <c r="F1369" s="1117">
        <v>0.1</v>
      </c>
      <c r="G1369" s="1109">
        <v>0.0</v>
      </c>
      <c r="H1369" s="1116"/>
      <c r="I1369" s="1118" t="str">
        <f t="shared" si="1"/>
        <v/>
      </c>
      <c r="J1369" s="1110"/>
    </row>
    <row r="1370" ht="18.75" customHeight="1">
      <c r="A1370" s="1110"/>
      <c r="B1370" s="1115" t="s">
        <v>6607</v>
      </c>
      <c r="C1370" s="1108" t="s">
        <v>6608</v>
      </c>
      <c r="D1370" s="1108" t="s">
        <v>6869</v>
      </c>
      <c r="E1370" s="1116" t="s">
        <v>6870</v>
      </c>
      <c r="F1370" s="1117">
        <v>0.1</v>
      </c>
      <c r="G1370" s="1109">
        <v>0.0</v>
      </c>
      <c r="H1370" s="1118">
        <v>215600.0</v>
      </c>
      <c r="I1370" s="1118">
        <f t="shared" si="1"/>
        <v>196000</v>
      </c>
      <c r="J1370" s="1110"/>
    </row>
    <row r="1371" ht="18.75" customHeight="1">
      <c r="A1371" s="1110"/>
      <c r="B1371" s="1115" t="s">
        <v>6607</v>
      </c>
      <c r="C1371" s="1108" t="s">
        <v>6608</v>
      </c>
      <c r="D1371" s="1108" t="s">
        <v>6871</v>
      </c>
      <c r="E1371" s="1116" t="s">
        <v>6872</v>
      </c>
      <c r="F1371" s="1117">
        <v>0.1</v>
      </c>
      <c r="G1371" s="1109">
        <v>0.0</v>
      </c>
      <c r="H1371" s="1116"/>
      <c r="I1371" s="1118" t="str">
        <f t="shared" si="1"/>
        <v/>
      </c>
      <c r="J1371" s="1110"/>
    </row>
    <row r="1372" ht="18.75" customHeight="1">
      <c r="A1372" s="1110"/>
      <c r="B1372" s="1115" t="s">
        <v>6607</v>
      </c>
      <c r="C1372" s="1108" t="s">
        <v>6608</v>
      </c>
      <c r="D1372" s="1108" t="s">
        <v>6873</v>
      </c>
      <c r="E1372" s="1116" t="s">
        <v>6874</v>
      </c>
      <c r="F1372" s="1117">
        <v>0.1</v>
      </c>
      <c r="G1372" s="1109">
        <v>0.0</v>
      </c>
      <c r="H1372" s="1118">
        <v>229900.0</v>
      </c>
      <c r="I1372" s="1118">
        <f t="shared" si="1"/>
        <v>209000</v>
      </c>
      <c r="J1372" s="1110"/>
    </row>
    <row r="1373" ht="18.75" customHeight="1">
      <c r="A1373" s="1110"/>
      <c r="B1373" s="1115" t="s">
        <v>6607</v>
      </c>
      <c r="C1373" s="1108" t="s">
        <v>6608</v>
      </c>
      <c r="D1373" s="1108" t="s">
        <v>6875</v>
      </c>
      <c r="E1373" s="1116" t="s">
        <v>6876</v>
      </c>
      <c r="F1373" s="1117">
        <v>0.1</v>
      </c>
      <c r="G1373" s="1109">
        <v>0.0</v>
      </c>
      <c r="H1373" s="1116"/>
      <c r="I1373" s="1118" t="str">
        <f t="shared" si="1"/>
        <v/>
      </c>
      <c r="J1373" s="1110"/>
    </row>
    <row r="1374" ht="18.75" customHeight="1">
      <c r="A1374" s="1110"/>
      <c r="B1374" s="1115" t="s">
        <v>6607</v>
      </c>
      <c r="C1374" s="1108" t="s">
        <v>6608</v>
      </c>
      <c r="D1374" s="1108" t="s">
        <v>6877</v>
      </c>
      <c r="E1374" s="1116" t="s">
        <v>6878</v>
      </c>
      <c r="F1374" s="1117">
        <v>0.1</v>
      </c>
      <c r="G1374" s="1109">
        <v>0.0</v>
      </c>
      <c r="H1374" s="1118">
        <v>248700.0</v>
      </c>
      <c r="I1374" s="1118">
        <f t="shared" si="1"/>
        <v>226090</v>
      </c>
      <c r="J1374" s="1110"/>
    </row>
    <row r="1375" ht="18.75" customHeight="1">
      <c r="A1375" s="1110"/>
      <c r="B1375" s="1115" t="s">
        <v>6607</v>
      </c>
      <c r="C1375" s="1108" t="s">
        <v>6608</v>
      </c>
      <c r="D1375" s="1108" t="s">
        <v>6879</v>
      </c>
      <c r="E1375" s="1116" t="s">
        <v>6880</v>
      </c>
      <c r="F1375" s="1117">
        <v>0.1</v>
      </c>
      <c r="G1375" s="1109">
        <v>0.0</v>
      </c>
      <c r="H1375" s="1116"/>
      <c r="I1375" s="1118" t="str">
        <f t="shared" si="1"/>
        <v/>
      </c>
      <c r="J1375" s="1110"/>
    </row>
    <row r="1376" ht="18.75" customHeight="1">
      <c r="A1376" s="1110"/>
      <c r="B1376" s="1115" t="s">
        <v>6607</v>
      </c>
      <c r="C1376" s="1108" t="s">
        <v>6608</v>
      </c>
      <c r="D1376" s="1108" t="s">
        <v>6881</v>
      </c>
      <c r="E1376" s="1116" t="s">
        <v>6882</v>
      </c>
      <c r="F1376" s="1117">
        <v>0.1</v>
      </c>
      <c r="G1376" s="1109">
        <v>0.0</v>
      </c>
      <c r="H1376" s="1118">
        <v>264000.0</v>
      </c>
      <c r="I1376" s="1118">
        <f t="shared" si="1"/>
        <v>240000</v>
      </c>
      <c r="J1376" s="1110"/>
    </row>
    <row r="1377" ht="18.75" customHeight="1">
      <c r="A1377" s="1110"/>
      <c r="B1377" s="1115" t="s">
        <v>6607</v>
      </c>
      <c r="C1377" s="1108" t="s">
        <v>6608</v>
      </c>
      <c r="D1377" s="1108" t="s">
        <v>6883</v>
      </c>
      <c r="E1377" s="1116" t="s">
        <v>6884</v>
      </c>
      <c r="F1377" s="1117">
        <v>0.1</v>
      </c>
      <c r="G1377" s="1109">
        <v>0.0</v>
      </c>
      <c r="H1377" s="1116"/>
      <c r="I1377" s="1118" t="str">
        <f t="shared" si="1"/>
        <v/>
      </c>
      <c r="J1377" s="1110"/>
    </row>
    <row r="1378" ht="18.75" customHeight="1">
      <c r="A1378" s="1110"/>
      <c r="B1378" s="1115" t="s">
        <v>6607</v>
      </c>
      <c r="C1378" s="1108" t="s">
        <v>6608</v>
      </c>
      <c r="D1378" s="1108" t="s">
        <v>6885</v>
      </c>
      <c r="E1378" s="1116" t="s">
        <v>6886</v>
      </c>
      <c r="F1378" s="1117">
        <v>0.1</v>
      </c>
      <c r="G1378" s="1109">
        <v>0.0</v>
      </c>
      <c r="H1378" s="1118">
        <v>294800.0</v>
      </c>
      <c r="I1378" s="1118">
        <f t="shared" si="1"/>
        <v>268000</v>
      </c>
      <c r="J1378" s="1110"/>
    </row>
    <row r="1379" ht="18.75" customHeight="1">
      <c r="A1379" s="1110"/>
      <c r="B1379" s="1115" t="s">
        <v>6607</v>
      </c>
      <c r="C1379" s="1108" t="s">
        <v>6608</v>
      </c>
      <c r="D1379" s="1108" t="s">
        <v>6887</v>
      </c>
      <c r="E1379" s="1116" t="s">
        <v>6888</v>
      </c>
      <c r="F1379" s="1117">
        <v>0.1</v>
      </c>
      <c r="G1379" s="1109">
        <v>0.0</v>
      </c>
      <c r="H1379" s="1116"/>
      <c r="I1379" s="1118" t="str">
        <f t="shared" si="1"/>
        <v/>
      </c>
      <c r="J1379" s="1110"/>
    </row>
    <row r="1380" ht="18.75" customHeight="1">
      <c r="A1380" s="1110"/>
      <c r="B1380" s="1115" t="s">
        <v>6607</v>
      </c>
      <c r="C1380" s="1108" t="s">
        <v>6608</v>
      </c>
      <c r="D1380" s="1108" t="s">
        <v>6889</v>
      </c>
      <c r="E1380" s="1116" t="s">
        <v>6890</v>
      </c>
      <c r="F1380" s="1117">
        <v>0.1</v>
      </c>
      <c r="G1380" s="1109">
        <v>0.0</v>
      </c>
      <c r="H1380" s="1118">
        <v>342100.0</v>
      </c>
      <c r="I1380" s="1118">
        <f t="shared" si="1"/>
        <v>311000</v>
      </c>
      <c r="J1380" s="1110"/>
    </row>
    <row r="1381" ht="18.75" customHeight="1">
      <c r="A1381" s="1110"/>
      <c r="B1381" s="1115" t="s">
        <v>6607</v>
      </c>
      <c r="C1381" s="1108" t="s">
        <v>6608</v>
      </c>
      <c r="D1381" s="1108" t="s">
        <v>6891</v>
      </c>
      <c r="E1381" s="1116" t="s">
        <v>6892</v>
      </c>
      <c r="F1381" s="1117">
        <v>0.1</v>
      </c>
      <c r="G1381" s="1109">
        <v>0.0</v>
      </c>
      <c r="H1381" s="1118">
        <v>352000.0</v>
      </c>
      <c r="I1381" s="1118">
        <f t="shared" si="1"/>
        <v>320000</v>
      </c>
      <c r="J1381" s="1110"/>
    </row>
    <row r="1382" ht="18.75" customHeight="1">
      <c r="A1382" s="1110"/>
      <c r="B1382" s="1115" t="s">
        <v>6607</v>
      </c>
      <c r="C1382" s="1108" t="s">
        <v>6608</v>
      </c>
      <c r="D1382" s="1108" t="s">
        <v>6893</v>
      </c>
      <c r="E1382" s="1116" t="s">
        <v>6894</v>
      </c>
      <c r="F1382" s="1117">
        <v>0.1</v>
      </c>
      <c r="G1382" s="1109">
        <v>0.0</v>
      </c>
      <c r="H1382" s="1116"/>
      <c r="I1382" s="1118" t="str">
        <f t="shared" si="1"/>
        <v/>
      </c>
      <c r="J1382" s="1110"/>
    </row>
    <row r="1383" ht="18.75" customHeight="1">
      <c r="A1383" s="1110"/>
      <c r="B1383" s="1115" t="s">
        <v>6607</v>
      </c>
      <c r="C1383" s="1108" t="s">
        <v>6608</v>
      </c>
      <c r="D1383" s="1108" t="s">
        <v>6895</v>
      </c>
      <c r="E1383" s="1116" t="s">
        <v>6896</v>
      </c>
      <c r="F1383" s="1117">
        <v>0.1</v>
      </c>
      <c r="G1383" s="1109">
        <v>0.0</v>
      </c>
      <c r="H1383" s="1118">
        <v>371800.0</v>
      </c>
      <c r="I1383" s="1118">
        <f t="shared" si="1"/>
        <v>338000</v>
      </c>
      <c r="J1383" s="1110"/>
    </row>
    <row r="1384" ht="18.75" customHeight="1">
      <c r="A1384" s="1110"/>
      <c r="B1384" s="1115" t="s">
        <v>6607</v>
      </c>
      <c r="C1384" s="1108" t="s">
        <v>6608</v>
      </c>
      <c r="D1384" s="1108" t="s">
        <v>6897</v>
      </c>
      <c r="E1384" s="1116" t="s">
        <v>6898</v>
      </c>
      <c r="F1384" s="1117">
        <v>0.1</v>
      </c>
      <c r="G1384" s="1109">
        <v>0.0</v>
      </c>
      <c r="H1384" s="1116"/>
      <c r="I1384" s="1118" t="str">
        <f t="shared" si="1"/>
        <v/>
      </c>
      <c r="J1384" s="1110"/>
    </row>
    <row r="1385" ht="18.75" customHeight="1">
      <c r="A1385" s="1110"/>
      <c r="B1385" s="1115" t="s">
        <v>6607</v>
      </c>
      <c r="C1385" s="1108" t="s">
        <v>6608</v>
      </c>
      <c r="D1385" s="1108" t="s">
        <v>6899</v>
      </c>
      <c r="E1385" s="1116" t="s">
        <v>6900</v>
      </c>
      <c r="F1385" s="1117">
        <v>0.1</v>
      </c>
      <c r="G1385" s="1109">
        <v>0.0</v>
      </c>
      <c r="H1385" s="1116"/>
      <c r="I1385" s="1118" t="str">
        <f t="shared" si="1"/>
        <v/>
      </c>
      <c r="J1385" s="1110"/>
    </row>
    <row r="1386" ht="18.75" customHeight="1">
      <c r="A1386" s="1110"/>
      <c r="B1386" s="1115" t="s">
        <v>6607</v>
      </c>
      <c r="C1386" s="1108" t="s">
        <v>6608</v>
      </c>
      <c r="D1386" s="1108" t="s">
        <v>6901</v>
      </c>
      <c r="E1386" s="1116" t="s">
        <v>6902</v>
      </c>
      <c r="F1386" s="1117">
        <v>0.1</v>
      </c>
      <c r="G1386" s="1109">
        <v>0.0</v>
      </c>
      <c r="H1386" s="1116"/>
      <c r="I1386" s="1118" t="str">
        <f t="shared" si="1"/>
        <v/>
      </c>
      <c r="J1386" s="1110"/>
    </row>
    <row r="1387" ht="18.75" customHeight="1">
      <c r="A1387" s="1110"/>
      <c r="B1387" s="1115" t="s">
        <v>6607</v>
      </c>
      <c r="C1387" s="1108" t="s">
        <v>6608</v>
      </c>
      <c r="D1387" s="1108" t="s">
        <v>6903</v>
      </c>
      <c r="E1387" s="1116" t="s">
        <v>6904</v>
      </c>
      <c r="F1387" s="1117">
        <v>0.1</v>
      </c>
      <c r="G1387" s="1109">
        <v>0.0</v>
      </c>
      <c r="H1387" s="1116"/>
      <c r="I1387" s="1118" t="str">
        <f t="shared" si="1"/>
        <v/>
      </c>
      <c r="J1387" s="1110"/>
    </row>
    <row r="1388" ht="18.75" customHeight="1">
      <c r="A1388" s="1110"/>
      <c r="B1388" s="1115" t="s">
        <v>6607</v>
      </c>
      <c r="C1388" s="1108" t="s">
        <v>6608</v>
      </c>
      <c r="D1388" s="1108" t="s">
        <v>6905</v>
      </c>
      <c r="E1388" s="1116" t="s">
        <v>6906</v>
      </c>
      <c r="F1388" s="1117">
        <v>0.1</v>
      </c>
      <c r="G1388" s="1109">
        <v>0.0</v>
      </c>
      <c r="H1388" s="1118">
        <v>489500.0</v>
      </c>
      <c r="I1388" s="1118">
        <f t="shared" si="1"/>
        <v>445000</v>
      </c>
      <c r="J1388" s="1110"/>
    </row>
    <row r="1389" ht="18.75" customHeight="1">
      <c r="A1389" s="1110"/>
      <c r="B1389" s="1115" t="s">
        <v>6607</v>
      </c>
      <c r="C1389" s="1108" t="s">
        <v>6608</v>
      </c>
      <c r="D1389" s="1108" t="s">
        <v>6907</v>
      </c>
      <c r="E1389" s="1116" t="s">
        <v>6908</v>
      </c>
      <c r="F1389" s="1117">
        <v>0.1</v>
      </c>
      <c r="G1389" s="1109">
        <v>0.0</v>
      </c>
      <c r="H1389" s="1118">
        <v>503800.0</v>
      </c>
      <c r="I1389" s="1118">
        <f t="shared" si="1"/>
        <v>458000</v>
      </c>
      <c r="J1389" s="1110"/>
    </row>
    <row r="1390" ht="18.75" customHeight="1">
      <c r="A1390" s="1110"/>
      <c r="B1390" s="1115" t="s">
        <v>6607</v>
      </c>
      <c r="C1390" s="1108" t="s">
        <v>6608</v>
      </c>
      <c r="D1390" s="1108" t="s">
        <v>6909</v>
      </c>
      <c r="E1390" s="1116" t="s">
        <v>6910</v>
      </c>
      <c r="F1390" s="1117">
        <v>0.1</v>
      </c>
      <c r="G1390" s="1109">
        <v>0.0</v>
      </c>
      <c r="H1390" s="1116"/>
      <c r="I1390" s="1118" t="str">
        <f t="shared" si="1"/>
        <v/>
      </c>
      <c r="J1390" s="1110"/>
    </row>
    <row r="1391" ht="18.75" customHeight="1">
      <c r="A1391" s="1110"/>
      <c r="B1391" s="1115" t="s">
        <v>6607</v>
      </c>
      <c r="C1391" s="1108" t="s">
        <v>6608</v>
      </c>
      <c r="D1391" s="1108" t="s">
        <v>6911</v>
      </c>
      <c r="E1391" s="1116" t="s">
        <v>6912</v>
      </c>
      <c r="F1391" s="1117">
        <v>0.1</v>
      </c>
      <c r="G1391" s="1109">
        <v>0.0</v>
      </c>
      <c r="H1391" s="1116"/>
      <c r="I1391" s="1118" t="str">
        <f t="shared" si="1"/>
        <v/>
      </c>
      <c r="J1391" s="1110"/>
    </row>
    <row r="1392" ht="18.75" customHeight="1">
      <c r="A1392" s="1110"/>
      <c r="B1392" s="1115" t="s">
        <v>6607</v>
      </c>
      <c r="C1392" s="1108" t="s">
        <v>6608</v>
      </c>
      <c r="D1392" s="1108" t="s">
        <v>6913</v>
      </c>
      <c r="E1392" s="1116" t="s">
        <v>6914</v>
      </c>
      <c r="F1392" s="1117">
        <v>0.1</v>
      </c>
      <c r="G1392" s="1109">
        <v>0.0</v>
      </c>
      <c r="H1392" s="1118">
        <v>577500.0</v>
      </c>
      <c r="I1392" s="1118">
        <f t="shared" si="1"/>
        <v>525000</v>
      </c>
      <c r="J1392" s="1110"/>
    </row>
    <row r="1393" ht="18.75" customHeight="1">
      <c r="A1393" s="1110"/>
      <c r="B1393" s="1115" t="s">
        <v>6607</v>
      </c>
      <c r="C1393" s="1108" t="s">
        <v>6608</v>
      </c>
      <c r="D1393" s="1108" t="s">
        <v>6915</v>
      </c>
      <c r="E1393" s="1116" t="s">
        <v>6916</v>
      </c>
      <c r="F1393" s="1117">
        <v>0.1</v>
      </c>
      <c r="G1393" s="1109">
        <v>0.0</v>
      </c>
      <c r="H1393" s="1116"/>
      <c r="I1393" s="1118" t="str">
        <f t="shared" si="1"/>
        <v/>
      </c>
      <c r="J1393" s="1110"/>
    </row>
    <row r="1394" ht="18.75" customHeight="1">
      <c r="A1394" s="1110"/>
      <c r="B1394" s="1115" t="s">
        <v>6607</v>
      </c>
      <c r="C1394" s="1108" t="s">
        <v>6608</v>
      </c>
      <c r="D1394" s="1108" t="s">
        <v>6917</v>
      </c>
      <c r="E1394" s="1116" t="s">
        <v>6918</v>
      </c>
      <c r="F1394" s="1117">
        <v>0.1</v>
      </c>
      <c r="G1394" s="1109">
        <v>0.0</v>
      </c>
      <c r="H1394" s="1116"/>
      <c r="I1394" s="1118" t="str">
        <f t="shared" si="1"/>
        <v/>
      </c>
      <c r="J1394" s="1110"/>
    </row>
    <row r="1395" ht="18.75" customHeight="1">
      <c r="A1395" s="1110"/>
      <c r="B1395" s="1115" t="s">
        <v>6607</v>
      </c>
      <c r="C1395" s="1108" t="s">
        <v>6608</v>
      </c>
      <c r="D1395" s="1108" t="s">
        <v>6919</v>
      </c>
      <c r="E1395" s="1116" t="s">
        <v>6920</v>
      </c>
      <c r="F1395" s="1117">
        <v>0.1</v>
      </c>
      <c r="G1395" s="1109">
        <v>0.0</v>
      </c>
      <c r="H1395" s="1116"/>
      <c r="I1395" s="1118" t="str">
        <f t="shared" si="1"/>
        <v/>
      </c>
      <c r="J1395" s="1110"/>
    </row>
    <row r="1396" ht="18.75" customHeight="1">
      <c r="A1396" s="1110"/>
      <c r="B1396" s="1115" t="s">
        <v>6607</v>
      </c>
      <c r="C1396" s="1108" t="s">
        <v>6608</v>
      </c>
      <c r="D1396" s="1108" t="s">
        <v>6921</v>
      </c>
      <c r="E1396" s="1116" t="s">
        <v>6922</v>
      </c>
      <c r="F1396" s="1117">
        <v>0.1</v>
      </c>
      <c r="G1396" s="1109">
        <v>0.0</v>
      </c>
      <c r="H1396" s="1116"/>
      <c r="I1396" s="1118" t="str">
        <f t="shared" si="1"/>
        <v/>
      </c>
      <c r="J1396" s="1110"/>
    </row>
    <row r="1397" ht="18.75" customHeight="1">
      <c r="A1397" s="1110"/>
      <c r="B1397" s="1115" t="s">
        <v>6607</v>
      </c>
      <c r="C1397" s="1108" t="s">
        <v>6608</v>
      </c>
      <c r="D1397" s="1108" t="s">
        <v>6923</v>
      </c>
      <c r="E1397" s="1116" t="s">
        <v>6924</v>
      </c>
      <c r="F1397" s="1117">
        <v>0.1</v>
      </c>
      <c r="G1397" s="1109">
        <v>0.0</v>
      </c>
      <c r="H1397" s="1118">
        <v>178200.0</v>
      </c>
      <c r="I1397" s="1118">
        <f t="shared" si="1"/>
        <v>162000</v>
      </c>
      <c r="J1397" s="1110"/>
    </row>
    <row r="1398" ht="18.75" customHeight="1">
      <c r="A1398" s="1110"/>
      <c r="B1398" s="1115" t="s">
        <v>6607</v>
      </c>
      <c r="C1398" s="1108" t="s">
        <v>6608</v>
      </c>
      <c r="D1398" s="1108" t="s">
        <v>6925</v>
      </c>
      <c r="E1398" s="1116" t="s">
        <v>6926</v>
      </c>
      <c r="F1398" s="1117">
        <v>0.1</v>
      </c>
      <c r="G1398" s="1109">
        <v>0.0</v>
      </c>
      <c r="H1398" s="1118">
        <v>189200.0</v>
      </c>
      <c r="I1398" s="1118">
        <f t="shared" si="1"/>
        <v>172000</v>
      </c>
      <c r="J1398" s="1110"/>
    </row>
    <row r="1399" ht="18.75" customHeight="1">
      <c r="A1399" s="1110"/>
      <c r="B1399" s="1115" t="s">
        <v>6607</v>
      </c>
      <c r="C1399" s="1108" t="s">
        <v>6608</v>
      </c>
      <c r="D1399" s="1108" t="s">
        <v>6927</v>
      </c>
      <c r="E1399" s="1116" t="s">
        <v>6928</v>
      </c>
      <c r="F1399" s="1117">
        <v>0.1</v>
      </c>
      <c r="G1399" s="1109">
        <v>0.0</v>
      </c>
      <c r="H1399" s="1118">
        <v>203500.0</v>
      </c>
      <c r="I1399" s="1118">
        <f t="shared" si="1"/>
        <v>185000</v>
      </c>
      <c r="J1399" s="1110"/>
    </row>
    <row r="1400" ht="18.75" customHeight="1">
      <c r="A1400" s="1110"/>
      <c r="B1400" s="1115" t="s">
        <v>6607</v>
      </c>
      <c r="C1400" s="1108" t="s">
        <v>6608</v>
      </c>
      <c r="D1400" s="1108" t="s">
        <v>6929</v>
      </c>
      <c r="E1400" s="1116" t="s">
        <v>6930</v>
      </c>
      <c r="F1400" s="1117">
        <v>0.1</v>
      </c>
      <c r="G1400" s="1109">
        <v>0.0</v>
      </c>
      <c r="H1400" s="1118">
        <v>220000.0</v>
      </c>
      <c r="I1400" s="1118">
        <f t="shared" si="1"/>
        <v>200000</v>
      </c>
      <c r="J1400" s="1110"/>
    </row>
    <row r="1401" ht="18.75" customHeight="1">
      <c r="A1401" s="1110"/>
      <c r="B1401" s="1115" t="s">
        <v>6607</v>
      </c>
      <c r="C1401" s="1108" t="s">
        <v>6608</v>
      </c>
      <c r="D1401" s="1108" t="s">
        <v>6931</v>
      </c>
      <c r="E1401" s="1116" t="s">
        <v>6932</v>
      </c>
      <c r="F1401" s="1117">
        <v>0.1</v>
      </c>
      <c r="G1401" s="1109">
        <v>0.0</v>
      </c>
      <c r="H1401" s="1118">
        <v>246400.0</v>
      </c>
      <c r="I1401" s="1118">
        <f t="shared" si="1"/>
        <v>224000</v>
      </c>
      <c r="J1401" s="1110"/>
    </row>
    <row r="1402" ht="18.75" customHeight="1">
      <c r="A1402" s="1110"/>
      <c r="B1402" s="1115" t="s">
        <v>6607</v>
      </c>
      <c r="C1402" s="1108" t="s">
        <v>6608</v>
      </c>
      <c r="D1402" s="1108" t="s">
        <v>6933</v>
      </c>
      <c r="E1402" s="1116" t="s">
        <v>6934</v>
      </c>
      <c r="F1402" s="1117">
        <v>0.1</v>
      </c>
      <c r="G1402" s="1109">
        <v>0.0</v>
      </c>
      <c r="H1402" s="1118">
        <v>250800.0</v>
      </c>
      <c r="I1402" s="1118">
        <f t="shared" si="1"/>
        <v>228000</v>
      </c>
      <c r="J1402" s="1110"/>
    </row>
    <row r="1403" ht="18.75" customHeight="1">
      <c r="A1403" s="1110"/>
      <c r="B1403" s="1115" t="s">
        <v>6607</v>
      </c>
      <c r="C1403" s="1108" t="s">
        <v>6608</v>
      </c>
      <c r="D1403" s="1108" t="s">
        <v>6935</v>
      </c>
      <c r="E1403" s="1116" t="s">
        <v>6936</v>
      </c>
      <c r="F1403" s="1117">
        <v>0.1</v>
      </c>
      <c r="G1403" s="1109">
        <v>0.0</v>
      </c>
      <c r="H1403" s="1118">
        <v>256300.0</v>
      </c>
      <c r="I1403" s="1118">
        <f t="shared" si="1"/>
        <v>233000</v>
      </c>
      <c r="J1403" s="1110"/>
    </row>
    <row r="1404" ht="18.75" customHeight="1">
      <c r="A1404" s="1110"/>
      <c r="B1404" s="1115" t="s">
        <v>6607</v>
      </c>
      <c r="C1404" s="1108" t="s">
        <v>6608</v>
      </c>
      <c r="D1404" s="1108" t="s">
        <v>6937</v>
      </c>
      <c r="E1404" s="1116" t="s">
        <v>6938</v>
      </c>
      <c r="F1404" s="1117">
        <v>0.1</v>
      </c>
      <c r="G1404" s="1109">
        <v>0.0</v>
      </c>
      <c r="H1404" s="1116"/>
      <c r="I1404" s="1118" t="str">
        <f t="shared" si="1"/>
        <v/>
      </c>
      <c r="J1404" s="1110"/>
    </row>
    <row r="1405" ht="18.75" customHeight="1">
      <c r="A1405" s="1110"/>
      <c r="B1405" s="1115" t="s">
        <v>6607</v>
      </c>
      <c r="C1405" s="1108" t="s">
        <v>6608</v>
      </c>
      <c r="D1405" s="1108" t="s">
        <v>6939</v>
      </c>
      <c r="E1405" s="1116" t="s">
        <v>6940</v>
      </c>
      <c r="F1405" s="1117">
        <v>0.1</v>
      </c>
      <c r="G1405" s="1109">
        <v>0.0</v>
      </c>
      <c r="H1405" s="1118">
        <v>270600.0</v>
      </c>
      <c r="I1405" s="1118">
        <f t="shared" si="1"/>
        <v>246000</v>
      </c>
      <c r="J1405" s="1110"/>
    </row>
    <row r="1406" ht="18.75" customHeight="1">
      <c r="A1406" s="1110"/>
      <c r="B1406" s="1115" t="s">
        <v>6607</v>
      </c>
      <c r="C1406" s="1108" t="s">
        <v>6608</v>
      </c>
      <c r="D1406" s="1108" t="s">
        <v>6941</v>
      </c>
      <c r="E1406" s="1116" t="s">
        <v>6942</v>
      </c>
      <c r="F1406" s="1117">
        <v>0.1</v>
      </c>
      <c r="G1406" s="1109">
        <v>0.0</v>
      </c>
      <c r="H1406" s="1116"/>
      <c r="I1406" s="1118" t="str">
        <f t="shared" si="1"/>
        <v/>
      </c>
      <c r="J1406" s="1110"/>
    </row>
    <row r="1407" ht="18.75" customHeight="1">
      <c r="A1407" s="1110"/>
      <c r="B1407" s="1115" t="s">
        <v>6607</v>
      </c>
      <c r="C1407" s="1108" t="s">
        <v>6608</v>
      </c>
      <c r="D1407" s="1108" t="s">
        <v>6943</v>
      </c>
      <c r="E1407" s="1116" t="s">
        <v>6944</v>
      </c>
      <c r="F1407" s="1117">
        <v>0.1</v>
      </c>
      <c r="G1407" s="1109">
        <v>0.0</v>
      </c>
      <c r="H1407" s="1118">
        <v>277200.0</v>
      </c>
      <c r="I1407" s="1118">
        <f t="shared" si="1"/>
        <v>252000</v>
      </c>
      <c r="J1407" s="1110"/>
    </row>
    <row r="1408" ht="18.75" customHeight="1">
      <c r="A1408" s="1110"/>
      <c r="B1408" s="1115" t="s">
        <v>6607</v>
      </c>
      <c r="C1408" s="1108" t="s">
        <v>6608</v>
      </c>
      <c r="D1408" s="1108" t="s">
        <v>6945</v>
      </c>
      <c r="E1408" s="1116" t="s">
        <v>6946</v>
      </c>
      <c r="F1408" s="1117">
        <v>0.1</v>
      </c>
      <c r="G1408" s="1109">
        <v>0.0</v>
      </c>
      <c r="H1408" s="1116"/>
      <c r="I1408" s="1118" t="str">
        <f t="shared" si="1"/>
        <v/>
      </c>
      <c r="J1408" s="1110"/>
    </row>
    <row r="1409" ht="18.75" customHeight="1">
      <c r="A1409" s="1110"/>
      <c r="B1409" s="1115" t="s">
        <v>6607</v>
      </c>
      <c r="C1409" s="1108" t="s">
        <v>6608</v>
      </c>
      <c r="D1409" s="1108" t="s">
        <v>6947</v>
      </c>
      <c r="E1409" s="1116" t="s">
        <v>6948</v>
      </c>
      <c r="F1409" s="1117">
        <v>0.1</v>
      </c>
      <c r="G1409" s="1109">
        <v>0.0</v>
      </c>
      <c r="H1409" s="1118">
        <v>311300.0</v>
      </c>
      <c r="I1409" s="1118">
        <f t="shared" si="1"/>
        <v>283000</v>
      </c>
      <c r="J1409" s="1110"/>
    </row>
    <row r="1410" ht="18.75" customHeight="1">
      <c r="A1410" s="1110"/>
      <c r="B1410" s="1115" t="s">
        <v>6607</v>
      </c>
      <c r="C1410" s="1108" t="s">
        <v>6608</v>
      </c>
      <c r="D1410" s="1108" t="s">
        <v>6949</v>
      </c>
      <c r="E1410" s="1116" t="s">
        <v>6950</v>
      </c>
      <c r="F1410" s="1117">
        <v>0.1</v>
      </c>
      <c r="G1410" s="1109">
        <v>0.0</v>
      </c>
      <c r="H1410" s="1116"/>
      <c r="I1410" s="1118" t="str">
        <f t="shared" si="1"/>
        <v/>
      </c>
      <c r="J1410" s="1110"/>
    </row>
    <row r="1411" ht="18.75" customHeight="1">
      <c r="A1411" s="1110"/>
      <c r="B1411" s="1115" t="s">
        <v>6607</v>
      </c>
      <c r="C1411" s="1108" t="s">
        <v>6608</v>
      </c>
      <c r="D1411" s="1108" t="s">
        <v>6951</v>
      </c>
      <c r="E1411" s="1116" t="s">
        <v>6952</v>
      </c>
      <c r="F1411" s="1117">
        <v>0.1</v>
      </c>
      <c r="G1411" s="1109">
        <v>0.0</v>
      </c>
      <c r="H1411" s="1118">
        <v>330000.0</v>
      </c>
      <c r="I1411" s="1118">
        <f t="shared" si="1"/>
        <v>300000</v>
      </c>
      <c r="J1411" s="1110"/>
    </row>
    <row r="1412" ht="18.75" customHeight="1">
      <c r="A1412" s="1110"/>
      <c r="B1412" s="1115" t="s">
        <v>6607</v>
      </c>
      <c r="C1412" s="1108" t="s">
        <v>6608</v>
      </c>
      <c r="D1412" s="1108" t="s">
        <v>6953</v>
      </c>
      <c r="E1412" s="1116" t="s">
        <v>6954</v>
      </c>
      <c r="F1412" s="1117">
        <v>0.1</v>
      </c>
      <c r="G1412" s="1109">
        <v>0.0</v>
      </c>
      <c r="H1412" s="1116"/>
      <c r="I1412" s="1118" t="str">
        <f t="shared" si="1"/>
        <v/>
      </c>
      <c r="J1412" s="1110"/>
    </row>
    <row r="1413" ht="18.75" customHeight="1">
      <c r="A1413" s="1110"/>
      <c r="B1413" s="1115" t="s">
        <v>6607</v>
      </c>
      <c r="C1413" s="1108" t="s">
        <v>6608</v>
      </c>
      <c r="D1413" s="1108" t="s">
        <v>6955</v>
      </c>
      <c r="E1413" s="1116" t="s">
        <v>6956</v>
      </c>
      <c r="F1413" s="1117">
        <v>0.1</v>
      </c>
      <c r="G1413" s="1109">
        <v>0.0</v>
      </c>
      <c r="H1413" s="1118">
        <v>353100.0</v>
      </c>
      <c r="I1413" s="1118">
        <f t="shared" si="1"/>
        <v>321000</v>
      </c>
      <c r="J1413" s="1110"/>
    </row>
    <row r="1414" ht="18.75" customHeight="1">
      <c r="A1414" s="1110"/>
      <c r="B1414" s="1115" t="s">
        <v>6607</v>
      </c>
      <c r="C1414" s="1108" t="s">
        <v>6608</v>
      </c>
      <c r="D1414" s="1108" t="s">
        <v>6957</v>
      </c>
      <c r="E1414" s="1116" t="s">
        <v>6958</v>
      </c>
      <c r="F1414" s="1117">
        <v>0.1</v>
      </c>
      <c r="G1414" s="1109">
        <v>0.0</v>
      </c>
      <c r="H1414" s="1116"/>
      <c r="I1414" s="1118" t="str">
        <f t="shared" si="1"/>
        <v/>
      </c>
      <c r="J1414" s="1110"/>
    </row>
    <row r="1415" ht="18.75" customHeight="1">
      <c r="A1415" s="1110"/>
      <c r="B1415" s="1115" t="s">
        <v>6607</v>
      </c>
      <c r="C1415" s="1108" t="s">
        <v>6608</v>
      </c>
      <c r="D1415" s="1108" t="s">
        <v>6959</v>
      </c>
      <c r="E1415" s="1116" t="s">
        <v>6960</v>
      </c>
      <c r="F1415" s="1117">
        <v>0.1</v>
      </c>
      <c r="G1415" s="1109">
        <v>0.0</v>
      </c>
      <c r="H1415" s="1118">
        <v>410300.0</v>
      </c>
      <c r="I1415" s="1118">
        <f t="shared" si="1"/>
        <v>373000</v>
      </c>
      <c r="J1415" s="1110"/>
    </row>
    <row r="1416" ht="18.75" customHeight="1">
      <c r="A1416" s="1110"/>
      <c r="B1416" s="1115" t="s">
        <v>6607</v>
      </c>
      <c r="C1416" s="1108" t="s">
        <v>6608</v>
      </c>
      <c r="D1416" s="1108" t="s">
        <v>6961</v>
      </c>
      <c r="E1416" s="1116" t="s">
        <v>6962</v>
      </c>
      <c r="F1416" s="1117">
        <v>0.1</v>
      </c>
      <c r="G1416" s="1109">
        <v>0.0</v>
      </c>
      <c r="H1416" s="1116"/>
      <c r="I1416" s="1118" t="str">
        <f t="shared" si="1"/>
        <v/>
      </c>
      <c r="J1416" s="1110"/>
    </row>
    <row r="1417" ht="18.75" customHeight="1">
      <c r="A1417" s="1110"/>
      <c r="B1417" s="1115" t="s">
        <v>6607</v>
      </c>
      <c r="C1417" s="1108" t="s">
        <v>6608</v>
      </c>
      <c r="D1417" s="1108" t="s">
        <v>6963</v>
      </c>
      <c r="E1417" s="1116" t="s">
        <v>6964</v>
      </c>
      <c r="F1417" s="1117">
        <v>0.1</v>
      </c>
      <c r="G1417" s="1109">
        <v>0.0</v>
      </c>
      <c r="H1417" s="1116"/>
      <c r="I1417" s="1118" t="str">
        <f t="shared" si="1"/>
        <v/>
      </c>
      <c r="J1417" s="1110"/>
    </row>
    <row r="1418" ht="18.75" customHeight="1">
      <c r="A1418" s="1110"/>
      <c r="B1418" s="1115" t="s">
        <v>6607</v>
      </c>
      <c r="C1418" s="1108" t="s">
        <v>6608</v>
      </c>
      <c r="D1418" s="1108" t="s">
        <v>6965</v>
      </c>
      <c r="E1418" s="1116" t="s">
        <v>6966</v>
      </c>
      <c r="F1418" s="1117">
        <v>0.1</v>
      </c>
      <c r="G1418" s="1109">
        <v>0.0</v>
      </c>
      <c r="H1418" s="1118">
        <v>457600.0</v>
      </c>
      <c r="I1418" s="1118">
        <f t="shared" si="1"/>
        <v>416000</v>
      </c>
      <c r="J1418" s="1110"/>
    </row>
    <row r="1419" ht="18.75" customHeight="1">
      <c r="A1419" s="1110"/>
      <c r="B1419" s="1115" t="s">
        <v>6607</v>
      </c>
      <c r="C1419" s="1108" t="s">
        <v>6608</v>
      </c>
      <c r="D1419" s="1108" t="s">
        <v>6967</v>
      </c>
      <c r="E1419" s="1116" t="s">
        <v>6968</v>
      </c>
      <c r="F1419" s="1117">
        <v>0.1</v>
      </c>
      <c r="G1419" s="1109">
        <v>0.0</v>
      </c>
      <c r="H1419" s="1116"/>
      <c r="I1419" s="1118" t="str">
        <f t="shared" si="1"/>
        <v/>
      </c>
      <c r="J1419" s="1110"/>
    </row>
    <row r="1420" ht="18.75" customHeight="1">
      <c r="A1420" s="1110"/>
      <c r="B1420" s="1115" t="s">
        <v>6607</v>
      </c>
      <c r="C1420" s="1108" t="s">
        <v>6608</v>
      </c>
      <c r="D1420" s="1108" t="s">
        <v>6969</v>
      </c>
      <c r="E1420" s="1116" t="s">
        <v>6970</v>
      </c>
      <c r="F1420" s="1117">
        <v>0.1</v>
      </c>
      <c r="G1420" s="1109">
        <v>0.0</v>
      </c>
      <c r="H1420" s="1116"/>
      <c r="I1420" s="1118" t="str">
        <f t="shared" si="1"/>
        <v/>
      </c>
      <c r="J1420" s="1110"/>
    </row>
    <row r="1421" ht="18.75" customHeight="1">
      <c r="A1421" s="1110"/>
      <c r="B1421" s="1115" t="s">
        <v>6607</v>
      </c>
      <c r="C1421" s="1108" t="s">
        <v>6608</v>
      </c>
      <c r="D1421" s="1108" t="s">
        <v>6971</v>
      </c>
      <c r="E1421" s="1116" t="s">
        <v>6972</v>
      </c>
      <c r="F1421" s="1117">
        <v>0.1</v>
      </c>
      <c r="G1421" s="1109">
        <v>0.0</v>
      </c>
      <c r="H1421" s="1116"/>
      <c r="I1421" s="1118" t="str">
        <f t="shared" si="1"/>
        <v/>
      </c>
      <c r="J1421" s="1110"/>
    </row>
    <row r="1422" ht="18.75" customHeight="1">
      <c r="A1422" s="1110"/>
      <c r="B1422" s="1115" t="s">
        <v>6607</v>
      </c>
      <c r="C1422" s="1108" t="s">
        <v>6608</v>
      </c>
      <c r="D1422" s="1108" t="s">
        <v>6973</v>
      </c>
      <c r="E1422" s="1116" t="s">
        <v>6974</v>
      </c>
      <c r="F1422" s="1117">
        <v>0.1</v>
      </c>
      <c r="G1422" s="1109">
        <v>0.0</v>
      </c>
      <c r="H1422" s="1116"/>
      <c r="I1422" s="1118" t="str">
        <f t="shared" si="1"/>
        <v/>
      </c>
      <c r="J1422" s="1110"/>
    </row>
    <row r="1423" ht="18.75" customHeight="1">
      <c r="A1423" s="1110"/>
      <c r="B1423" s="1115" t="s">
        <v>6607</v>
      </c>
      <c r="C1423" s="1108" t="s">
        <v>6608</v>
      </c>
      <c r="D1423" s="1108" t="s">
        <v>6975</v>
      </c>
      <c r="E1423" s="1116" t="s">
        <v>6976</v>
      </c>
      <c r="F1423" s="1117">
        <v>0.1</v>
      </c>
      <c r="G1423" s="1109">
        <v>0.0</v>
      </c>
      <c r="H1423" s="1118">
        <v>564300.0</v>
      </c>
      <c r="I1423" s="1118">
        <f t="shared" si="1"/>
        <v>513000</v>
      </c>
      <c r="J1423" s="1110"/>
    </row>
    <row r="1424" ht="18.75" customHeight="1">
      <c r="A1424" s="1110"/>
      <c r="B1424" s="1115" t="s">
        <v>6607</v>
      </c>
      <c r="C1424" s="1108" t="s">
        <v>6608</v>
      </c>
      <c r="D1424" s="1108" t="s">
        <v>6977</v>
      </c>
      <c r="E1424" s="1116" t="s">
        <v>6978</v>
      </c>
      <c r="F1424" s="1117">
        <v>0.1</v>
      </c>
      <c r="G1424" s="1109">
        <v>0.0</v>
      </c>
      <c r="H1424" s="1118">
        <v>586300.0</v>
      </c>
      <c r="I1424" s="1118">
        <f t="shared" si="1"/>
        <v>533000</v>
      </c>
      <c r="J1424" s="1110"/>
    </row>
    <row r="1425" ht="18.75" customHeight="1">
      <c r="A1425" s="1110"/>
      <c r="B1425" s="1115" t="s">
        <v>6607</v>
      </c>
      <c r="C1425" s="1108" t="s">
        <v>6608</v>
      </c>
      <c r="D1425" s="1108" t="s">
        <v>6979</v>
      </c>
      <c r="E1425" s="1116" t="s">
        <v>6980</v>
      </c>
      <c r="F1425" s="1117">
        <v>0.1</v>
      </c>
      <c r="G1425" s="1109">
        <v>0.0</v>
      </c>
      <c r="H1425" s="1116"/>
      <c r="I1425" s="1118" t="str">
        <f t="shared" si="1"/>
        <v/>
      </c>
      <c r="J1425" s="1110"/>
    </row>
    <row r="1426" ht="18.75" customHeight="1">
      <c r="A1426" s="1110"/>
      <c r="B1426" s="1115" t="s">
        <v>6607</v>
      </c>
      <c r="C1426" s="1108" t="s">
        <v>6608</v>
      </c>
      <c r="D1426" s="1108" t="s">
        <v>6981</v>
      </c>
      <c r="E1426" s="1116" t="s">
        <v>6982</v>
      </c>
      <c r="F1426" s="1117">
        <v>0.1</v>
      </c>
      <c r="G1426" s="1109">
        <v>0.0</v>
      </c>
      <c r="H1426" s="1116"/>
      <c r="I1426" s="1118" t="str">
        <f t="shared" si="1"/>
        <v/>
      </c>
      <c r="J1426" s="1110"/>
    </row>
    <row r="1427" ht="18.75" customHeight="1">
      <c r="A1427" s="1110"/>
      <c r="B1427" s="1115" t="s">
        <v>6607</v>
      </c>
      <c r="C1427" s="1108" t="s">
        <v>6608</v>
      </c>
      <c r="D1427" s="1108" t="s">
        <v>6983</v>
      </c>
      <c r="E1427" s="1116" t="s">
        <v>6984</v>
      </c>
      <c r="F1427" s="1117">
        <v>0.1</v>
      </c>
      <c r="G1427" s="1109">
        <v>0.0</v>
      </c>
      <c r="H1427" s="1118">
        <v>684300.0</v>
      </c>
      <c r="I1427" s="1118">
        <f t="shared" si="1"/>
        <v>622090</v>
      </c>
      <c r="J1427" s="1110"/>
    </row>
    <row r="1428" ht="18.75" customHeight="1">
      <c r="A1428" s="1110"/>
      <c r="B1428" s="1115" t="s">
        <v>6607</v>
      </c>
      <c r="C1428" s="1108" t="s">
        <v>6608</v>
      </c>
      <c r="D1428" s="1108" t="s">
        <v>6985</v>
      </c>
      <c r="E1428" s="1116" t="s">
        <v>6986</v>
      </c>
      <c r="F1428" s="1117">
        <v>0.1</v>
      </c>
      <c r="G1428" s="1109">
        <v>0.0</v>
      </c>
      <c r="H1428" s="1116"/>
      <c r="I1428" s="1118" t="str">
        <f t="shared" si="1"/>
        <v/>
      </c>
      <c r="J1428" s="1110"/>
    </row>
    <row r="1429" ht="18.75" customHeight="1">
      <c r="A1429" s="1110"/>
      <c r="B1429" s="1115" t="s">
        <v>6607</v>
      </c>
      <c r="C1429" s="1108" t="s">
        <v>6608</v>
      </c>
      <c r="D1429" s="1108" t="s">
        <v>6987</v>
      </c>
      <c r="E1429" s="1116" t="s">
        <v>6988</v>
      </c>
      <c r="F1429" s="1117">
        <v>0.1</v>
      </c>
      <c r="G1429" s="1109">
        <v>0.0</v>
      </c>
      <c r="H1429" s="1116"/>
      <c r="I1429" s="1118" t="str">
        <f t="shared" si="1"/>
        <v/>
      </c>
      <c r="J1429" s="1110"/>
    </row>
    <row r="1430" ht="18.75" customHeight="1">
      <c r="A1430" s="1110"/>
      <c r="B1430" s="1115" t="s">
        <v>6607</v>
      </c>
      <c r="C1430" s="1108" t="s">
        <v>6608</v>
      </c>
      <c r="D1430" s="1108" t="s">
        <v>6989</v>
      </c>
      <c r="E1430" s="1116" t="s">
        <v>6990</v>
      </c>
      <c r="F1430" s="1117">
        <v>0.1</v>
      </c>
      <c r="G1430" s="1109">
        <v>0.0</v>
      </c>
      <c r="H1430" s="1116"/>
      <c r="I1430" s="1118" t="str">
        <f t="shared" si="1"/>
        <v/>
      </c>
      <c r="J1430" s="1110"/>
    </row>
    <row r="1431" ht="18.75" customHeight="1">
      <c r="A1431" s="1110"/>
      <c r="B1431" s="1115" t="s">
        <v>6607</v>
      </c>
      <c r="C1431" s="1108" t="s">
        <v>6608</v>
      </c>
      <c r="D1431" s="1108" t="s">
        <v>6991</v>
      </c>
      <c r="E1431" s="1116" t="s">
        <v>6992</v>
      </c>
      <c r="F1431" s="1117">
        <v>0.1</v>
      </c>
      <c r="G1431" s="1109">
        <v>0.0</v>
      </c>
      <c r="H1431" s="1116"/>
      <c r="I1431" s="1118" t="str">
        <f t="shared" si="1"/>
        <v/>
      </c>
      <c r="J1431" s="1110"/>
    </row>
    <row r="1432" ht="18.75" customHeight="1">
      <c r="A1432" s="1110"/>
      <c r="B1432" s="1115" t="s">
        <v>6607</v>
      </c>
      <c r="C1432" s="1108" t="s">
        <v>6608</v>
      </c>
      <c r="D1432" s="1108" t="s">
        <v>6993</v>
      </c>
      <c r="E1432" s="1116" t="s">
        <v>6994</v>
      </c>
      <c r="F1432" s="1117">
        <v>0.1</v>
      </c>
      <c r="G1432" s="1109">
        <v>0.0</v>
      </c>
      <c r="H1432" s="1118">
        <v>299200.0</v>
      </c>
      <c r="I1432" s="1118">
        <f t="shared" si="1"/>
        <v>272000</v>
      </c>
      <c r="J1432" s="1110"/>
    </row>
    <row r="1433" ht="18.75" customHeight="1">
      <c r="A1433" s="1110"/>
      <c r="B1433" s="1115" t="s">
        <v>6607</v>
      </c>
      <c r="C1433" s="1108" t="s">
        <v>6608</v>
      </c>
      <c r="D1433" s="1108" t="s">
        <v>6995</v>
      </c>
      <c r="E1433" s="1116" t="s">
        <v>6996</v>
      </c>
      <c r="F1433" s="1117">
        <v>0.1</v>
      </c>
      <c r="G1433" s="1109">
        <v>0.0</v>
      </c>
      <c r="H1433" s="1118">
        <v>303600.0</v>
      </c>
      <c r="I1433" s="1118">
        <f t="shared" si="1"/>
        <v>276000</v>
      </c>
      <c r="J1433" s="1110"/>
    </row>
    <row r="1434" ht="18.75" customHeight="1">
      <c r="A1434" s="1110"/>
      <c r="B1434" s="1115" t="s">
        <v>6607</v>
      </c>
      <c r="C1434" s="1108" t="s">
        <v>6608</v>
      </c>
      <c r="D1434" s="1108" t="s">
        <v>6997</v>
      </c>
      <c r="E1434" s="1116" t="s">
        <v>6998</v>
      </c>
      <c r="F1434" s="1117">
        <v>0.1</v>
      </c>
      <c r="G1434" s="1109">
        <v>0.0</v>
      </c>
      <c r="H1434" s="1118">
        <v>353100.0</v>
      </c>
      <c r="I1434" s="1118">
        <f t="shared" si="1"/>
        <v>321000</v>
      </c>
      <c r="J1434" s="1110"/>
    </row>
    <row r="1435" ht="18.75" customHeight="1">
      <c r="A1435" s="1110"/>
      <c r="B1435" s="1115" t="s">
        <v>6607</v>
      </c>
      <c r="C1435" s="1108" t="s">
        <v>6608</v>
      </c>
      <c r="D1435" s="1108" t="s">
        <v>6999</v>
      </c>
      <c r="E1435" s="1116" t="s">
        <v>7000</v>
      </c>
      <c r="F1435" s="1117">
        <v>0.1</v>
      </c>
      <c r="G1435" s="1109">
        <v>0.0</v>
      </c>
      <c r="H1435" s="1118">
        <v>372900.0</v>
      </c>
      <c r="I1435" s="1118">
        <f t="shared" si="1"/>
        <v>339000</v>
      </c>
      <c r="J1435" s="1110"/>
    </row>
    <row r="1436" ht="18.75" customHeight="1">
      <c r="A1436" s="1110"/>
      <c r="B1436" s="1115" t="s">
        <v>6607</v>
      </c>
      <c r="C1436" s="1108" t="s">
        <v>6608</v>
      </c>
      <c r="D1436" s="1108" t="s">
        <v>7001</v>
      </c>
      <c r="E1436" s="1116" t="s">
        <v>7002</v>
      </c>
      <c r="F1436" s="1117">
        <v>0.1</v>
      </c>
      <c r="G1436" s="1109">
        <v>0.0</v>
      </c>
      <c r="H1436" s="1118">
        <v>382800.0</v>
      </c>
      <c r="I1436" s="1118">
        <f t="shared" si="1"/>
        <v>348000</v>
      </c>
      <c r="J1436" s="1110"/>
    </row>
    <row r="1437" ht="18.75" customHeight="1">
      <c r="A1437" s="1110"/>
      <c r="B1437" s="1115" t="s">
        <v>6607</v>
      </c>
      <c r="C1437" s="1108" t="s">
        <v>6608</v>
      </c>
      <c r="D1437" s="1108" t="s">
        <v>7003</v>
      </c>
      <c r="E1437" s="1116" t="s">
        <v>7004</v>
      </c>
      <c r="F1437" s="1117">
        <v>0.1</v>
      </c>
      <c r="G1437" s="1109">
        <v>0.0</v>
      </c>
      <c r="H1437" s="1118">
        <v>391600.0</v>
      </c>
      <c r="I1437" s="1118">
        <f t="shared" si="1"/>
        <v>356000</v>
      </c>
      <c r="J1437" s="1110"/>
    </row>
    <row r="1438" ht="18.75" customHeight="1">
      <c r="A1438" s="1110"/>
      <c r="B1438" s="1115" t="s">
        <v>6607</v>
      </c>
      <c r="C1438" s="1108" t="s">
        <v>6608</v>
      </c>
      <c r="D1438" s="1108" t="s">
        <v>7005</v>
      </c>
      <c r="E1438" s="1116" t="s">
        <v>7006</v>
      </c>
      <c r="F1438" s="1117">
        <v>0.1</v>
      </c>
      <c r="G1438" s="1109">
        <v>0.0</v>
      </c>
      <c r="H1438" s="1116"/>
      <c r="I1438" s="1118" t="str">
        <f t="shared" si="1"/>
        <v/>
      </c>
      <c r="J1438" s="1110"/>
    </row>
    <row r="1439" ht="18.75" customHeight="1">
      <c r="A1439" s="1110"/>
      <c r="B1439" s="1115" t="s">
        <v>6607</v>
      </c>
      <c r="C1439" s="1108" t="s">
        <v>6608</v>
      </c>
      <c r="D1439" s="1108" t="s">
        <v>7007</v>
      </c>
      <c r="E1439" s="1116" t="s">
        <v>7008</v>
      </c>
      <c r="F1439" s="1117">
        <v>0.1</v>
      </c>
      <c r="G1439" s="1109">
        <v>0.0</v>
      </c>
      <c r="H1439" s="1118">
        <v>411400.0</v>
      </c>
      <c r="I1439" s="1118">
        <f t="shared" si="1"/>
        <v>374000</v>
      </c>
      <c r="J1439" s="1110"/>
    </row>
    <row r="1440" ht="18.75" customHeight="1">
      <c r="A1440" s="1110"/>
      <c r="B1440" s="1115" t="s">
        <v>6607</v>
      </c>
      <c r="C1440" s="1108" t="s">
        <v>6608</v>
      </c>
      <c r="D1440" s="1108" t="s">
        <v>7009</v>
      </c>
      <c r="E1440" s="1116" t="s">
        <v>7010</v>
      </c>
      <c r="F1440" s="1117">
        <v>0.1</v>
      </c>
      <c r="G1440" s="1109">
        <v>0.0</v>
      </c>
      <c r="H1440" s="1116"/>
      <c r="I1440" s="1118" t="str">
        <f t="shared" si="1"/>
        <v/>
      </c>
      <c r="J1440" s="1110"/>
    </row>
    <row r="1441" ht="18.75" customHeight="1">
      <c r="A1441" s="1110"/>
      <c r="B1441" s="1115" t="s">
        <v>6607</v>
      </c>
      <c r="C1441" s="1108" t="s">
        <v>6608</v>
      </c>
      <c r="D1441" s="1108" t="s">
        <v>7011</v>
      </c>
      <c r="E1441" s="1116" t="s">
        <v>7012</v>
      </c>
      <c r="F1441" s="1117">
        <v>0.1</v>
      </c>
      <c r="G1441" s="1109">
        <v>0.0</v>
      </c>
      <c r="H1441" s="1118">
        <v>451000.0</v>
      </c>
      <c r="I1441" s="1118">
        <f t="shared" si="1"/>
        <v>410000</v>
      </c>
      <c r="J1441" s="1110"/>
    </row>
    <row r="1442" ht="18.75" customHeight="1">
      <c r="A1442" s="1110"/>
      <c r="B1442" s="1115" t="s">
        <v>6607</v>
      </c>
      <c r="C1442" s="1108" t="s">
        <v>6608</v>
      </c>
      <c r="D1442" s="1108" t="s">
        <v>7013</v>
      </c>
      <c r="E1442" s="1116" t="s">
        <v>7014</v>
      </c>
      <c r="F1442" s="1117">
        <v>0.1</v>
      </c>
      <c r="G1442" s="1109">
        <v>0.0</v>
      </c>
      <c r="H1442" s="1116"/>
      <c r="I1442" s="1118" t="str">
        <f t="shared" si="1"/>
        <v/>
      </c>
      <c r="J1442" s="1110"/>
    </row>
    <row r="1443" ht="18.75" customHeight="1">
      <c r="A1443" s="1110"/>
      <c r="B1443" s="1115" t="s">
        <v>6607</v>
      </c>
      <c r="C1443" s="1108" t="s">
        <v>6608</v>
      </c>
      <c r="D1443" s="1108" t="s">
        <v>7015</v>
      </c>
      <c r="E1443" s="1116" t="s">
        <v>7016</v>
      </c>
      <c r="F1443" s="1117">
        <v>0.1</v>
      </c>
      <c r="G1443" s="1109">
        <v>0.0</v>
      </c>
      <c r="H1443" s="1118">
        <v>517000.0</v>
      </c>
      <c r="I1443" s="1118">
        <f t="shared" si="1"/>
        <v>470000</v>
      </c>
      <c r="J1443" s="1110"/>
    </row>
    <row r="1444" ht="18.75" customHeight="1">
      <c r="A1444" s="1110"/>
      <c r="B1444" s="1115" t="s">
        <v>6607</v>
      </c>
      <c r="C1444" s="1108" t="s">
        <v>6608</v>
      </c>
      <c r="D1444" s="1108" t="s">
        <v>7017</v>
      </c>
      <c r="E1444" s="1116" t="s">
        <v>7018</v>
      </c>
      <c r="F1444" s="1117">
        <v>0.1</v>
      </c>
      <c r="G1444" s="1109">
        <v>0.0</v>
      </c>
      <c r="H1444" s="1116"/>
      <c r="I1444" s="1118" t="str">
        <f t="shared" si="1"/>
        <v/>
      </c>
      <c r="J1444" s="1110"/>
    </row>
    <row r="1445" ht="18.75" customHeight="1">
      <c r="A1445" s="1110"/>
      <c r="B1445" s="1115" t="s">
        <v>6607</v>
      </c>
      <c r="C1445" s="1108" t="s">
        <v>6608</v>
      </c>
      <c r="D1445" s="1108" t="s">
        <v>7019</v>
      </c>
      <c r="E1445" s="1116" t="s">
        <v>7020</v>
      </c>
      <c r="F1445" s="1117">
        <v>0.1</v>
      </c>
      <c r="G1445" s="1109">
        <v>0.0</v>
      </c>
      <c r="H1445" s="1118">
        <v>559900.0</v>
      </c>
      <c r="I1445" s="1118">
        <f t="shared" si="1"/>
        <v>509000</v>
      </c>
      <c r="J1445" s="1110"/>
    </row>
    <row r="1446" ht="18.75" customHeight="1">
      <c r="A1446" s="1110"/>
      <c r="B1446" s="1115" t="s">
        <v>6607</v>
      </c>
      <c r="C1446" s="1108" t="s">
        <v>6608</v>
      </c>
      <c r="D1446" s="1108" t="s">
        <v>7021</v>
      </c>
      <c r="E1446" s="1116" t="s">
        <v>7022</v>
      </c>
      <c r="F1446" s="1117">
        <v>0.1</v>
      </c>
      <c r="G1446" s="1109">
        <v>0.0</v>
      </c>
      <c r="H1446" s="1116"/>
      <c r="I1446" s="1118" t="str">
        <f t="shared" si="1"/>
        <v/>
      </c>
      <c r="J1446" s="1110"/>
    </row>
    <row r="1447" ht="18.75" customHeight="1">
      <c r="A1447" s="1110"/>
      <c r="B1447" s="1115" t="s">
        <v>6607</v>
      </c>
      <c r="C1447" s="1108" t="s">
        <v>6608</v>
      </c>
      <c r="D1447" s="1108" t="s">
        <v>7023</v>
      </c>
      <c r="E1447" s="1116" t="s">
        <v>7024</v>
      </c>
      <c r="F1447" s="1117">
        <v>0.1</v>
      </c>
      <c r="G1447" s="1109">
        <v>0.0</v>
      </c>
      <c r="H1447" s="1118">
        <v>578600.0</v>
      </c>
      <c r="I1447" s="1118">
        <f t="shared" si="1"/>
        <v>526000</v>
      </c>
      <c r="J1447" s="1110"/>
    </row>
    <row r="1448" ht="18.75" customHeight="1">
      <c r="A1448" s="1110"/>
      <c r="B1448" s="1115" t="s">
        <v>6607</v>
      </c>
      <c r="C1448" s="1108" t="s">
        <v>6608</v>
      </c>
      <c r="D1448" s="1108" t="s">
        <v>7025</v>
      </c>
      <c r="E1448" s="1116" t="s">
        <v>7026</v>
      </c>
      <c r="F1448" s="1117">
        <v>0.1</v>
      </c>
      <c r="G1448" s="1109">
        <v>0.0</v>
      </c>
      <c r="H1448" s="1116"/>
      <c r="I1448" s="1118" t="str">
        <f t="shared" si="1"/>
        <v/>
      </c>
      <c r="J1448" s="1110"/>
    </row>
    <row r="1449" ht="18.75" customHeight="1">
      <c r="A1449" s="1110"/>
      <c r="B1449" s="1115" t="s">
        <v>6607</v>
      </c>
      <c r="C1449" s="1108" t="s">
        <v>6608</v>
      </c>
      <c r="D1449" s="1108" t="s">
        <v>7027</v>
      </c>
      <c r="E1449" s="1116" t="s">
        <v>7028</v>
      </c>
      <c r="F1449" s="1117">
        <v>0.1</v>
      </c>
      <c r="G1449" s="1109">
        <v>0.0</v>
      </c>
      <c r="H1449" s="1118">
        <v>674300.0</v>
      </c>
      <c r="I1449" s="1118">
        <f t="shared" si="1"/>
        <v>613000</v>
      </c>
      <c r="J1449" s="1110"/>
    </row>
    <row r="1450" ht="18.75" customHeight="1">
      <c r="A1450" s="1110"/>
      <c r="B1450" s="1115" t="s">
        <v>6607</v>
      </c>
      <c r="C1450" s="1108" t="s">
        <v>6608</v>
      </c>
      <c r="D1450" s="1108" t="s">
        <v>7029</v>
      </c>
      <c r="E1450" s="1116" t="s">
        <v>7030</v>
      </c>
      <c r="F1450" s="1117">
        <v>0.1</v>
      </c>
      <c r="G1450" s="1109">
        <v>0.0</v>
      </c>
      <c r="H1450" s="1116"/>
      <c r="I1450" s="1118" t="str">
        <f t="shared" si="1"/>
        <v/>
      </c>
      <c r="J1450" s="1110"/>
    </row>
    <row r="1451" ht="18.75" customHeight="1">
      <c r="A1451" s="1110"/>
      <c r="B1451" s="1115" t="s">
        <v>6607</v>
      </c>
      <c r="C1451" s="1108" t="s">
        <v>6608</v>
      </c>
      <c r="D1451" s="1108" t="s">
        <v>7031</v>
      </c>
      <c r="E1451" s="1116" t="s">
        <v>7032</v>
      </c>
      <c r="F1451" s="1117">
        <v>0.1</v>
      </c>
      <c r="G1451" s="1109">
        <v>0.0</v>
      </c>
      <c r="H1451" s="1116"/>
      <c r="I1451" s="1118" t="str">
        <f t="shared" si="1"/>
        <v/>
      </c>
      <c r="J1451" s="1110"/>
    </row>
    <row r="1452" ht="18.75" customHeight="1">
      <c r="A1452" s="1110"/>
      <c r="B1452" s="1115" t="s">
        <v>6607</v>
      </c>
      <c r="C1452" s="1108" t="s">
        <v>6608</v>
      </c>
      <c r="D1452" s="1108" t="s">
        <v>7033</v>
      </c>
      <c r="E1452" s="1116" t="s">
        <v>7034</v>
      </c>
      <c r="F1452" s="1117">
        <v>0.1</v>
      </c>
      <c r="G1452" s="1109">
        <v>0.0</v>
      </c>
      <c r="H1452" s="1118">
        <v>873400.0</v>
      </c>
      <c r="I1452" s="1118">
        <f t="shared" si="1"/>
        <v>794000</v>
      </c>
      <c r="J1452" s="1110"/>
    </row>
    <row r="1453" ht="18.75" customHeight="1">
      <c r="A1453" s="1110"/>
      <c r="B1453" s="1115" t="s">
        <v>6607</v>
      </c>
      <c r="C1453" s="1108" t="s">
        <v>6608</v>
      </c>
      <c r="D1453" s="1108" t="s">
        <v>7035</v>
      </c>
      <c r="E1453" s="1116" t="s">
        <v>7036</v>
      </c>
      <c r="F1453" s="1117">
        <v>0.1</v>
      </c>
      <c r="G1453" s="1109">
        <v>0.0</v>
      </c>
      <c r="H1453" s="1116"/>
      <c r="I1453" s="1118" t="str">
        <f t="shared" si="1"/>
        <v/>
      </c>
      <c r="J1453" s="1110"/>
    </row>
    <row r="1454" ht="18.75" customHeight="1">
      <c r="A1454" s="1110"/>
      <c r="B1454" s="1115" t="s">
        <v>6607</v>
      </c>
      <c r="C1454" s="1108" t="s">
        <v>6608</v>
      </c>
      <c r="D1454" s="1108" t="s">
        <v>7037</v>
      </c>
      <c r="E1454" s="1116" t="s">
        <v>7038</v>
      </c>
      <c r="F1454" s="1117">
        <v>0.1</v>
      </c>
      <c r="G1454" s="1109">
        <v>0.0</v>
      </c>
      <c r="H1454" s="1116"/>
      <c r="I1454" s="1118" t="str">
        <f t="shared" si="1"/>
        <v/>
      </c>
      <c r="J1454" s="1110"/>
    </row>
    <row r="1455" ht="18.75" customHeight="1">
      <c r="A1455" s="1110"/>
      <c r="B1455" s="1115" t="s">
        <v>6607</v>
      </c>
      <c r="C1455" s="1108" t="s">
        <v>6608</v>
      </c>
      <c r="D1455" s="1108" t="s">
        <v>7039</v>
      </c>
      <c r="E1455" s="1116" t="s">
        <v>7040</v>
      </c>
      <c r="F1455" s="1117">
        <v>0.1</v>
      </c>
      <c r="G1455" s="1109">
        <v>0.0</v>
      </c>
      <c r="H1455" s="1116"/>
      <c r="I1455" s="1118" t="str">
        <f t="shared" si="1"/>
        <v/>
      </c>
      <c r="J1455" s="1110"/>
    </row>
    <row r="1456" ht="18.75" customHeight="1">
      <c r="A1456" s="1110"/>
      <c r="B1456" s="1115" t="s">
        <v>6607</v>
      </c>
      <c r="C1456" s="1108" t="s">
        <v>6608</v>
      </c>
      <c r="D1456" s="1108" t="s">
        <v>7041</v>
      </c>
      <c r="E1456" s="1116" t="s">
        <v>7042</v>
      </c>
      <c r="F1456" s="1117">
        <v>0.1</v>
      </c>
      <c r="G1456" s="1109">
        <v>0.0</v>
      </c>
      <c r="H1456" s="1116"/>
      <c r="I1456" s="1118" t="str">
        <f t="shared" si="1"/>
        <v/>
      </c>
      <c r="J1456" s="1110"/>
    </row>
    <row r="1457" ht="18.75" customHeight="1">
      <c r="A1457" s="1110"/>
      <c r="B1457" s="1115" t="s">
        <v>6607</v>
      </c>
      <c r="C1457" s="1108" t="s">
        <v>6608</v>
      </c>
      <c r="D1457" s="1108" t="s">
        <v>7043</v>
      </c>
      <c r="E1457" s="1116" t="s">
        <v>7044</v>
      </c>
      <c r="F1457" s="1117">
        <v>0.1</v>
      </c>
      <c r="G1457" s="1109">
        <v>0.0</v>
      </c>
      <c r="H1457" s="1118">
        <v>985600.0</v>
      </c>
      <c r="I1457" s="1118">
        <f t="shared" si="1"/>
        <v>896000</v>
      </c>
      <c r="J1457" s="1110"/>
    </row>
    <row r="1458" ht="18.75" customHeight="1">
      <c r="A1458" s="1110"/>
      <c r="B1458" s="1115" t="s">
        <v>6607</v>
      </c>
      <c r="C1458" s="1108" t="s">
        <v>6608</v>
      </c>
      <c r="D1458" s="1108" t="s">
        <v>7045</v>
      </c>
      <c r="E1458" s="1116" t="s">
        <v>7046</v>
      </c>
      <c r="F1458" s="1117">
        <v>0.1</v>
      </c>
      <c r="G1458" s="1109">
        <v>0.0</v>
      </c>
      <c r="H1458" s="1118">
        <v>1032900.0</v>
      </c>
      <c r="I1458" s="1118">
        <f t="shared" si="1"/>
        <v>939000</v>
      </c>
      <c r="J1458" s="1110"/>
    </row>
    <row r="1459" ht="18.75" customHeight="1">
      <c r="A1459" s="1110"/>
      <c r="B1459" s="1115" t="s">
        <v>6607</v>
      </c>
      <c r="C1459" s="1108" t="s">
        <v>6608</v>
      </c>
      <c r="D1459" s="1108" t="s">
        <v>7047</v>
      </c>
      <c r="E1459" s="1116" t="s">
        <v>7048</v>
      </c>
      <c r="F1459" s="1117">
        <v>0.1</v>
      </c>
      <c r="G1459" s="1109">
        <v>0.0</v>
      </c>
      <c r="H1459" s="1116"/>
      <c r="I1459" s="1118" t="str">
        <f t="shared" si="1"/>
        <v/>
      </c>
      <c r="J1459" s="1110"/>
    </row>
    <row r="1460" ht="18.75" customHeight="1">
      <c r="A1460" s="1110"/>
      <c r="B1460" s="1115" t="s">
        <v>6607</v>
      </c>
      <c r="C1460" s="1108" t="s">
        <v>6608</v>
      </c>
      <c r="D1460" s="1108" t="s">
        <v>7049</v>
      </c>
      <c r="E1460" s="1116" t="s">
        <v>7050</v>
      </c>
      <c r="F1460" s="1117">
        <v>0.1</v>
      </c>
      <c r="G1460" s="1109">
        <v>0.0</v>
      </c>
      <c r="H1460" s="1116"/>
      <c r="I1460" s="1118" t="str">
        <f t="shared" si="1"/>
        <v/>
      </c>
      <c r="J1460" s="1110"/>
    </row>
    <row r="1461" ht="18.75" customHeight="1">
      <c r="A1461" s="1110"/>
      <c r="B1461" s="1115" t="s">
        <v>6607</v>
      </c>
      <c r="C1461" s="1108" t="s">
        <v>6608</v>
      </c>
      <c r="D1461" s="1108" t="s">
        <v>7051</v>
      </c>
      <c r="E1461" s="1116" t="s">
        <v>7052</v>
      </c>
      <c r="F1461" s="1117">
        <v>0.1</v>
      </c>
      <c r="G1461" s="1109">
        <v>0.0</v>
      </c>
      <c r="H1461" s="1118">
        <v>1166000.0</v>
      </c>
      <c r="I1461" s="1118">
        <f t="shared" si="1"/>
        <v>1060000</v>
      </c>
      <c r="J1461" s="1110"/>
    </row>
    <row r="1462" ht="18.75" customHeight="1">
      <c r="A1462" s="1110"/>
      <c r="B1462" s="1115" t="s">
        <v>6607</v>
      </c>
      <c r="C1462" s="1108" t="s">
        <v>6608</v>
      </c>
      <c r="D1462" s="1108" t="s">
        <v>7053</v>
      </c>
      <c r="E1462" s="1116" t="s">
        <v>7054</v>
      </c>
      <c r="F1462" s="1117">
        <v>0.1</v>
      </c>
      <c r="G1462" s="1109">
        <v>0.0</v>
      </c>
      <c r="H1462" s="1116"/>
      <c r="I1462" s="1118" t="str">
        <f t="shared" si="1"/>
        <v/>
      </c>
      <c r="J1462" s="1110"/>
    </row>
    <row r="1463" ht="18.75" customHeight="1">
      <c r="A1463" s="1110"/>
      <c r="B1463" s="1115" t="s">
        <v>7055</v>
      </c>
      <c r="C1463" s="1108" t="s">
        <v>6608</v>
      </c>
      <c r="D1463" s="1108" t="s">
        <v>7056</v>
      </c>
      <c r="E1463" s="1116" t="s">
        <v>7057</v>
      </c>
      <c r="F1463" s="1117">
        <v>0.1</v>
      </c>
      <c r="G1463" s="1109">
        <v>0.0</v>
      </c>
      <c r="H1463" s="1118">
        <v>14300.0</v>
      </c>
      <c r="I1463" s="1118">
        <f t="shared" si="1"/>
        <v>13000</v>
      </c>
      <c r="J1463" s="1110"/>
    </row>
    <row r="1464" ht="18.75" customHeight="1">
      <c r="A1464" s="1110"/>
      <c r="B1464" s="1115" t="s">
        <v>7055</v>
      </c>
      <c r="C1464" s="1108" t="s">
        <v>6608</v>
      </c>
      <c r="D1464" s="1108" t="s">
        <v>7058</v>
      </c>
      <c r="E1464" s="1116" t="s">
        <v>7059</v>
      </c>
      <c r="F1464" s="1117">
        <v>0.1</v>
      </c>
      <c r="G1464" s="1109">
        <v>0.0</v>
      </c>
      <c r="H1464" s="1118">
        <v>16800.0</v>
      </c>
      <c r="I1464" s="1118">
        <f t="shared" si="1"/>
        <v>15270</v>
      </c>
      <c r="J1464" s="1110"/>
    </row>
    <row r="1465" ht="18.75" customHeight="1">
      <c r="A1465" s="1110"/>
      <c r="B1465" s="1115" t="s">
        <v>7055</v>
      </c>
      <c r="C1465" s="1108" t="s">
        <v>6608</v>
      </c>
      <c r="D1465" s="1108" t="s">
        <v>7060</v>
      </c>
      <c r="E1465" s="1116" t="s">
        <v>7061</v>
      </c>
      <c r="F1465" s="1117">
        <v>0.1</v>
      </c>
      <c r="G1465" s="1109">
        <v>0.0</v>
      </c>
      <c r="H1465" s="1118">
        <v>20600.0</v>
      </c>
      <c r="I1465" s="1118">
        <f t="shared" si="1"/>
        <v>18730</v>
      </c>
      <c r="J1465" s="1110"/>
    </row>
    <row r="1466" ht="18.75" customHeight="1">
      <c r="A1466" s="1110"/>
      <c r="B1466" s="1115" t="s">
        <v>7055</v>
      </c>
      <c r="C1466" s="1108" t="s">
        <v>6608</v>
      </c>
      <c r="D1466" s="1108" t="s">
        <v>7062</v>
      </c>
      <c r="E1466" s="1116" t="s">
        <v>7063</v>
      </c>
      <c r="F1466" s="1117">
        <v>0.1</v>
      </c>
      <c r="G1466" s="1109">
        <v>0.0</v>
      </c>
      <c r="H1466" s="1118">
        <v>23000.0</v>
      </c>
      <c r="I1466" s="1118">
        <f t="shared" si="1"/>
        <v>20910</v>
      </c>
      <c r="J1466" s="1110"/>
    </row>
    <row r="1467" ht="18.75" customHeight="1">
      <c r="A1467" s="1110"/>
      <c r="B1467" s="1115" t="s">
        <v>7055</v>
      </c>
      <c r="C1467" s="1108" t="s">
        <v>6608</v>
      </c>
      <c r="D1467" s="1108" t="s">
        <v>7064</v>
      </c>
      <c r="E1467" s="1116" t="s">
        <v>7065</v>
      </c>
      <c r="F1467" s="1117">
        <v>0.1</v>
      </c>
      <c r="G1467" s="1109">
        <v>0.0</v>
      </c>
      <c r="H1467" s="1118">
        <v>25400.0</v>
      </c>
      <c r="I1467" s="1118">
        <f t="shared" si="1"/>
        <v>23090</v>
      </c>
      <c r="J1467" s="1110"/>
    </row>
    <row r="1468" ht="18.75" customHeight="1">
      <c r="A1468" s="1110"/>
      <c r="B1468" s="1115" t="s">
        <v>7055</v>
      </c>
      <c r="C1468" s="1108" t="s">
        <v>6608</v>
      </c>
      <c r="D1468" s="1108" t="s">
        <v>7066</v>
      </c>
      <c r="E1468" s="1116" t="s">
        <v>7067</v>
      </c>
      <c r="F1468" s="1117">
        <v>0.1</v>
      </c>
      <c r="G1468" s="1109">
        <v>0.0</v>
      </c>
      <c r="H1468" s="1118">
        <v>26500.0</v>
      </c>
      <c r="I1468" s="1118">
        <f t="shared" si="1"/>
        <v>24090</v>
      </c>
      <c r="J1468" s="1110"/>
    </row>
    <row r="1469" ht="18.75" customHeight="1">
      <c r="A1469" s="1110"/>
      <c r="B1469" s="1115" t="s">
        <v>7055</v>
      </c>
      <c r="C1469" s="1108" t="s">
        <v>6608</v>
      </c>
      <c r="D1469" s="1108" t="s">
        <v>7068</v>
      </c>
      <c r="E1469" s="1116" t="s">
        <v>7069</v>
      </c>
      <c r="F1469" s="1117">
        <v>0.1</v>
      </c>
      <c r="G1469" s="1109">
        <v>0.0</v>
      </c>
      <c r="H1469" s="1118">
        <v>26500.0</v>
      </c>
      <c r="I1469" s="1118">
        <f t="shared" si="1"/>
        <v>24090</v>
      </c>
      <c r="J1469" s="1110"/>
    </row>
    <row r="1470" ht="18.75" customHeight="1">
      <c r="A1470" s="1110"/>
      <c r="B1470" s="1115" t="s">
        <v>7055</v>
      </c>
      <c r="C1470" s="1108" t="s">
        <v>6608</v>
      </c>
      <c r="D1470" s="1108" t="s">
        <v>7070</v>
      </c>
      <c r="E1470" s="1116" t="s">
        <v>7071</v>
      </c>
      <c r="F1470" s="1117">
        <v>0.1</v>
      </c>
      <c r="G1470" s="1109">
        <v>0.0</v>
      </c>
      <c r="H1470" s="1118">
        <v>31200.0</v>
      </c>
      <c r="I1470" s="1118">
        <f t="shared" si="1"/>
        <v>28360</v>
      </c>
      <c r="J1470" s="1110"/>
    </row>
    <row r="1471" ht="18.75" customHeight="1">
      <c r="A1471" s="1110"/>
      <c r="B1471" s="1115" t="s">
        <v>7055</v>
      </c>
      <c r="C1471" s="1108" t="s">
        <v>6608</v>
      </c>
      <c r="D1471" s="1108" t="s">
        <v>7072</v>
      </c>
      <c r="E1471" s="1116" t="s">
        <v>7073</v>
      </c>
      <c r="F1471" s="1117">
        <v>0.1</v>
      </c>
      <c r="G1471" s="1109">
        <v>0.0</v>
      </c>
      <c r="H1471" s="1118">
        <v>36100.0</v>
      </c>
      <c r="I1471" s="1118">
        <f t="shared" si="1"/>
        <v>32820</v>
      </c>
      <c r="J1471" s="1110"/>
    </row>
    <row r="1472" ht="18.75" customHeight="1">
      <c r="A1472" s="1110"/>
      <c r="B1472" s="1115" t="s">
        <v>7055</v>
      </c>
      <c r="C1472" s="1108" t="s">
        <v>6608</v>
      </c>
      <c r="D1472" s="1108" t="s">
        <v>7074</v>
      </c>
      <c r="E1472" s="1116" t="s">
        <v>7075</v>
      </c>
      <c r="F1472" s="1117">
        <v>0.1</v>
      </c>
      <c r="G1472" s="1109">
        <v>0.0</v>
      </c>
      <c r="H1472" s="1118">
        <v>39800.0</v>
      </c>
      <c r="I1472" s="1118">
        <f t="shared" si="1"/>
        <v>36180</v>
      </c>
      <c r="J1472" s="1110"/>
    </row>
    <row r="1473" ht="18.75" customHeight="1">
      <c r="A1473" s="1110"/>
      <c r="B1473" s="1115" t="s">
        <v>7055</v>
      </c>
      <c r="C1473" s="1108" t="s">
        <v>6608</v>
      </c>
      <c r="D1473" s="1108" t="s">
        <v>7076</v>
      </c>
      <c r="E1473" s="1116" t="s">
        <v>7077</v>
      </c>
      <c r="F1473" s="1117">
        <v>0.1</v>
      </c>
      <c r="G1473" s="1109">
        <v>0.0</v>
      </c>
      <c r="H1473" s="1118">
        <v>48400.0</v>
      </c>
      <c r="I1473" s="1118">
        <f t="shared" si="1"/>
        <v>44000</v>
      </c>
      <c r="J1473" s="1110"/>
    </row>
    <row r="1474" ht="18.75" customHeight="1">
      <c r="A1474" s="1110"/>
      <c r="B1474" s="1115" t="s">
        <v>7055</v>
      </c>
      <c r="C1474" s="1108" t="s">
        <v>6608</v>
      </c>
      <c r="D1474" s="1108" t="s">
        <v>7078</v>
      </c>
      <c r="E1474" s="1116" t="s">
        <v>7079</v>
      </c>
      <c r="F1474" s="1117">
        <v>0.1</v>
      </c>
      <c r="G1474" s="1109">
        <v>0.0</v>
      </c>
      <c r="H1474" s="1118">
        <v>51600.0</v>
      </c>
      <c r="I1474" s="1118">
        <f t="shared" si="1"/>
        <v>46910</v>
      </c>
      <c r="J1474" s="1110"/>
    </row>
    <row r="1475" ht="18.75" customHeight="1">
      <c r="A1475" s="1110"/>
      <c r="B1475" s="1115" t="s">
        <v>7055</v>
      </c>
      <c r="C1475" s="1108" t="s">
        <v>6608</v>
      </c>
      <c r="D1475" s="1108" t="s">
        <v>7080</v>
      </c>
      <c r="E1475" s="1116" t="s">
        <v>7081</v>
      </c>
      <c r="F1475" s="1117">
        <v>0.1</v>
      </c>
      <c r="G1475" s="1109">
        <v>0.0</v>
      </c>
      <c r="H1475" s="1118">
        <v>58400.0</v>
      </c>
      <c r="I1475" s="1118">
        <f t="shared" si="1"/>
        <v>53090</v>
      </c>
      <c r="J1475" s="1110"/>
    </row>
    <row r="1476" ht="18.75" customHeight="1">
      <c r="A1476" s="1110"/>
      <c r="B1476" s="1115" t="s">
        <v>7055</v>
      </c>
      <c r="C1476" s="1108" t="s">
        <v>6608</v>
      </c>
      <c r="D1476" s="1108" t="s">
        <v>7082</v>
      </c>
      <c r="E1476" s="1116" t="s">
        <v>7083</v>
      </c>
      <c r="F1476" s="1117">
        <v>0.1</v>
      </c>
      <c r="G1476" s="1109">
        <v>0.0</v>
      </c>
      <c r="H1476" s="1118">
        <v>68400.0</v>
      </c>
      <c r="I1476" s="1118">
        <f t="shared" si="1"/>
        <v>62180</v>
      </c>
      <c r="J1476" s="1110"/>
    </row>
    <row r="1477" ht="18.75" customHeight="1">
      <c r="A1477" s="1110"/>
      <c r="B1477" s="1115" t="s">
        <v>7055</v>
      </c>
      <c r="C1477" s="1108" t="s">
        <v>6608</v>
      </c>
      <c r="D1477" s="1108" t="s">
        <v>7084</v>
      </c>
      <c r="E1477" s="1116" t="s">
        <v>7085</v>
      </c>
      <c r="F1477" s="1117">
        <v>0.1</v>
      </c>
      <c r="G1477" s="1109">
        <v>0.0</v>
      </c>
      <c r="H1477" s="1118">
        <v>21800.0</v>
      </c>
      <c r="I1477" s="1118">
        <f t="shared" si="1"/>
        <v>19820</v>
      </c>
      <c r="J1477" s="1110"/>
    </row>
    <row r="1478" ht="18.75" customHeight="1">
      <c r="A1478" s="1110"/>
      <c r="B1478" s="1115" t="s">
        <v>7055</v>
      </c>
      <c r="C1478" s="1108" t="s">
        <v>6608</v>
      </c>
      <c r="D1478" s="1108" t="s">
        <v>7086</v>
      </c>
      <c r="E1478" s="1116" t="s">
        <v>7087</v>
      </c>
      <c r="F1478" s="1117">
        <v>0.1</v>
      </c>
      <c r="G1478" s="1109">
        <v>0.0</v>
      </c>
      <c r="H1478" s="1118">
        <v>24200.0</v>
      </c>
      <c r="I1478" s="1118">
        <f t="shared" si="1"/>
        <v>22000</v>
      </c>
      <c r="J1478" s="1110"/>
    </row>
    <row r="1479" ht="18.75" customHeight="1">
      <c r="A1479" s="1110"/>
      <c r="B1479" s="1115" t="s">
        <v>7055</v>
      </c>
      <c r="C1479" s="1108" t="s">
        <v>6608</v>
      </c>
      <c r="D1479" s="1108" t="s">
        <v>7088</v>
      </c>
      <c r="E1479" s="1116" t="s">
        <v>7089</v>
      </c>
      <c r="F1479" s="1117">
        <v>0.1</v>
      </c>
      <c r="G1479" s="1109">
        <v>0.0</v>
      </c>
      <c r="H1479" s="1118">
        <v>25400.0</v>
      </c>
      <c r="I1479" s="1118">
        <f t="shared" si="1"/>
        <v>23090</v>
      </c>
      <c r="J1479" s="1110"/>
    </row>
    <row r="1480" ht="18.75" customHeight="1">
      <c r="A1480" s="1110"/>
      <c r="B1480" s="1115" t="s">
        <v>7055</v>
      </c>
      <c r="C1480" s="1108" t="s">
        <v>6608</v>
      </c>
      <c r="D1480" s="1108" t="s">
        <v>7090</v>
      </c>
      <c r="E1480" s="1116" t="s">
        <v>7091</v>
      </c>
      <c r="F1480" s="1117">
        <v>0.1</v>
      </c>
      <c r="G1480" s="1109">
        <v>0.0</v>
      </c>
      <c r="H1480" s="1118">
        <v>27800.0</v>
      </c>
      <c r="I1480" s="1118">
        <f t="shared" si="1"/>
        <v>25270</v>
      </c>
      <c r="J1480" s="1110"/>
    </row>
    <row r="1481" ht="18.75" customHeight="1">
      <c r="A1481" s="1110"/>
      <c r="B1481" s="1115" t="s">
        <v>7055</v>
      </c>
      <c r="C1481" s="1108" t="s">
        <v>6608</v>
      </c>
      <c r="D1481" s="1108" t="s">
        <v>7092</v>
      </c>
      <c r="E1481" s="1116" t="s">
        <v>7093</v>
      </c>
      <c r="F1481" s="1117">
        <v>0.1</v>
      </c>
      <c r="G1481" s="1109">
        <v>0.0</v>
      </c>
      <c r="H1481" s="1118">
        <v>33900.0</v>
      </c>
      <c r="I1481" s="1118">
        <f t="shared" si="1"/>
        <v>30820</v>
      </c>
      <c r="J1481" s="1110"/>
    </row>
    <row r="1482" ht="18.75" customHeight="1">
      <c r="A1482" s="1110"/>
      <c r="B1482" s="1115" t="s">
        <v>7055</v>
      </c>
      <c r="C1482" s="1108" t="s">
        <v>6608</v>
      </c>
      <c r="D1482" s="1108" t="s">
        <v>7094</v>
      </c>
      <c r="E1482" s="1116" t="s">
        <v>7095</v>
      </c>
      <c r="F1482" s="1117">
        <v>0.1</v>
      </c>
      <c r="G1482" s="1109">
        <v>0.0</v>
      </c>
      <c r="H1482" s="1118">
        <v>36300.0</v>
      </c>
      <c r="I1482" s="1118">
        <f t="shared" si="1"/>
        <v>33000</v>
      </c>
      <c r="J1482" s="1110"/>
    </row>
    <row r="1483" ht="18.75" customHeight="1">
      <c r="A1483" s="1110"/>
      <c r="B1483" s="1115" t="s">
        <v>7055</v>
      </c>
      <c r="C1483" s="1108" t="s">
        <v>6608</v>
      </c>
      <c r="D1483" s="1108" t="s">
        <v>7096</v>
      </c>
      <c r="E1483" s="1116" t="s">
        <v>7097</v>
      </c>
      <c r="F1483" s="1117">
        <v>0.1</v>
      </c>
      <c r="G1483" s="1109">
        <v>0.0</v>
      </c>
      <c r="H1483" s="1118">
        <v>41100.0</v>
      </c>
      <c r="I1483" s="1118">
        <f t="shared" si="1"/>
        <v>37360</v>
      </c>
      <c r="J1483" s="1110"/>
    </row>
    <row r="1484" ht="18.75" customHeight="1">
      <c r="A1484" s="1110"/>
      <c r="B1484" s="1115" t="s">
        <v>7055</v>
      </c>
      <c r="C1484" s="1108" t="s">
        <v>6608</v>
      </c>
      <c r="D1484" s="1108" t="s">
        <v>7098</v>
      </c>
      <c r="E1484" s="1116" t="s">
        <v>7099</v>
      </c>
      <c r="F1484" s="1117">
        <v>0.1</v>
      </c>
      <c r="G1484" s="1109">
        <v>0.0</v>
      </c>
      <c r="H1484" s="1118">
        <v>42400.0</v>
      </c>
      <c r="I1484" s="1118">
        <f t="shared" si="1"/>
        <v>38550</v>
      </c>
      <c r="J1484" s="1110"/>
    </row>
    <row r="1485" ht="18.75" customHeight="1">
      <c r="A1485" s="1110"/>
      <c r="B1485" s="1115" t="s">
        <v>7055</v>
      </c>
      <c r="C1485" s="1108" t="s">
        <v>6608</v>
      </c>
      <c r="D1485" s="1108" t="s">
        <v>7100</v>
      </c>
      <c r="E1485" s="1116" t="s">
        <v>7101</v>
      </c>
      <c r="F1485" s="1117">
        <v>0.1</v>
      </c>
      <c r="G1485" s="1109">
        <v>0.0</v>
      </c>
      <c r="H1485" s="1118">
        <v>49600.0</v>
      </c>
      <c r="I1485" s="1118">
        <f t="shared" si="1"/>
        <v>45090</v>
      </c>
      <c r="J1485" s="1110"/>
    </row>
    <row r="1486" ht="18.75" customHeight="1">
      <c r="A1486" s="1110"/>
      <c r="B1486" s="1115" t="s">
        <v>7055</v>
      </c>
      <c r="C1486" s="1108" t="s">
        <v>6608</v>
      </c>
      <c r="D1486" s="1108" t="s">
        <v>7102</v>
      </c>
      <c r="E1486" s="1116" t="s">
        <v>7103</v>
      </c>
      <c r="F1486" s="1117">
        <v>0.1</v>
      </c>
      <c r="G1486" s="1109">
        <v>0.0</v>
      </c>
      <c r="H1486" s="1118">
        <v>50800.0</v>
      </c>
      <c r="I1486" s="1118">
        <f t="shared" si="1"/>
        <v>46180</v>
      </c>
      <c r="J1486" s="1110"/>
    </row>
    <row r="1487" ht="18.75" customHeight="1">
      <c r="A1487" s="1110"/>
      <c r="B1487" s="1115" t="s">
        <v>7055</v>
      </c>
      <c r="C1487" s="1108" t="s">
        <v>6608</v>
      </c>
      <c r="D1487" s="1108" t="s">
        <v>7104</v>
      </c>
      <c r="E1487" s="1116" t="s">
        <v>7105</v>
      </c>
      <c r="F1487" s="1117">
        <v>0.1</v>
      </c>
      <c r="G1487" s="1109">
        <v>0.0</v>
      </c>
      <c r="H1487" s="1116"/>
      <c r="I1487" s="1118" t="str">
        <f t="shared" si="1"/>
        <v/>
      </c>
      <c r="J1487" s="1110"/>
    </row>
    <row r="1488" ht="18.75" customHeight="1">
      <c r="A1488" s="1110"/>
      <c r="B1488" s="1115" t="s">
        <v>7055</v>
      </c>
      <c r="C1488" s="1108" t="s">
        <v>6608</v>
      </c>
      <c r="D1488" s="1108" t="s">
        <v>7106</v>
      </c>
      <c r="E1488" s="1116" t="s">
        <v>7107</v>
      </c>
      <c r="F1488" s="1117">
        <v>0.1</v>
      </c>
      <c r="G1488" s="1109">
        <v>0.0</v>
      </c>
      <c r="H1488" s="1118">
        <v>65300.0</v>
      </c>
      <c r="I1488" s="1118">
        <f t="shared" si="1"/>
        <v>59360</v>
      </c>
      <c r="J1488" s="1110"/>
    </row>
    <row r="1489" ht="18.75" customHeight="1">
      <c r="A1489" s="1110"/>
      <c r="B1489" s="1115" t="s">
        <v>7055</v>
      </c>
      <c r="C1489" s="1108" t="s">
        <v>6608</v>
      </c>
      <c r="D1489" s="1108" t="s">
        <v>7108</v>
      </c>
      <c r="E1489" s="1116" t="s">
        <v>7109</v>
      </c>
      <c r="F1489" s="1117">
        <v>0.1</v>
      </c>
      <c r="G1489" s="1109">
        <v>0.0</v>
      </c>
      <c r="H1489" s="1116"/>
      <c r="I1489" s="1118" t="str">
        <f t="shared" si="1"/>
        <v/>
      </c>
      <c r="J1489" s="1110"/>
    </row>
    <row r="1490" ht="18.75" customHeight="1">
      <c r="A1490" s="1110"/>
      <c r="B1490" s="1115" t="s">
        <v>7055</v>
      </c>
      <c r="C1490" s="1108" t="s">
        <v>6608</v>
      </c>
      <c r="D1490" s="1108" t="s">
        <v>7110</v>
      </c>
      <c r="E1490" s="1116" t="s">
        <v>7111</v>
      </c>
      <c r="F1490" s="1117">
        <v>0.1</v>
      </c>
      <c r="G1490" s="1109">
        <v>0.0</v>
      </c>
      <c r="H1490" s="1118">
        <v>71400.0</v>
      </c>
      <c r="I1490" s="1118">
        <f t="shared" si="1"/>
        <v>64910</v>
      </c>
      <c r="J1490" s="1110"/>
    </row>
    <row r="1491" ht="18.75" customHeight="1">
      <c r="A1491" s="1110"/>
      <c r="B1491" s="1115" t="s">
        <v>7055</v>
      </c>
      <c r="C1491" s="1108" t="s">
        <v>6608</v>
      </c>
      <c r="D1491" s="1108" t="s">
        <v>7112</v>
      </c>
      <c r="E1491" s="1116" t="s">
        <v>7113</v>
      </c>
      <c r="F1491" s="1117">
        <v>0.1</v>
      </c>
      <c r="G1491" s="1109">
        <v>0.0</v>
      </c>
      <c r="H1491" s="1116"/>
      <c r="I1491" s="1118" t="str">
        <f t="shared" si="1"/>
        <v/>
      </c>
      <c r="J1491" s="1110"/>
    </row>
    <row r="1492" ht="18.75" customHeight="1">
      <c r="A1492" s="1110"/>
      <c r="B1492" s="1115" t="s">
        <v>7055</v>
      </c>
      <c r="C1492" s="1108" t="s">
        <v>6608</v>
      </c>
      <c r="D1492" s="1108" t="s">
        <v>7114</v>
      </c>
      <c r="E1492" s="1116" t="s">
        <v>7115</v>
      </c>
      <c r="F1492" s="1117">
        <v>0.1</v>
      </c>
      <c r="G1492" s="1109">
        <v>0.0</v>
      </c>
      <c r="H1492" s="1118">
        <v>75000.0</v>
      </c>
      <c r="I1492" s="1118">
        <f t="shared" si="1"/>
        <v>68180</v>
      </c>
      <c r="J1492" s="1110"/>
    </row>
    <row r="1493" ht="18.75" customHeight="1">
      <c r="A1493" s="1110"/>
      <c r="B1493" s="1115" t="s">
        <v>7055</v>
      </c>
      <c r="C1493" s="1108" t="s">
        <v>6608</v>
      </c>
      <c r="D1493" s="1108" t="s">
        <v>7116</v>
      </c>
      <c r="E1493" s="1116" t="s">
        <v>7117</v>
      </c>
      <c r="F1493" s="1117">
        <v>0.1</v>
      </c>
      <c r="G1493" s="1109">
        <v>0.0</v>
      </c>
      <c r="H1493" s="1116"/>
      <c r="I1493" s="1118" t="str">
        <f t="shared" si="1"/>
        <v/>
      </c>
      <c r="J1493" s="1110"/>
    </row>
    <row r="1494" ht="18.75" customHeight="1">
      <c r="A1494" s="1110"/>
      <c r="B1494" s="1115" t="s">
        <v>7055</v>
      </c>
      <c r="C1494" s="1108" t="s">
        <v>6608</v>
      </c>
      <c r="D1494" s="1108" t="s">
        <v>7118</v>
      </c>
      <c r="E1494" s="1116" t="s">
        <v>7119</v>
      </c>
      <c r="F1494" s="1117">
        <v>0.1</v>
      </c>
      <c r="G1494" s="1109">
        <v>0.0</v>
      </c>
      <c r="H1494" s="1118">
        <v>82300.0</v>
      </c>
      <c r="I1494" s="1118">
        <f t="shared" si="1"/>
        <v>74820</v>
      </c>
      <c r="J1494" s="1110"/>
    </row>
    <row r="1495" ht="18.75" customHeight="1">
      <c r="A1495" s="1110"/>
      <c r="B1495" s="1115" t="s">
        <v>7055</v>
      </c>
      <c r="C1495" s="1108" t="s">
        <v>6608</v>
      </c>
      <c r="D1495" s="1108" t="s">
        <v>7120</v>
      </c>
      <c r="E1495" s="1116" t="s">
        <v>7121</v>
      </c>
      <c r="F1495" s="1117">
        <v>0.1</v>
      </c>
      <c r="G1495" s="1109">
        <v>0.0</v>
      </c>
      <c r="H1495" s="1116"/>
      <c r="I1495" s="1118" t="str">
        <f t="shared" si="1"/>
        <v/>
      </c>
      <c r="J1495" s="1110"/>
    </row>
    <row r="1496" ht="18.75" customHeight="1">
      <c r="A1496" s="1110"/>
      <c r="B1496" s="1115" t="s">
        <v>7055</v>
      </c>
      <c r="C1496" s="1108" t="s">
        <v>6608</v>
      </c>
      <c r="D1496" s="1108" t="s">
        <v>7122</v>
      </c>
      <c r="E1496" s="1116" t="s">
        <v>7123</v>
      </c>
      <c r="F1496" s="1117">
        <v>0.1</v>
      </c>
      <c r="G1496" s="1109">
        <v>0.0</v>
      </c>
      <c r="H1496" s="1118">
        <v>115000.0</v>
      </c>
      <c r="I1496" s="1118">
        <f t="shared" si="1"/>
        <v>104550</v>
      </c>
      <c r="J1496" s="1110"/>
    </row>
    <row r="1497" ht="18.75" customHeight="1">
      <c r="A1497" s="1110"/>
      <c r="B1497" s="1115" t="s">
        <v>7055</v>
      </c>
      <c r="C1497" s="1108" t="s">
        <v>6608</v>
      </c>
      <c r="D1497" s="1108" t="s">
        <v>7124</v>
      </c>
      <c r="E1497" s="1116" t="s">
        <v>7125</v>
      </c>
      <c r="F1497" s="1117">
        <v>0.1</v>
      </c>
      <c r="G1497" s="1109">
        <v>0.0</v>
      </c>
      <c r="H1497" s="1116"/>
      <c r="I1497" s="1118" t="str">
        <f t="shared" si="1"/>
        <v/>
      </c>
      <c r="J1497" s="1110"/>
    </row>
    <row r="1498" ht="18.75" customHeight="1">
      <c r="A1498" s="1110"/>
      <c r="B1498" s="1115" t="s">
        <v>7055</v>
      </c>
      <c r="C1498" s="1108" t="s">
        <v>6608</v>
      </c>
      <c r="D1498" s="1108" t="s">
        <v>7126</v>
      </c>
      <c r="E1498" s="1116" t="s">
        <v>7127</v>
      </c>
      <c r="F1498" s="1117">
        <v>0.1</v>
      </c>
      <c r="G1498" s="1109">
        <v>0.0</v>
      </c>
      <c r="H1498" s="1118">
        <v>134600.0</v>
      </c>
      <c r="I1498" s="1118">
        <f t="shared" si="1"/>
        <v>122360</v>
      </c>
      <c r="J1498" s="1110"/>
    </row>
    <row r="1499" ht="18.75" customHeight="1">
      <c r="A1499" s="1110"/>
      <c r="B1499" s="1115" t="s">
        <v>7055</v>
      </c>
      <c r="C1499" s="1108" t="s">
        <v>6608</v>
      </c>
      <c r="D1499" s="1108" t="s">
        <v>7128</v>
      </c>
      <c r="E1499" s="1116" t="s">
        <v>7129</v>
      </c>
      <c r="F1499" s="1117">
        <v>0.1</v>
      </c>
      <c r="G1499" s="1109">
        <v>0.0</v>
      </c>
      <c r="H1499" s="1116"/>
      <c r="I1499" s="1118" t="str">
        <f t="shared" si="1"/>
        <v/>
      </c>
      <c r="J1499" s="1110"/>
    </row>
    <row r="1500" ht="18.75" customHeight="1">
      <c r="A1500" s="1110"/>
      <c r="B1500" s="1115" t="s">
        <v>7055</v>
      </c>
      <c r="C1500" s="1108" t="s">
        <v>6608</v>
      </c>
      <c r="D1500" s="1108" t="s">
        <v>7130</v>
      </c>
      <c r="E1500" s="1116" t="s">
        <v>7131</v>
      </c>
      <c r="F1500" s="1117">
        <v>0.1</v>
      </c>
      <c r="G1500" s="1109">
        <v>0.0</v>
      </c>
      <c r="H1500" s="1116"/>
      <c r="I1500" s="1118" t="str">
        <f t="shared" si="1"/>
        <v/>
      </c>
      <c r="J1500" s="1110"/>
    </row>
    <row r="1501" ht="18.75" customHeight="1">
      <c r="A1501" s="1110"/>
      <c r="B1501" s="1115" t="s">
        <v>7055</v>
      </c>
      <c r="C1501" s="1108" t="s">
        <v>6608</v>
      </c>
      <c r="D1501" s="1108" t="s">
        <v>7132</v>
      </c>
      <c r="E1501" s="1116" t="s">
        <v>7133</v>
      </c>
      <c r="F1501" s="1117">
        <v>0.1</v>
      </c>
      <c r="G1501" s="1109">
        <v>0.0</v>
      </c>
      <c r="H1501" s="1118">
        <v>161400.0</v>
      </c>
      <c r="I1501" s="1118">
        <f t="shared" si="1"/>
        <v>146730</v>
      </c>
      <c r="J1501" s="1110"/>
    </row>
    <row r="1502" ht="18.75" customHeight="1">
      <c r="A1502" s="1110"/>
      <c r="B1502" s="1115" t="s">
        <v>7055</v>
      </c>
      <c r="C1502" s="1108" t="s">
        <v>6608</v>
      </c>
      <c r="D1502" s="1108" t="s">
        <v>7134</v>
      </c>
      <c r="E1502" s="1116" t="s">
        <v>7135</v>
      </c>
      <c r="F1502" s="1117">
        <v>0.1</v>
      </c>
      <c r="G1502" s="1109">
        <v>0.0</v>
      </c>
      <c r="H1502" s="1116"/>
      <c r="I1502" s="1118" t="str">
        <f t="shared" si="1"/>
        <v/>
      </c>
      <c r="J1502" s="1110"/>
    </row>
    <row r="1503" ht="18.75" customHeight="1">
      <c r="A1503" s="1110"/>
      <c r="B1503" s="1115" t="s">
        <v>7055</v>
      </c>
      <c r="C1503" s="1108" t="s">
        <v>6608</v>
      </c>
      <c r="D1503" s="1108" t="s">
        <v>7136</v>
      </c>
      <c r="E1503" s="1116" t="s">
        <v>7137</v>
      </c>
      <c r="F1503" s="1117">
        <v>0.1</v>
      </c>
      <c r="G1503" s="1109">
        <v>0.0</v>
      </c>
      <c r="H1503" s="1116"/>
      <c r="I1503" s="1118" t="str">
        <f t="shared" si="1"/>
        <v/>
      </c>
      <c r="J1503" s="1110"/>
    </row>
    <row r="1504" ht="18.75" customHeight="1">
      <c r="A1504" s="1110"/>
      <c r="B1504" s="1115" t="s">
        <v>7055</v>
      </c>
      <c r="C1504" s="1108" t="s">
        <v>6608</v>
      </c>
      <c r="D1504" s="1108" t="s">
        <v>7138</v>
      </c>
      <c r="E1504" s="1116" t="s">
        <v>7139</v>
      </c>
      <c r="F1504" s="1117">
        <v>0.1</v>
      </c>
      <c r="G1504" s="1109">
        <v>0.0</v>
      </c>
      <c r="H1504" s="1116"/>
      <c r="I1504" s="1118" t="str">
        <f t="shared" si="1"/>
        <v/>
      </c>
      <c r="J1504" s="1110"/>
    </row>
    <row r="1505" ht="18.75" customHeight="1">
      <c r="A1505" s="1110"/>
      <c r="B1505" s="1115" t="s">
        <v>7055</v>
      </c>
      <c r="C1505" s="1108" t="s">
        <v>6608</v>
      </c>
      <c r="D1505" s="1108" t="s">
        <v>7140</v>
      </c>
      <c r="E1505" s="1116" t="s">
        <v>7141</v>
      </c>
      <c r="F1505" s="1117">
        <v>0.1</v>
      </c>
      <c r="G1505" s="1109">
        <v>0.0</v>
      </c>
      <c r="H1505" s="1116"/>
      <c r="I1505" s="1118" t="str">
        <f t="shared" si="1"/>
        <v/>
      </c>
      <c r="J1505" s="1110"/>
    </row>
    <row r="1506" ht="18.75" customHeight="1">
      <c r="A1506" s="1110"/>
      <c r="B1506" s="1115" t="s">
        <v>7055</v>
      </c>
      <c r="C1506" s="1108" t="s">
        <v>6608</v>
      </c>
      <c r="D1506" s="1108" t="s">
        <v>7142</v>
      </c>
      <c r="E1506" s="1116" t="s">
        <v>7143</v>
      </c>
      <c r="F1506" s="1117">
        <v>0.1</v>
      </c>
      <c r="G1506" s="1109">
        <v>0.0</v>
      </c>
      <c r="H1506" s="1116"/>
      <c r="I1506" s="1118" t="str">
        <f t="shared" si="1"/>
        <v/>
      </c>
      <c r="J1506" s="1110"/>
    </row>
    <row r="1507" ht="18.75" customHeight="1">
      <c r="A1507" s="1110"/>
      <c r="B1507" s="1115" t="s">
        <v>7055</v>
      </c>
      <c r="C1507" s="1108" t="s">
        <v>6608</v>
      </c>
      <c r="D1507" s="1108" t="s">
        <v>7144</v>
      </c>
      <c r="E1507" s="1116" t="s">
        <v>7145</v>
      </c>
      <c r="F1507" s="1117">
        <v>0.1</v>
      </c>
      <c r="G1507" s="1109">
        <v>0.0</v>
      </c>
      <c r="H1507" s="1118">
        <v>197600.0</v>
      </c>
      <c r="I1507" s="1118">
        <f t="shared" si="1"/>
        <v>179640</v>
      </c>
      <c r="J1507" s="1110"/>
    </row>
    <row r="1508" ht="18.75" customHeight="1">
      <c r="A1508" s="1110"/>
      <c r="B1508" s="1115" t="s">
        <v>7055</v>
      </c>
      <c r="C1508" s="1108" t="s">
        <v>6608</v>
      </c>
      <c r="D1508" s="1108" t="s">
        <v>7146</v>
      </c>
      <c r="E1508" s="1116" t="s">
        <v>7147</v>
      </c>
      <c r="F1508" s="1117">
        <v>0.1</v>
      </c>
      <c r="G1508" s="1109">
        <v>0.0</v>
      </c>
      <c r="H1508" s="1116"/>
      <c r="I1508" s="1118" t="str">
        <f t="shared" si="1"/>
        <v/>
      </c>
      <c r="J1508" s="1110"/>
    </row>
    <row r="1509" ht="18.75" customHeight="1">
      <c r="A1509" s="1110"/>
      <c r="B1509" s="1115" t="s">
        <v>7055</v>
      </c>
      <c r="C1509" s="1108" t="s">
        <v>6608</v>
      </c>
      <c r="D1509" s="1108" t="s">
        <v>7148</v>
      </c>
      <c r="E1509" s="1116" t="s">
        <v>7149</v>
      </c>
      <c r="F1509" s="1117">
        <v>0.1</v>
      </c>
      <c r="G1509" s="1109">
        <v>0.0</v>
      </c>
      <c r="H1509" s="1116"/>
      <c r="I1509" s="1118" t="str">
        <f t="shared" si="1"/>
        <v/>
      </c>
      <c r="J1509" s="1110"/>
    </row>
    <row r="1510" ht="18.75" customHeight="1">
      <c r="A1510" s="1110"/>
      <c r="B1510" s="1115" t="s">
        <v>7055</v>
      </c>
      <c r="C1510" s="1108" t="s">
        <v>6608</v>
      </c>
      <c r="D1510" s="1108" t="s">
        <v>7150</v>
      </c>
      <c r="E1510" s="1116" t="s">
        <v>7151</v>
      </c>
      <c r="F1510" s="1117">
        <v>0.1</v>
      </c>
      <c r="G1510" s="1109">
        <v>0.0</v>
      </c>
      <c r="H1510" s="1116"/>
      <c r="I1510" s="1118" t="str">
        <f t="shared" si="1"/>
        <v/>
      </c>
      <c r="J1510" s="1110"/>
    </row>
    <row r="1511" ht="18.75" customHeight="1">
      <c r="A1511" s="1110"/>
      <c r="B1511" s="1115" t="s">
        <v>7055</v>
      </c>
      <c r="C1511" s="1108" t="s">
        <v>6608</v>
      </c>
      <c r="D1511" s="1108" t="s">
        <v>7152</v>
      </c>
      <c r="E1511" s="1116" t="s">
        <v>7153</v>
      </c>
      <c r="F1511" s="1117">
        <v>0.1</v>
      </c>
      <c r="G1511" s="1109">
        <v>0.0</v>
      </c>
      <c r="H1511" s="1116"/>
      <c r="I1511" s="1118" t="str">
        <f t="shared" si="1"/>
        <v/>
      </c>
      <c r="J1511" s="1110"/>
    </row>
    <row r="1512" ht="18.75" customHeight="1">
      <c r="A1512" s="1110"/>
      <c r="B1512" s="1115" t="s">
        <v>7055</v>
      </c>
      <c r="C1512" s="1108" t="s">
        <v>6608</v>
      </c>
      <c r="D1512" s="1108" t="s">
        <v>7154</v>
      </c>
      <c r="E1512" s="1116" t="s">
        <v>7155</v>
      </c>
      <c r="F1512" s="1117">
        <v>0.1</v>
      </c>
      <c r="G1512" s="1109">
        <v>0.0</v>
      </c>
      <c r="H1512" s="1118">
        <v>38700.0</v>
      </c>
      <c r="I1512" s="1118">
        <f t="shared" si="1"/>
        <v>35180</v>
      </c>
      <c r="J1512" s="1110"/>
    </row>
    <row r="1513" ht="18.75" customHeight="1">
      <c r="A1513" s="1110"/>
      <c r="B1513" s="1115" t="s">
        <v>7055</v>
      </c>
      <c r="C1513" s="1108" t="s">
        <v>6608</v>
      </c>
      <c r="D1513" s="1108" t="s">
        <v>7156</v>
      </c>
      <c r="E1513" s="1116" t="s">
        <v>7157</v>
      </c>
      <c r="F1513" s="1117">
        <v>0.1</v>
      </c>
      <c r="G1513" s="1109">
        <v>0.0</v>
      </c>
      <c r="H1513" s="1118">
        <v>41100.0</v>
      </c>
      <c r="I1513" s="1118">
        <f t="shared" si="1"/>
        <v>37360</v>
      </c>
      <c r="J1513" s="1110"/>
    </row>
    <row r="1514" ht="18.75" customHeight="1">
      <c r="A1514" s="1110"/>
      <c r="B1514" s="1115" t="s">
        <v>7055</v>
      </c>
      <c r="C1514" s="1108" t="s">
        <v>6608</v>
      </c>
      <c r="D1514" s="1108" t="s">
        <v>7158</v>
      </c>
      <c r="E1514" s="1116" t="s">
        <v>7159</v>
      </c>
      <c r="F1514" s="1117">
        <v>0.1</v>
      </c>
      <c r="G1514" s="1109">
        <v>0.0</v>
      </c>
      <c r="H1514" s="1118">
        <v>46000.0</v>
      </c>
      <c r="I1514" s="1118">
        <f t="shared" si="1"/>
        <v>41820</v>
      </c>
      <c r="J1514" s="1110"/>
    </row>
    <row r="1515" ht="18.75" customHeight="1">
      <c r="A1515" s="1110"/>
      <c r="B1515" s="1115" t="s">
        <v>7055</v>
      </c>
      <c r="C1515" s="1108" t="s">
        <v>6608</v>
      </c>
      <c r="D1515" s="1108" t="s">
        <v>7160</v>
      </c>
      <c r="E1515" s="1116" t="s">
        <v>7161</v>
      </c>
      <c r="F1515" s="1117">
        <v>0.1</v>
      </c>
      <c r="G1515" s="1109">
        <v>0.0</v>
      </c>
      <c r="H1515" s="1118">
        <v>50800.0</v>
      </c>
      <c r="I1515" s="1118">
        <f t="shared" si="1"/>
        <v>46180</v>
      </c>
      <c r="J1515" s="1110"/>
    </row>
    <row r="1516" ht="18.75" customHeight="1">
      <c r="A1516" s="1110"/>
      <c r="B1516" s="1115" t="s">
        <v>7055</v>
      </c>
      <c r="C1516" s="1108" t="s">
        <v>6608</v>
      </c>
      <c r="D1516" s="1108" t="s">
        <v>7162</v>
      </c>
      <c r="E1516" s="1116" t="s">
        <v>7163</v>
      </c>
      <c r="F1516" s="1117">
        <v>0.1</v>
      </c>
      <c r="G1516" s="1109">
        <v>0.0</v>
      </c>
      <c r="H1516" s="1118">
        <v>56900.0</v>
      </c>
      <c r="I1516" s="1118">
        <f t="shared" si="1"/>
        <v>51730</v>
      </c>
      <c r="J1516" s="1110"/>
    </row>
    <row r="1517" ht="18.75" customHeight="1">
      <c r="A1517" s="1110"/>
      <c r="B1517" s="1115" t="s">
        <v>7055</v>
      </c>
      <c r="C1517" s="1108" t="s">
        <v>6608</v>
      </c>
      <c r="D1517" s="1108" t="s">
        <v>7164</v>
      </c>
      <c r="E1517" s="1116" t="s">
        <v>7165</v>
      </c>
      <c r="F1517" s="1117">
        <v>0.1</v>
      </c>
      <c r="G1517" s="1109">
        <v>0.0</v>
      </c>
      <c r="H1517" s="1118">
        <v>61700.0</v>
      </c>
      <c r="I1517" s="1118">
        <f t="shared" si="1"/>
        <v>56090</v>
      </c>
      <c r="J1517" s="1110"/>
    </row>
    <row r="1518" ht="18.75" customHeight="1">
      <c r="A1518" s="1110"/>
      <c r="B1518" s="1115" t="s">
        <v>7055</v>
      </c>
      <c r="C1518" s="1108" t="s">
        <v>6608</v>
      </c>
      <c r="D1518" s="1108" t="s">
        <v>7166</v>
      </c>
      <c r="E1518" s="1116" t="s">
        <v>7167</v>
      </c>
      <c r="F1518" s="1117">
        <v>0.1</v>
      </c>
      <c r="G1518" s="1109">
        <v>0.0</v>
      </c>
      <c r="H1518" s="1118">
        <v>67800.0</v>
      </c>
      <c r="I1518" s="1118">
        <f t="shared" si="1"/>
        <v>61640</v>
      </c>
      <c r="J1518" s="1110"/>
    </row>
    <row r="1519" ht="18.75" customHeight="1">
      <c r="A1519" s="1110"/>
      <c r="B1519" s="1115" t="s">
        <v>7055</v>
      </c>
      <c r="C1519" s="1108" t="s">
        <v>6608</v>
      </c>
      <c r="D1519" s="1108" t="s">
        <v>7168</v>
      </c>
      <c r="E1519" s="1116" t="s">
        <v>7169</v>
      </c>
      <c r="F1519" s="1117">
        <v>0.1</v>
      </c>
      <c r="G1519" s="1109">
        <v>0.0</v>
      </c>
      <c r="H1519" s="1118">
        <v>73800.0</v>
      </c>
      <c r="I1519" s="1118">
        <f t="shared" si="1"/>
        <v>67090</v>
      </c>
      <c r="J1519" s="1110"/>
    </row>
    <row r="1520" ht="18.75" customHeight="1">
      <c r="A1520" s="1110"/>
      <c r="B1520" s="1115" t="s">
        <v>7055</v>
      </c>
      <c r="C1520" s="1108" t="s">
        <v>6608</v>
      </c>
      <c r="D1520" s="1108" t="s">
        <v>7170</v>
      </c>
      <c r="E1520" s="1116" t="s">
        <v>7171</v>
      </c>
      <c r="F1520" s="1117">
        <v>0.1</v>
      </c>
      <c r="G1520" s="1109">
        <v>0.0</v>
      </c>
      <c r="H1520" s="1118">
        <v>81100.0</v>
      </c>
      <c r="I1520" s="1118">
        <f t="shared" si="1"/>
        <v>73730</v>
      </c>
      <c r="J1520" s="1110"/>
    </row>
    <row r="1521" ht="18.75" customHeight="1">
      <c r="A1521" s="1110"/>
      <c r="B1521" s="1115" t="s">
        <v>7055</v>
      </c>
      <c r="C1521" s="1108" t="s">
        <v>6608</v>
      </c>
      <c r="D1521" s="1108" t="s">
        <v>7172</v>
      </c>
      <c r="E1521" s="1116" t="s">
        <v>7173</v>
      </c>
      <c r="F1521" s="1117">
        <v>0.1</v>
      </c>
      <c r="G1521" s="1109">
        <v>0.0</v>
      </c>
      <c r="H1521" s="1118">
        <v>93200.0</v>
      </c>
      <c r="I1521" s="1118">
        <f t="shared" si="1"/>
        <v>84730</v>
      </c>
      <c r="J1521" s="1110"/>
    </row>
    <row r="1522" ht="18.75" customHeight="1">
      <c r="A1522" s="1110"/>
      <c r="B1522" s="1115" t="s">
        <v>7055</v>
      </c>
      <c r="C1522" s="1108" t="s">
        <v>6608</v>
      </c>
      <c r="D1522" s="1108" t="s">
        <v>7174</v>
      </c>
      <c r="E1522" s="1116" t="s">
        <v>7175</v>
      </c>
      <c r="F1522" s="1117">
        <v>0.1</v>
      </c>
      <c r="G1522" s="1109">
        <v>0.0</v>
      </c>
      <c r="H1522" s="1116"/>
      <c r="I1522" s="1118" t="str">
        <f t="shared" si="1"/>
        <v/>
      </c>
      <c r="J1522" s="1110"/>
    </row>
    <row r="1523" ht="18.75" customHeight="1">
      <c r="A1523" s="1110"/>
      <c r="B1523" s="1115" t="s">
        <v>7055</v>
      </c>
      <c r="C1523" s="1108" t="s">
        <v>6608</v>
      </c>
      <c r="D1523" s="1108" t="s">
        <v>7176</v>
      </c>
      <c r="E1523" s="1116" t="s">
        <v>7177</v>
      </c>
      <c r="F1523" s="1117">
        <v>0.1</v>
      </c>
      <c r="G1523" s="1109">
        <v>0.0</v>
      </c>
      <c r="H1523" s="1118">
        <v>107700.0</v>
      </c>
      <c r="I1523" s="1118">
        <f t="shared" si="1"/>
        <v>97910</v>
      </c>
      <c r="J1523" s="1110"/>
    </row>
    <row r="1524" ht="18.75" customHeight="1">
      <c r="A1524" s="1110"/>
      <c r="B1524" s="1115" t="s">
        <v>7055</v>
      </c>
      <c r="C1524" s="1108" t="s">
        <v>6608</v>
      </c>
      <c r="D1524" s="1108" t="s">
        <v>7178</v>
      </c>
      <c r="E1524" s="1116" t="s">
        <v>7179</v>
      </c>
      <c r="F1524" s="1117">
        <v>0.1</v>
      </c>
      <c r="G1524" s="1109">
        <v>0.0</v>
      </c>
      <c r="H1524" s="1116"/>
      <c r="I1524" s="1118" t="str">
        <f t="shared" si="1"/>
        <v/>
      </c>
      <c r="J1524" s="1110"/>
    </row>
    <row r="1525" ht="18.75" customHeight="1">
      <c r="A1525" s="1110"/>
      <c r="B1525" s="1115" t="s">
        <v>7055</v>
      </c>
      <c r="C1525" s="1108" t="s">
        <v>6608</v>
      </c>
      <c r="D1525" s="1108" t="s">
        <v>7180</v>
      </c>
      <c r="E1525" s="1116" t="s">
        <v>7181</v>
      </c>
      <c r="F1525" s="1117">
        <v>0.1</v>
      </c>
      <c r="G1525" s="1109">
        <v>0.0</v>
      </c>
      <c r="H1525" s="1118">
        <v>126500.0</v>
      </c>
      <c r="I1525" s="1118">
        <f t="shared" si="1"/>
        <v>115000</v>
      </c>
      <c r="J1525" s="1110"/>
    </row>
    <row r="1526" ht="18.75" customHeight="1">
      <c r="A1526" s="1110"/>
      <c r="B1526" s="1115" t="s">
        <v>7055</v>
      </c>
      <c r="C1526" s="1108" t="s">
        <v>6608</v>
      </c>
      <c r="D1526" s="1108" t="s">
        <v>7182</v>
      </c>
      <c r="E1526" s="1116" t="s">
        <v>7183</v>
      </c>
      <c r="F1526" s="1117">
        <v>0.1</v>
      </c>
      <c r="G1526" s="1109">
        <v>0.0</v>
      </c>
      <c r="H1526" s="1116"/>
      <c r="I1526" s="1118" t="str">
        <f t="shared" si="1"/>
        <v/>
      </c>
      <c r="J1526" s="1110"/>
    </row>
    <row r="1527" ht="18.75" customHeight="1">
      <c r="A1527" s="1110"/>
      <c r="B1527" s="1115" t="s">
        <v>7055</v>
      </c>
      <c r="C1527" s="1108" t="s">
        <v>6608</v>
      </c>
      <c r="D1527" s="1108" t="s">
        <v>7184</v>
      </c>
      <c r="E1527" s="1116" t="s">
        <v>7185</v>
      </c>
      <c r="F1527" s="1117">
        <v>0.1</v>
      </c>
      <c r="G1527" s="1109">
        <v>0.0</v>
      </c>
      <c r="H1527" s="1118">
        <v>143800.0</v>
      </c>
      <c r="I1527" s="1118">
        <f t="shared" si="1"/>
        <v>130730</v>
      </c>
      <c r="J1527" s="1110"/>
    </row>
    <row r="1528" ht="18.75" customHeight="1">
      <c r="A1528" s="1110"/>
      <c r="B1528" s="1115" t="s">
        <v>7055</v>
      </c>
      <c r="C1528" s="1108" t="s">
        <v>6608</v>
      </c>
      <c r="D1528" s="1108" t="s">
        <v>7186</v>
      </c>
      <c r="E1528" s="1116" t="s">
        <v>7187</v>
      </c>
      <c r="F1528" s="1117">
        <v>0.1</v>
      </c>
      <c r="G1528" s="1109">
        <v>0.0</v>
      </c>
      <c r="H1528" s="1116"/>
      <c r="I1528" s="1118" t="str">
        <f t="shared" si="1"/>
        <v/>
      </c>
      <c r="J1528" s="1110"/>
    </row>
    <row r="1529" ht="18.75" customHeight="1">
      <c r="A1529" s="1110"/>
      <c r="B1529" s="1115" t="s">
        <v>7055</v>
      </c>
      <c r="C1529" s="1108" t="s">
        <v>6608</v>
      </c>
      <c r="D1529" s="1108" t="s">
        <v>7188</v>
      </c>
      <c r="E1529" s="1116" t="s">
        <v>7189</v>
      </c>
      <c r="F1529" s="1117">
        <v>0.1</v>
      </c>
      <c r="G1529" s="1109">
        <v>0.0</v>
      </c>
      <c r="H1529" s="1118">
        <v>154400.0</v>
      </c>
      <c r="I1529" s="1118">
        <f t="shared" si="1"/>
        <v>140360</v>
      </c>
      <c r="J1529" s="1110"/>
    </row>
    <row r="1530" ht="18.75" customHeight="1">
      <c r="A1530" s="1110"/>
      <c r="B1530" s="1115" t="s">
        <v>7055</v>
      </c>
      <c r="C1530" s="1108" t="s">
        <v>6608</v>
      </c>
      <c r="D1530" s="1108" t="s">
        <v>7190</v>
      </c>
      <c r="E1530" s="1116" t="s">
        <v>7191</v>
      </c>
      <c r="F1530" s="1117">
        <v>0.1</v>
      </c>
      <c r="G1530" s="1109">
        <v>0.0</v>
      </c>
      <c r="H1530" s="1116"/>
      <c r="I1530" s="1118" t="str">
        <f t="shared" si="1"/>
        <v/>
      </c>
      <c r="J1530" s="1110"/>
    </row>
    <row r="1531" ht="18.75" customHeight="1">
      <c r="A1531" s="1110"/>
      <c r="B1531" s="1115" t="s">
        <v>7055</v>
      </c>
      <c r="C1531" s="1108" t="s">
        <v>6608</v>
      </c>
      <c r="D1531" s="1108" t="s">
        <v>7192</v>
      </c>
      <c r="E1531" s="1116" t="s">
        <v>7193</v>
      </c>
      <c r="F1531" s="1117">
        <v>0.1</v>
      </c>
      <c r="G1531" s="1109">
        <v>0.0</v>
      </c>
      <c r="H1531" s="1118">
        <v>166400.0</v>
      </c>
      <c r="I1531" s="1118">
        <f t="shared" si="1"/>
        <v>151270</v>
      </c>
      <c r="J1531" s="1110"/>
    </row>
    <row r="1532" ht="18.75" customHeight="1">
      <c r="A1532" s="1110"/>
      <c r="B1532" s="1115" t="s">
        <v>7055</v>
      </c>
      <c r="C1532" s="1108" t="s">
        <v>6608</v>
      </c>
      <c r="D1532" s="1108" t="s">
        <v>7194</v>
      </c>
      <c r="E1532" s="1116" t="s">
        <v>7195</v>
      </c>
      <c r="F1532" s="1117">
        <v>0.1</v>
      </c>
      <c r="G1532" s="1109">
        <v>0.0</v>
      </c>
      <c r="H1532" s="1116"/>
      <c r="I1532" s="1118" t="str">
        <f t="shared" si="1"/>
        <v/>
      </c>
      <c r="J1532" s="1110"/>
    </row>
    <row r="1533" ht="18.75" customHeight="1">
      <c r="A1533" s="1110"/>
      <c r="B1533" s="1115" t="s">
        <v>7055</v>
      </c>
      <c r="C1533" s="1108" t="s">
        <v>6608</v>
      </c>
      <c r="D1533" s="1108" t="s">
        <v>7196</v>
      </c>
      <c r="E1533" s="1116" t="s">
        <v>7197</v>
      </c>
      <c r="F1533" s="1117">
        <v>0.1</v>
      </c>
      <c r="G1533" s="1109">
        <v>0.0</v>
      </c>
      <c r="H1533" s="1118">
        <v>198300.0</v>
      </c>
      <c r="I1533" s="1118">
        <f t="shared" si="1"/>
        <v>180270</v>
      </c>
      <c r="J1533" s="1110"/>
    </row>
    <row r="1534" ht="18.75" customHeight="1">
      <c r="A1534" s="1110"/>
      <c r="B1534" s="1115" t="s">
        <v>7055</v>
      </c>
      <c r="C1534" s="1108" t="s">
        <v>6608</v>
      </c>
      <c r="D1534" s="1108" t="s">
        <v>7198</v>
      </c>
      <c r="E1534" s="1116" t="s">
        <v>7199</v>
      </c>
      <c r="F1534" s="1117">
        <v>0.1</v>
      </c>
      <c r="G1534" s="1109">
        <v>0.0</v>
      </c>
      <c r="H1534" s="1116"/>
      <c r="I1534" s="1118" t="str">
        <f t="shared" si="1"/>
        <v/>
      </c>
      <c r="J1534" s="1110"/>
    </row>
    <row r="1535" ht="18.75" customHeight="1">
      <c r="A1535" s="1110"/>
      <c r="B1535" s="1115" t="s">
        <v>7055</v>
      </c>
      <c r="C1535" s="1108" t="s">
        <v>6608</v>
      </c>
      <c r="D1535" s="1108" t="s">
        <v>7200</v>
      </c>
      <c r="E1535" s="1116" t="s">
        <v>7201</v>
      </c>
      <c r="F1535" s="1117">
        <v>0.1</v>
      </c>
      <c r="G1535" s="1109">
        <v>0.0</v>
      </c>
      <c r="H1535" s="1116"/>
      <c r="I1535" s="1118" t="str">
        <f t="shared" si="1"/>
        <v/>
      </c>
      <c r="J1535" s="1110"/>
    </row>
    <row r="1536" ht="18.75" customHeight="1">
      <c r="A1536" s="1110"/>
      <c r="B1536" s="1115" t="s">
        <v>7055</v>
      </c>
      <c r="C1536" s="1108" t="s">
        <v>6608</v>
      </c>
      <c r="D1536" s="1108" t="s">
        <v>7202</v>
      </c>
      <c r="E1536" s="1116" t="s">
        <v>7203</v>
      </c>
      <c r="F1536" s="1117">
        <v>0.1</v>
      </c>
      <c r="G1536" s="1109">
        <v>0.0</v>
      </c>
      <c r="H1536" s="1118">
        <v>223600.0</v>
      </c>
      <c r="I1536" s="1118">
        <f t="shared" si="1"/>
        <v>203270</v>
      </c>
      <c r="J1536" s="1110"/>
    </row>
    <row r="1537" ht="18.75" customHeight="1">
      <c r="A1537" s="1110"/>
      <c r="B1537" s="1115" t="s">
        <v>7055</v>
      </c>
      <c r="C1537" s="1108" t="s">
        <v>6608</v>
      </c>
      <c r="D1537" s="1108" t="s">
        <v>7204</v>
      </c>
      <c r="E1537" s="1116" t="s">
        <v>7205</v>
      </c>
      <c r="F1537" s="1117">
        <v>0.1</v>
      </c>
      <c r="G1537" s="1109">
        <v>0.0</v>
      </c>
      <c r="H1537" s="1116"/>
      <c r="I1537" s="1118" t="str">
        <f t="shared" si="1"/>
        <v/>
      </c>
      <c r="J1537" s="1110"/>
    </row>
    <row r="1538" ht="18.75" customHeight="1">
      <c r="A1538" s="1110"/>
      <c r="B1538" s="1115" t="s">
        <v>7055</v>
      </c>
      <c r="C1538" s="1108" t="s">
        <v>6608</v>
      </c>
      <c r="D1538" s="1108" t="s">
        <v>7206</v>
      </c>
      <c r="E1538" s="1116" t="s">
        <v>7207</v>
      </c>
      <c r="F1538" s="1117">
        <v>0.1</v>
      </c>
      <c r="G1538" s="1109">
        <v>0.0</v>
      </c>
      <c r="H1538" s="1116"/>
      <c r="I1538" s="1118" t="str">
        <f t="shared" si="1"/>
        <v/>
      </c>
      <c r="J1538" s="1110"/>
    </row>
    <row r="1539" ht="18.75" customHeight="1">
      <c r="A1539" s="1110"/>
      <c r="B1539" s="1115" t="s">
        <v>7055</v>
      </c>
      <c r="C1539" s="1108" t="s">
        <v>6608</v>
      </c>
      <c r="D1539" s="1108" t="s">
        <v>7208</v>
      </c>
      <c r="E1539" s="1116" t="s">
        <v>7209</v>
      </c>
      <c r="F1539" s="1117">
        <v>0.1</v>
      </c>
      <c r="G1539" s="1109">
        <v>0.0</v>
      </c>
      <c r="H1539" s="1116"/>
      <c r="I1539" s="1118" t="str">
        <f t="shared" si="1"/>
        <v/>
      </c>
      <c r="J1539" s="1110"/>
    </row>
    <row r="1540" ht="18.75" customHeight="1">
      <c r="A1540" s="1110"/>
      <c r="B1540" s="1115" t="s">
        <v>7055</v>
      </c>
      <c r="C1540" s="1108" t="s">
        <v>6608</v>
      </c>
      <c r="D1540" s="1108" t="s">
        <v>7210</v>
      </c>
      <c r="E1540" s="1116" t="s">
        <v>7211</v>
      </c>
      <c r="F1540" s="1117">
        <v>0.1</v>
      </c>
      <c r="G1540" s="1109">
        <v>0.0</v>
      </c>
      <c r="H1540" s="1116"/>
      <c r="I1540" s="1118" t="str">
        <f t="shared" si="1"/>
        <v/>
      </c>
      <c r="J1540" s="1110"/>
    </row>
    <row r="1541" ht="18.75" customHeight="1">
      <c r="A1541" s="1110"/>
      <c r="B1541" s="1115" t="s">
        <v>7055</v>
      </c>
      <c r="C1541" s="1108" t="s">
        <v>6608</v>
      </c>
      <c r="D1541" s="1108" t="s">
        <v>7212</v>
      </c>
      <c r="E1541" s="1116" t="s">
        <v>7213</v>
      </c>
      <c r="F1541" s="1117">
        <v>0.1</v>
      </c>
      <c r="G1541" s="1109">
        <v>0.0</v>
      </c>
      <c r="H1541" s="1116"/>
      <c r="I1541" s="1118" t="str">
        <f t="shared" si="1"/>
        <v/>
      </c>
      <c r="J1541" s="1110"/>
    </row>
    <row r="1542" ht="18.75" customHeight="1">
      <c r="A1542" s="1110"/>
      <c r="B1542" s="1115" t="s">
        <v>7055</v>
      </c>
      <c r="C1542" s="1108" t="s">
        <v>6608</v>
      </c>
      <c r="D1542" s="1108" t="s">
        <v>7214</v>
      </c>
      <c r="E1542" s="1116" t="s">
        <v>7215</v>
      </c>
      <c r="F1542" s="1117">
        <v>0.1</v>
      </c>
      <c r="G1542" s="1109">
        <v>0.0</v>
      </c>
      <c r="H1542" s="1118">
        <v>315500.0</v>
      </c>
      <c r="I1542" s="1118">
        <f t="shared" si="1"/>
        <v>286820</v>
      </c>
      <c r="J1542" s="1110"/>
    </row>
    <row r="1543" ht="18.75" customHeight="1">
      <c r="A1543" s="1110"/>
      <c r="B1543" s="1115" t="s">
        <v>7055</v>
      </c>
      <c r="C1543" s="1108" t="s">
        <v>6608</v>
      </c>
      <c r="D1543" s="1108" t="s">
        <v>7216</v>
      </c>
      <c r="E1543" s="1116" t="s">
        <v>7217</v>
      </c>
      <c r="F1543" s="1117">
        <v>0.1</v>
      </c>
      <c r="G1543" s="1109">
        <v>0.0</v>
      </c>
      <c r="H1543" s="1116"/>
      <c r="I1543" s="1118" t="str">
        <f t="shared" si="1"/>
        <v/>
      </c>
      <c r="J1543" s="1110"/>
    </row>
    <row r="1544" ht="18.75" customHeight="1">
      <c r="A1544" s="1110"/>
      <c r="B1544" s="1115" t="s">
        <v>7055</v>
      </c>
      <c r="C1544" s="1108" t="s">
        <v>6608</v>
      </c>
      <c r="D1544" s="1108" t="s">
        <v>7218</v>
      </c>
      <c r="E1544" s="1116" t="s">
        <v>7219</v>
      </c>
      <c r="F1544" s="1117">
        <v>0.1</v>
      </c>
      <c r="G1544" s="1109">
        <v>0.0</v>
      </c>
      <c r="H1544" s="1116"/>
      <c r="I1544" s="1118" t="str">
        <f t="shared" si="1"/>
        <v/>
      </c>
      <c r="J1544" s="1110"/>
    </row>
    <row r="1545" ht="18.75" customHeight="1">
      <c r="A1545" s="1110"/>
      <c r="B1545" s="1115" t="s">
        <v>7055</v>
      </c>
      <c r="C1545" s="1108" t="s">
        <v>6608</v>
      </c>
      <c r="D1545" s="1108" t="s">
        <v>7220</v>
      </c>
      <c r="E1545" s="1116" t="s">
        <v>7221</v>
      </c>
      <c r="F1545" s="1117">
        <v>0.1</v>
      </c>
      <c r="G1545" s="1109">
        <v>0.0</v>
      </c>
      <c r="H1545" s="1116"/>
      <c r="I1545" s="1118" t="str">
        <f t="shared" si="1"/>
        <v/>
      </c>
      <c r="J1545" s="1110"/>
    </row>
    <row r="1546" ht="18.75" customHeight="1">
      <c r="A1546" s="1110"/>
      <c r="B1546" s="1115" t="s">
        <v>7055</v>
      </c>
      <c r="C1546" s="1108" t="s">
        <v>6608</v>
      </c>
      <c r="D1546" s="1108" t="s">
        <v>7222</v>
      </c>
      <c r="E1546" s="1116" t="s">
        <v>7223</v>
      </c>
      <c r="F1546" s="1117">
        <v>0.1</v>
      </c>
      <c r="G1546" s="1109">
        <v>0.0</v>
      </c>
      <c r="H1546" s="1116"/>
      <c r="I1546" s="1118" t="str">
        <f t="shared" si="1"/>
        <v/>
      </c>
      <c r="J1546" s="1110"/>
    </row>
    <row r="1547" ht="18.75" customHeight="1">
      <c r="A1547" s="1110"/>
      <c r="B1547" s="1115" t="s">
        <v>7055</v>
      </c>
      <c r="C1547" s="1108" t="s">
        <v>6608</v>
      </c>
      <c r="D1547" s="1108" t="s">
        <v>7224</v>
      </c>
      <c r="E1547" s="1116" t="s">
        <v>7225</v>
      </c>
      <c r="F1547" s="1117">
        <v>0.1</v>
      </c>
      <c r="G1547" s="1109">
        <v>0.0</v>
      </c>
      <c r="H1547" s="1116"/>
      <c r="I1547" s="1118" t="str">
        <f t="shared" si="1"/>
        <v/>
      </c>
      <c r="J1547" s="1110"/>
    </row>
    <row r="1548" ht="18.75" customHeight="1">
      <c r="A1548" s="1110"/>
      <c r="B1548" s="1115" t="s">
        <v>7055</v>
      </c>
      <c r="C1548" s="1108" t="s">
        <v>6608</v>
      </c>
      <c r="D1548" s="1108" t="s">
        <v>7226</v>
      </c>
      <c r="E1548" s="1116" t="s">
        <v>7227</v>
      </c>
      <c r="F1548" s="1117">
        <v>0.1</v>
      </c>
      <c r="G1548" s="1109">
        <v>0.0</v>
      </c>
      <c r="H1548" s="1118">
        <v>78700.0</v>
      </c>
      <c r="I1548" s="1118">
        <f t="shared" si="1"/>
        <v>71550</v>
      </c>
      <c r="J1548" s="1110"/>
    </row>
    <row r="1549" ht="18.75" customHeight="1">
      <c r="A1549" s="1110"/>
      <c r="B1549" s="1115" t="s">
        <v>7055</v>
      </c>
      <c r="C1549" s="1108" t="s">
        <v>6608</v>
      </c>
      <c r="D1549" s="1108" t="s">
        <v>7228</v>
      </c>
      <c r="E1549" s="1116" t="s">
        <v>7229</v>
      </c>
      <c r="F1549" s="1117">
        <v>0.1</v>
      </c>
      <c r="G1549" s="1109">
        <v>0.0</v>
      </c>
      <c r="H1549" s="1118">
        <v>87100.0</v>
      </c>
      <c r="I1549" s="1118">
        <f t="shared" si="1"/>
        <v>79180</v>
      </c>
      <c r="J1549" s="1110"/>
    </row>
    <row r="1550" ht="18.75" customHeight="1">
      <c r="A1550" s="1110"/>
      <c r="B1550" s="1115" t="s">
        <v>7055</v>
      </c>
      <c r="C1550" s="1108" t="s">
        <v>6608</v>
      </c>
      <c r="D1550" s="1108" t="s">
        <v>7230</v>
      </c>
      <c r="E1550" s="1116" t="s">
        <v>7231</v>
      </c>
      <c r="F1550" s="1117">
        <v>0.1</v>
      </c>
      <c r="G1550" s="1109">
        <v>0.0</v>
      </c>
      <c r="H1550" s="1118">
        <v>95600.0</v>
      </c>
      <c r="I1550" s="1118">
        <f t="shared" si="1"/>
        <v>86910</v>
      </c>
      <c r="J1550" s="1110"/>
    </row>
    <row r="1551" ht="18.75" customHeight="1">
      <c r="A1551" s="1110"/>
      <c r="B1551" s="1115" t="s">
        <v>7055</v>
      </c>
      <c r="C1551" s="1108" t="s">
        <v>6608</v>
      </c>
      <c r="D1551" s="1108" t="s">
        <v>7232</v>
      </c>
      <c r="E1551" s="1116" t="s">
        <v>7233</v>
      </c>
      <c r="F1551" s="1117">
        <v>0.1</v>
      </c>
      <c r="G1551" s="1109">
        <v>0.0</v>
      </c>
      <c r="H1551" s="1118">
        <v>101600.0</v>
      </c>
      <c r="I1551" s="1118">
        <f t="shared" si="1"/>
        <v>92360</v>
      </c>
      <c r="J1551" s="1110"/>
    </row>
    <row r="1552" ht="18.75" customHeight="1">
      <c r="A1552" s="1110"/>
      <c r="B1552" s="1115" t="s">
        <v>7055</v>
      </c>
      <c r="C1552" s="1108" t="s">
        <v>6608</v>
      </c>
      <c r="D1552" s="1108" t="s">
        <v>7234</v>
      </c>
      <c r="E1552" s="1116" t="s">
        <v>7235</v>
      </c>
      <c r="F1552" s="1117">
        <v>0.1</v>
      </c>
      <c r="G1552" s="1109">
        <v>0.0</v>
      </c>
      <c r="H1552" s="1118">
        <v>112500.0</v>
      </c>
      <c r="I1552" s="1118">
        <f t="shared" si="1"/>
        <v>102270</v>
      </c>
      <c r="J1552" s="1110"/>
    </row>
    <row r="1553" ht="18.75" customHeight="1">
      <c r="A1553" s="1110"/>
      <c r="B1553" s="1115" t="s">
        <v>7055</v>
      </c>
      <c r="C1553" s="1108" t="s">
        <v>6608</v>
      </c>
      <c r="D1553" s="1108" t="s">
        <v>7236</v>
      </c>
      <c r="E1553" s="1116" t="s">
        <v>7237</v>
      </c>
      <c r="F1553" s="1117">
        <v>0.1</v>
      </c>
      <c r="G1553" s="1109">
        <v>0.0</v>
      </c>
      <c r="H1553" s="1118">
        <v>124600.0</v>
      </c>
      <c r="I1553" s="1118">
        <f t="shared" si="1"/>
        <v>113270</v>
      </c>
      <c r="J1553" s="1110"/>
    </row>
    <row r="1554" ht="18.75" customHeight="1">
      <c r="A1554" s="1110"/>
      <c r="B1554" s="1115" t="s">
        <v>7055</v>
      </c>
      <c r="C1554" s="1108" t="s">
        <v>6608</v>
      </c>
      <c r="D1554" s="1108" t="s">
        <v>7238</v>
      </c>
      <c r="E1554" s="1116" t="s">
        <v>7239</v>
      </c>
      <c r="F1554" s="1117">
        <v>0.1</v>
      </c>
      <c r="G1554" s="1109">
        <v>0.0</v>
      </c>
      <c r="H1554" s="1118">
        <v>130700.0</v>
      </c>
      <c r="I1554" s="1118">
        <f t="shared" si="1"/>
        <v>118820</v>
      </c>
      <c r="J1554" s="1110"/>
    </row>
    <row r="1555" ht="18.75" customHeight="1">
      <c r="A1555" s="1110"/>
      <c r="B1555" s="1115" t="s">
        <v>7055</v>
      </c>
      <c r="C1555" s="1108" t="s">
        <v>6608</v>
      </c>
      <c r="D1555" s="1108" t="s">
        <v>7240</v>
      </c>
      <c r="E1555" s="1116" t="s">
        <v>7241</v>
      </c>
      <c r="F1555" s="1117">
        <v>0.1</v>
      </c>
      <c r="G1555" s="1109">
        <v>0.0</v>
      </c>
      <c r="H1555" s="1118">
        <v>140400.0</v>
      </c>
      <c r="I1555" s="1118">
        <f t="shared" si="1"/>
        <v>127640</v>
      </c>
      <c r="J1555" s="1110"/>
    </row>
    <row r="1556" ht="18.75" customHeight="1">
      <c r="A1556" s="1110"/>
      <c r="B1556" s="1115" t="s">
        <v>7055</v>
      </c>
      <c r="C1556" s="1108" t="s">
        <v>6608</v>
      </c>
      <c r="D1556" s="1108" t="s">
        <v>7242</v>
      </c>
      <c r="E1556" s="1116" t="s">
        <v>7243</v>
      </c>
      <c r="F1556" s="1117">
        <v>0.1</v>
      </c>
      <c r="G1556" s="1109">
        <v>0.0</v>
      </c>
      <c r="H1556" s="1118">
        <v>147600.0</v>
      </c>
      <c r="I1556" s="1118">
        <f t="shared" si="1"/>
        <v>134180</v>
      </c>
      <c r="J1556" s="1110"/>
    </row>
    <row r="1557" ht="18.75" customHeight="1">
      <c r="A1557" s="1110"/>
      <c r="B1557" s="1115" t="s">
        <v>7055</v>
      </c>
      <c r="C1557" s="1108" t="s">
        <v>6608</v>
      </c>
      <c r="D1557" s="1108" t="s">
        <v>7244</v>
      </c>
      <c r="E1557" s="1116" t="s">
        <v>7245</v>
      </c>
      <c r="F1557" s="1117">
        <v>0.1</v>
      </c>
      <c r="G1557" s="1109">
        <v>0.0</v>
      </c>
      <c r="H1557" s="1118">
        <v>157300.0</v>
      </c>
      <c r="I1557" s="1118">
        <f t="shared" si="1"/>
        <v>143000</v>
      </c>
      <c r="J1557" s="1110"/>
    </row>
    <row r="1558" ht="18.75" customHeight="1">
      <c r="A1558" s="1110"/>
      <c r="B1558" s="1115" t="s">
        <v>7055</v>
      </c>
      <c r="C1558" s="1108" t="s">
        <v>6608</v>
      </c>
      <c r="D1558" s="1108" t="s">
        <v>7246</v>
      </c>
      <c r="E1558" s="1116" t="s">
        <v>7247</v>
      </c>
      <c r="F1558" s="1117">
        <v>0.1</v>
      </c>
      <c r="G1558" s="1109">
        <v>0.0</v>
      </c>
      <c r="H1558" s="1118">
        <v>165800.0</v>
      </c>
      <c r="I1558" s="1118">
        <f t="shared" si="1"/>
        <v>150730</v>
      </c>
      <c r="J1558" s="1110"/>
    </row>
    <row r="1559" ht="18.75" customHeight="1">
      <c r="A1559" s="1110"/>
      <c r="B1559" s="1115" t="s">
        <v>7055</v>
      </c>
      <c r="C1559" s="1108" t="s">
        <v>6608</v>
      </c>
      <c r="D1559" s="1108" t="s">
        <v>7248</v>
      </c>
      <c r="E1559" s="1116" t="s">
        <v>7249</v>
      </c>
      <c r="F1559" s="1117">
        <v>0.1</v>
      </c>
      <c r="G1559" s="1109">
        <v>0.0</v>
      </c>
      <c r="H1559" s="1116"/>
      <c r="I1559" s="1118" t="str">
        <f t="shared" si="1"/>
        <v/>
      </c>
      <c r="J1559" s="1110"/>
    </row>
    <row r="1560" ht="18.75" customHeight="1">
      <c r="A1560" s="1110"/>
      <c r="B1560" s="1115" t="s">
        <v>7055</v>
      </c>
      <c r="C1560" s="1108" t="s">
        <v>6608</v>
      </c>
      <c r="D1560" s="1108" t="s">
        <v>7250</v>
      </c>
      <c r="E1560" s="1116" t="s">
        <v>7251</v>
      </c>
      <c r="F1560" s="1117">
        <v>0.1</v>
      </c>
      <c r="G1560" s="1109">
        <v>0.0</v>
      </c>
      <c r="H1560" s="1118">
        <v>173000.0</v>
      </c>
      <c r="I1560" s="1118">
        <f t="shared" si="1"/>
        <v>157270</v>
      </c>
      <c r="J1560" s="1110"/>
    </row>
    <row r="1561" ht="18.75" customHeight="1">
      <c r="A1561" s="1110"/>
      <c r="B1561" s="1115" t="s">
        <v>7055</v>
      </c>
      <c r="C1561" s="1108" t="s">
        <v>6608</v>
      </c>
      <c r="D1561" s="1108" t="s">
        <v>7252</v>
      </c>
      <c r="E1561" s="1116" t="s">
        <v>7253</v>
      </c>
      <c r="F1561" s="1117">
        <v>0.1</v>
      </c>
      <c r="G1561" s="1109">
        <v>0.0</v>
      </c>
      <c r="H1561" s="1118">
        <v>188800.0</v>
      </c>
      <c r="I1561" s="1118">
        <f t="shared" si="1"/>
        <v>171640</v>
      </c>
      <c r="J1561" s="1110"/>
    </row>
    <row r="1562" ht="18.75" customHeight="1">
      <c r="A1562" s="1110"/>
      <c r="B1562" s="1115" t="s">
        <v>7055</v>
      </c>
      <c r="C1562" s="1108" t="s">
        <v>6608</v>
      </c>
      <c r="D1562" s="1108" t="s">
        <v>7254</v>
      </c>
      <c r="E1562" s="1116" t="s">
        <v>7255</v>
      </c>
      <c r="F1562" s="1117">
        <v>0.1</v>
      </c>
      <c r="G1562" s="1109">
        <v>0.0</v>
      </c>
      <c r="H1562" s="1116"/>
      <c r="I1562" s="1118" t="str">
        <f t="shared" si="1"/>
        <v/>
      </c>
      <c r="J1562" s="1110"/>
    </row>
    <row r="1563" ht="18.75" customHeight="1">
      <c r="A1563" s="1110"/>
      <c r="B1563" s="1115" t="s">
        <v>7055</v>
      </c>
      <c r="C1563" s="1108" t="s">
        <v>6608</v>
      </c>
      <c r="D1563" s="1108" t="s">
        <v>7256</v>
      </c>
      <c r="E1563" s="1116" t="s">
        <v>7257</v>
      </c>
      <c r="F1563" s="1117">
        <v>0.1</v>
      </c>
      <c r="G1563" s="1109">
        <v>0.0</v>
      </c>
      <c r="H1563" s="1118">
        <v>226300.0</v>
      </c>
      <c r="I1563" s="1118">
        <f t="shared" si="1"/>
        <v>205730</v>
      </c>
      <c r="J1563" s="1110"/>
    </row>
    <row r="1564" ht="18.75" customHeight="1">
      <c r="A1564" s="1110"/>
      <c r="B1564" s="1115" t="s">
        <v>7055</v>
      </c>
      <c r="C1564" s="1108" t="s">
        <v>6608</v>
      </c>
      <c r="D1564" s="1108" t="s">
        <v>7258</v>
      </c>
      <c r="E1564" s="1116" t="s">
        <v>7259</v>
      </c>
      <c r="F1564" s="1117">
        <v>0.1</v>
      </c>
      <c r="G1564" s="1109">
        <v>0.0</v>
      </c>
      <c r="H1564" s="1116"/>
      <c r="I1564" s="1118" t="str">
        <f t="shared" si="1"/>
        <v/>
      </c>
      <c r="J1564" s="1110"/>
    </row>
    <row r="1565" ht="18.75" customHeight="1">
      <c r="A1565" s="1110"/>
      <c r="B1565" s="1115" t="s">
        <v>7055</v>
      </c>
      <c r="C1565" s="1108" t="s">
        <v>6608</v>
      </c>
      <c r="D1565" s="1108" t="s">
        <v>7260</v>
      </c>
      <c r="E1565" s="1116" t="s">
        <v>7261</v>
      </c>
      <c r="F1565" s="1117">
        <v>0.1</v>
      </c>
      <c r="G1565" s="1109">
        <v>0.0</v>
      </c>
      <c r="H1565" s="1118">
        <v>240800.0</v>
      </c>
      <c r="I1565" s="1118">
        <f t="shared" si="1"/>
        <v>218910</v>
      </c>
      <c r="J1565" s="1110"/>
    </row>
    <row r="1566" ht="18.75" customHeight="1">
      <c r="A1566" s="1110"/>
      <c r="B1566" s="1115" t="s">
        <v>7055</v>
      </c>
      <c r="C1566" s="1108" t="s">
        <v>6608</v>
      </c>
      <c r="D1566" s="1108" t="s">
        <v>7262</v>
      </c>
      <c r="E1566" s="1116" t="s">
        <v>7263</v>
      </c>
      <c r="F1566" s="1117">
        <v>0.1</v>
      </c>
      <c r="G1566" s="1109">
        <v>0.0</v>
      </c>
      <c r="H1566" s="1116"/>
      <c r="I1566" s="1118" t="str">
        <f t="shared" si="1"/>
        <v/>
      </c>
      <c r="J1566" s="1110"/>
    </row>
    <row r="1567" ht="18.75" customHeight="1">
      <c r="A1567" s="1110"/>
      <c r="B1567" s="1115" t="s">
        <v>7055</v>
      </c>
      <c r="C1567" s="1108" t="s">
        <v>6608</v>
      </c>
      <c r="D1567" s="1108" t="s">
        <v>7264</v>
      </c>
      <c r="E1567" s="1116" t="s">
        <v>7265</v>
      </c>
      <c r="F1567" s="1117">
        <v>0.1</v>
      </c>
      <c r="G1567" s="1109">
        <v>0.0</v>
      </c>
      <c r="H1567" s="1118">
        <v>289200.0</v>
      </c>
      <c r="I1567" s="1118">
        <f t="shared" si="1"/>
        <v>262910</v>
      </c>
      <c r="J1567" s="1110"/>
    </row>
    <row r="1568" ht="18.75" customHeight="1">
      <c r="A1568" s="1110"/>
      <c r="B1568" s="1115" t="s">
        <v>7055</v>
      </c>
      <c r="C1568" s="1108" t="s">
        <v>6608</v>
      </c>
      <c r="D1568" s="1108" t="s">
        <v>7266</v>
      </c>
      <c r="E1568" s="1116" t="s">
        <v>7267</v>
      </c>
      <c r="F1568" s="1117">
        <v>0.1</v>
      </c>
      <c r="G1568" s="1109">
        <v>0.0</v>
      </c>
      <c r="H1568" s="1118">
        <v>296500.0</v>
      </c>
      <c r="I1568" s="1118">
        <f t="shared" si="1"/>
        <v>269550</v>
      </c>
      <c r="J1568" s="1110"/>
    </row>
    <row r="1569" ht="18.75" customHeight="1">
      <c r="A1569" s="1110"/>
      <c r="B1569" s="1115" t="s">
        <v>7055</v>
      </c>
      <c r="C1569" s="1108" t="s">
        <v>6608</v>
      </c>
      <c r="D1569" s="1108" t="s">
        <v>7268</v>
      </c>
      <c r="E1569" s="1116" t="s">
        <v>7269</v>
      </c>
      <c r="F1569" s="1117">
        <v>0.1</v>
      </c>
      <c r="G1569" s="1109">
        <v>0.0</v>
      </c>
      <c r="H1569" s="1116"/>
      <c r="I1569" s="1118" t="str">
        <f t="shared" si="1"/>
        <v/>
      </c>
      <c r="J1569" s="1110"/>
    </row>
    <row r="1570" ht="18.75" customHeight="1">
      <c r="A1570" s="1110"/>
      <c r="B1570" s="1115" t="s">
        <v>7055</v>
      </c>
      <c r="C1570" s="1108" t="s">
        <v>6608</v>
      </c>
      <c r="D1570" s="1108" t="s">
        <v>7270</v>
      </c>
      <c r="E1570" s="1116" t="s">
        <v>7271</v>
      </c>
      <c r="F1570" s="1117">
        <v>0.1</v>
      </c>
      <c r="G1570" s="1109">
        <v>0.0</v>
      </c>
      <c r="H1570" s="1118">
        <v>314600.0</v>
      </c>
      <c r="I1570" s="1118">
        <f t="shared" si="1"/>
        <v>286000</v>
      </c>
      <c r="J1570" s="1110"/>
    </row>
    <row r="1571" ht="18.75" customHeight="1">
      <c r="A1571" s="1110"/>
      <c r="B1571" s="1115" t="s">
        <v>7055</v>
      </c>
      <c r="C1571" s="1108" t="s">
        <v>6608</v>
      </c>
      <c r="D1571" s="1108" t="s">
        <v>7272</v>
      </c>
      <c r="E1571" s="1116" t="s">
        <v>7273</v>
      </c>
      <c r="F1571" s="1117">
        <v>0.1</v>
      </c>
      <c r="G1571" s="1109">
        <v>0.0</v>
      </c>
      <c r="H1571" s="1116"/>
      <c r="I1571" s="1118" t="str">
        <f t="shared" si="1"/>
        <v/>
      </c>
      <c r="J1571" s="1110"/>
    </row>
    <row r="1572" ht="18.75" customHeight="1">
      <c r="A1572" s="1110"/>
      <c r="B1572" s="1115" t="s">
        <v>7055</v>
      </c>
      <c r="C1572" s="1108" t="s">
        <v>6608</v>
      </c>
      <c r="D1572" s="1108" t="s">
        <v>7274</v>
      </c>
      <c r="E1572" s="1116" t="s">
        <v>7275</v>
      </c>
      <c r="F1572" s="1117">
        <v>0.1</v>
      </c>
      <c r="G1572" s="1109">
        <v>0.0</v>
      </c>
      <c r="H1572" s="1116"/>
      <c r="I1572" s="1118" t="str">
        <f t="shared" si="1"/>
        <v/>
      </c>
      <c r="J1572" s="1110"/>
    </row>
    <row r="1573" ht="18.75" customHeight="1">
      <c r="A1573" s="1110"/>
      <c r="B1573" s="1115" t="s">
        <v>7055</v>
      </c>
      <c r="C1573" s="1108" t="s">
        <v>6608</v>
      </c>
      <c r="D1573" s="1108" t="s">
        <v>7276</v>
      </c>
      <c r="E1573" s="1116" t="s">
        <v>7277</v>
      </c>
      <c r="F1573" s="1117">
        <v>0.1</v>
      </c>
      <c r="G1573" s="1109">
        <v>0.0</v>
      </c>
      <c r="H1573" s="1116"/>
      <c r="I1573" s="1118" t="str">
        <f t="shared" si="1"/>
        <v/>
      </c>
      <c r="J1573" s="1110"/>
    </row>
    <row r="1574" ht="18.75" customHeight="1">
      <c r="A1574" s="1110"/>
      <c r="B1574" s="1115" t="s">
        <v>7055</v>
      </c>
      <c r="C1574" s="1108" t="s">
        <v>6608</v>
      </c>
      <c r="D1574" s="1108" t="s">
        <v>7278</v>
      </c>
      <c r="E1574" s="1116" t="s">
        <v>7279</v>
      </c>
      <c r="F1574" s="1117">
        <v>0.1</v>
      </c>
      <c r="G1574" s="1109">
        <v>0.0</v>
      </c>
      <c r="H1574" s="1116"/>
      <c r="I1574" s="1118" t="str">
        <f t="shared" si="1"/>
        <v/>
      </c>
      <c r="J1574" s="1110"/>
    </row>
    <row r="1575" ht="18.75" customHeight="1">
      <c r="A1575" s="1110"/>
      <c r="B1575" s="1115" t="s">
        <v>7055</v>
      </c>
      <c r="C1575" s="1108" t="s">
        <v>6608</v>
      </c>
      <c r="D1575" s="1108" t="s">
        <v>7280</v>
      </c>
      <c r="E1575" s="1116" t="s">
        <v>7281</v>
      </c>
      <c r="F1575" s="1117">
        <v>0.1</v>
      </c>
      <c r="G1575" s="1109">
        <v>0.0</v>
      </c>
      <c r="H1575" s="1118">
        <v>359400.0</v>
      </c>
      <c r="I1575" s="1118">
        <f t="shared" si="1"/>
        <v>326730</v>
      </c>
      <c r="J1575" s="1110"/>
    </row>
    <row r="1576" ht="18.75" customHeight="1">
      <c r="A1576" s="1110"/>
      <c r="B1576" s="1115" t="s">
        <v>7055</v>
      </c>
      <c r="C1576" s="1108" t="s">
        <v>6608</v>
      </c>
      <c r="D1576" s="1108" t="s">
        <v>7282</v>
      </c>
      <c r="E1576" s="1116" t="s">
        <v>7283</v>
      </c>
      <c r="F1576" s="1117">
        <v>0.1</v>
      </c>
      <c r="G1576" s="1109">
        <v>0.0</v>
      </c>
      <c r="H1576" s="1118">
        <v>373900.0</v>
      </c>
      <c r="I1576" s="1118">
        <f t="shared" si="1"/>
        <v>339910</v>
      </c>
      <c r="J1576" s="1110"/>
    </row>
    <row r="1577" ht="18.75" customHeight="1">
      <c r="A1577" s="1110"/>
      <c r="B1577" s="1115" t="s">
        <v>7055</v>
      </c>
      <c r="C1577" s="1108" t="s">
        <v>6608</v>
      </c>
      <c r="D1577" s="1108" t="s">
        <v>7284</v>
      </c>
      <c r="E1577" s="1116" t="s">
        <v>7285</v>
      </c>
      <c r="F1577" s="1117">
        <v>0.1</v>
      </c>
      <c r="G1577" s="1109">
        <v>0.0</v>
      </c>
      <c r="H1577" s="1116"/>
      <c r="I1577" s="1118" t="str">
        <f t="shared" si="1"/>
        <v/>
      </c>
      <c r="J1577" s="1110"/>
    </row>
    <row r="1578" ht="18.75" customHeight="1">
      <c r="A1578" s="1110"/>
      <c r="B1578" s="1115" t="s">
        <v>7055</v>
      </c>
      <c r="C1578" s="1108" t="s">
        <v>6608</v>
      </c>
      <c r="D1578" s="1108" t="s">
        <v>7286</v>
      </c>
      <c r="E1578" s="1116" t="s">
        <v>7287</v>
      </c>
      <c r="F1578" s="1117">
        <v>0.1</v>
      </c>
      <c r="G1578" s="1109">
        <v>0.0</v>
      </c>
      <c r="H1578" s="1116"/>
      <c r="I1578" s="1118" t="str">
        <f t="shared" si="1"/>
        <v/>
      </c>
      <c r="J1578" s="1110"/>
    </row>
    <row r="1579" ht="18.75" customHeight="1">
      <c r="A1579" s="1110"/>
      <c r="B1579" s="1115" t="s">
        <v>7055</v>
      </c>
      <c r="C1579" s="1108" t="s">
        <v>6608</v>
      </c>
      <c r="D1579" s="1108" t="s">
        <v>7288</v>
      </c>
      <c r="E1579" s="1116" t="s">
        <v>7289</v>
      </c>
      <c r="F1579" s="1117">
        <v>0.1</v>
      </c>
      <c r="G1579" s="1109">
        <v>0.0</v>
      </c>
      <c r="H1579" s="1118">
        <v>469500.0</v>
      </c>
      <c r="I1579" s="1118">
        <f t="shared" si="1"/>
        <v>426820</v>
      </c>
      <c r="J1579" s="1110"/>
    </row>
    <row r="1580" ht="18.75" customHeight="1">
      <c r="A1580" s="1110"/>
      <c r="B1580" s="1115" t="s">
        <v>7055</v>
      </c>
      <c r="C1580" s="1108" t="s">
        <v>6608</v>
      </c>
      <c r="D1580" s="1108" t="s">
        <v>7290</v>
      </c>
      <c r="E1580" s="1116" t="s">
        <v>7291</v>
      </c>
      <c r="F1580" s="1117">
        <v>0.1</v>
      </c>
      <c r="G1580" s="1109">
        <v>0.0</v>
      </c>
      <c r="H1580" s="1116"/>
      <c r="I1580" s="1118" t="str">
        <f t="shared" si="1"/>
        <v/>
      </c>
      <c r="J1580" s="1110"/>
    </row>
    <row r="1581" ht="18.75" customHeight="1">
      <c r="A1581" s="1110"/>
      <c r="B1581" s="1115" t="s">
        <v>7055</v>
      </c>
      <c r="C1581" s="1108" t="s">
        <v>6608</v>
      </c>
      <c r="D1581" s="1108" t="s">
        <v>7292</v>
      </c>
      <c r="E1581" s="1116" t="s">
        <v>7293</v>
      </c>
      <c r="F1581" s="1117">
        <v>0.1</v>
      </c>
      <c r="G1581" s="1109">
        <v>0.0</v>
      </c>
      <c r="H1581" s="1116"/>
      <c r="I1581" s="1118" t="str">
        <f t="shared" si="1"/>
        <v/>
      </c>
      <c r="J1581" s="1110"/>
    </row>
    <row r="1582" ht="18.75" customHeight="1">
      <c r="A1582" s="1110"/>
      <c r="B1582" s="1115" t="s">
        <v>7055</v>
      </c>
      <c r="C1582" s="1108" t="s">
        <v>6608</v>
      </c>
      <c r="D1582" s="1108" t="s">
        <v>7294</v>
      </c>
      <c r="E1582" s="1116" t="s">
        <v>7295</v>
      </c>
      <c r="F1582" s="1117">
        <v>0.1</v>
      </c>
      <c r="G1582" s="1109">
        <v>0.0</v>
      </c>
      <c r="H1582" s="1116"/>
      <c r="I1582" s="1118" t="str">
        <f t="shared" si="1"/>
        <v/>
      </c>
      <c r="J1582" s="1110"/>
    </row>
    <row r="1583" ht="18.75" customHeight="1">
      <c r="A1583" s="1110"/>
      <c r="B1583" s="1115" t="s">
        <v>7055</v>
      </c>
      <c r="C1583" s="1108" t="s">
        <v>6608</v>
      </c>
      <c r="D1583" s="1108" t="s">
        <v>7296</v>
      </c>
      <c r="E1583" s="1116" t="s">
        <v>7297</v>
      </c>
      <c r="F1583" s="1117">
        <v>0.1</v>
      </c>
      <c r="G1583" s="1109">
        <v>0.0</v>
      </c>
      <c r="H1583" s="1118">
        <v>140400.0</v>
      </c>
      <c r="I1583" s="1118">
        <f t="shared" si="1"/>
        <v>127640</v>
      </c>
      <c r="J1583" s="1110"/>
    </row>
    <row r="1584" ht="18.75" customHeight="1">
      <c r="A1584" s="1110"/>
      <c r="B1584" s="1115" t="s">
        <v>7055</v>
      </c>
      <c r="C1584" s="1108" t="s">
        <v>6608</v>
      </c>
      <c r="D1584" s="1108" t="s">
        <v>7298</v>
      </c>
      <c r="E1584" s="1116" t="s">
        <v>7299</v>
      </c>
      <c r="F1584" s="1117">
        <v>0.1</v>
      </c>
      <c r="G1584" s="1109">
        <v>0.0</v>
      </c>
      <c r="H1584" s="1118">
        <v>147600.0</v>
      </c>
      <c r="I1584" s="1118">
        <f t="shared" si="1"/>
        <v>134180</v>
      </c>
      <c r="J1584" s="1110"/>
    </row>
    <row r="1585" ht="18.75" customHeight="1">
      <c r="A1585" s="1110"/>
      <c r="B1585" s="1115" t="s">
        <v>79</v>
      </c>
      <c r="C1585" s="1108" t="s">
        <v>7300</v>
      </c>
      <c r="D1585" s="1108" t="s">
        <v>7301</v>
      </c>
      <c r="E1585" s="1116" t="s">
        <v>7302</v>
      </c>
      <c r="F1585" s="1117">
        <v>0.1</v>
      </c>
      <c r="G1585" s="1109">
        <v>0.0</v>
      </c>
      <c r="H1585" s="1119">
        <v>4000.0</v>
      </c>
      <c r="I1585" s="1118">
        <f t="shared" si="1"/>
        <v>3640</v>
      </c>
      <c r="J1585" s="1110"/>
    </row>
    <row r="1586" ht="18.75" customHeight="1">
      <c r="A1586" s="1110"/>
      <c r="B1586" s="1115" t="s">
        <v>79</v>
      </c>
      <c r="C1586" s="1108" t="s">
        <v>7300</v>
      </c>
      <c r="D1586" s="1108" t="s">
        <v>7303</v>
      </c>
      <c r="E1586" s="1116" t="s">
        <v>7304</v>
      </c>
      <c r="F1586" s="1117">
        <v>0.1</v>
      </c>
      <c r="G1586" s="1109">
        <v>0.0</v>
      </c>
      <c r="H1586" s="1119">
        <v>5000.0</v>
      </c>
      <c r="I1586" s="1118">
        <f t="shared" si="1"/>
        <v>4550</v>
      </c>
      <c r="J1586" s="1110"/>
    </row>
    <row r="1587" ht="18.75" customHeight="1">
      <c r="A1587" s="1110"/>
      <c r="B1587" s="1115" t="s">
        <v>79</v>
      </c>
      <c r="C1587" s="1108" t="s">
        <v>7300</v>
      </c>
      <c r="D1587" s="1108" t="s">
        <v>7305</v>
      </c>
      <c r="E1587" s="1116" t="s">
        <v>7306</v>
      </c>
      <c r="F1587" s="1117">
        <v>0.1</v>
      </c>
      <c r="G1587" s="1109">
        <v>0.0</v>
      </c>
      <c r="H1587" s="1116"/>
      <c r="I1587" s="1118" t="str">
        <f t="shared" si="1"/>
        <v/>
      </c>
      <c r="J1587" s="1110"/>
    </row>
    <row r="1588" ht="18.75" customHeight="1">
      <c r="A1588" s="1110"/>
      <c r="B1588" s="1115" t="s">
        <v>7307</v>
      </c>
      <c r="C1588" s="1108" t="s">
        <v>7308</v>
      </c>
      <c r="D1588" s="1108" t="s">
        <v>7309</v>
      </c>
      <c r="E1588" s="1116" t="s">
        <v>7310</v>
      </c>
      <c r="F1588" s="1117">
        <v>0.1</v>
      </c>
      <c r="G1588" s="1109">
        <v>0.0</v>
      </c>
      <c r="H1588" s="1118">
        <v>6100.0</v>
      </c>
      <c r="I1588" s="1118">
        <f t="shared" si="1"/>
        <v>5550</v>
      </c>
      <c r="J1588" s="1110"/>
    </row>
    <row r="1589" ht="18.75" customHeight="1">
      <c r="A1589" s="1110"/>
      <c r="B1589" s="1115" t="s">
        <v>7307</v>
      </c>
      <c r="C1589" s="1108" t="s">
        <v>7308</v>
      </c>
      <c r="D1589" s="1108" t="s">
        <v>1164</v>
      </c>
      <c r="E1589" s="1116" t="s">
        <v>7311</v>
      </c>
      <c r="F1589" s="1117">
        <v>0.1</v>
      </c>
      <c r="G1589" s="1109">
        <v>0.0</v>
      </c>
      <c r="H1589" s="1118">
        <v>4100.0</v>
      </c>
      <c r="I1589" s="1118">
        <f t="shared" si="1"/>
        <v>3730</v>
      </c>
      <c r="J1589" s="1110"/>
    </row>
    <row r="1590" ht="18.75" customHeight="1">
      <c r="A1590" s="1110"/>
      <c r="B1590" s="1115" t="s">
        <v>7307</v>
      </c>
      <c r="C1590" s="1108" t="s">
        <v>7308</v>
      </c>
      <c r="D1590" s="1108" t="s">
        <v>1168</v>
      </c>
      <c r="E1590" s="1116" t="s">
        <v>7312</v>
      </c>
      <c r="F1590" s="1117">
        <v>0.1</v>
      </c>
      <c r="G1590" s="1109">
        <v>0.0</v>
      </c>
      <c r="H1590" s="1118">
        <v>5100.0</v>
      </c>
      <c r="I1590" s="1118">
        <f t="shared" si="1"/>
        <v>4640</v>
      </c>
      <c r="J1590" s="1110"/>
    </row>
    <row r="1591" ht="18.75" customHeight="1">
      <c r="A1591" s="1110"/>
      <c r="B1591" s="1115" t="s">
        <v>7307</v>
      </c>
      <c r="C1591" s="1108" t="s">
        <v>7308</v>
      </c>
      <c r="D1591" s="1108" t="s">
        <v>1172</v>
      </c>
      <c r="E1591" s="1116" t="s">
        <v>7313</v>
      </c>
      <c r="F1591" s="1117">
        <v>0.1</v>
      </c>
      <c r="G1591" s="1109">
        <v>0.0</v>
      </c>
      <c r="H1591" s="1118">
        <v>6200.0</v>
      </c>
      <c r="I1591" s="1118">
        <f t="shared" si="1"/>
        <v>5640</v>
      </c>
      <c r="J1591" s="1110"/>
    </row>
    <row r="1592" ht="18.75" customHeight="1">
      <c r="A1592" s="1110"/>
      <c r="B1592" s="1115" t="s">
        <v>7307</v>
      </c>
      <c r="C1592" s="1108" t="s">
        <v>7308</v>
      </c>
      <c r="D1592" s="1108" t="s">
        <v>7314</v>
      </c>
      <c r="E1592" s="1116" t="s">
        <v>7315</v>
      </c>
      <c r="F1592" s="1117">
        <v>0.1</v>
      </c>
      <c r="G1592" s="1109">
        <v>0.0</v>
      </c>
      <c r="H1592" s="1118">
        <v>9000.0</v>
      </c>
      <c r="I1592" s="1118">
        <f t="shared" si="1"/>
        <v>8180</v>
      </c>
      <c r="J1592" s="1110"/>
    </row>
    <row r="1593" ht="18.75" customHeight="1">
      <c r="A1593" s="1110"/>
      <c r="B1593" s="1115" t="s">
        <v>7055</v>
      </c>
      <c r="C1593" s="1108" t="s">
        <v>6608</v>
      </c>
      <c r="D1593" s="1108" t="s">
        <v>7316</v>
      </c>
      <c r="E1593" s="1116" t="s">
        <v>7317</v>
      </c>
      <c r="F1593" s="1117">
        <v>0.1</v>
      </c>
      <c r="G1593" s="1109">
        <v>0.0</v>
      </c>
      <c r="H1593" s="1118">
        <v>154900.0</v>
      </c>
      <c r="I1593" s="1118">
        <f t="shared" si="1"/>
        <v>140820</v>
      </c>
      <c r="J1593" s="1110"/>
    </row>
    <row r="1594" ht="18.75" customHeight="1">
      <c r="A1594" s="1110"/>
      <c r="B1594" s="1115" t="s">
        <v>7055</v>
      </c>
      <c r="C1594" s="1108" t="s">
        <v>6608</v>
      </c>
      <c r="D1594" s="1108" t="s">
        <v>7318</v>
      </c>
      <c r="E1594" s="1116" t="s">
        <v>7319</v>
      </c>
      <c r="F1594" s="1117">
        <v>0.1</v>
      </c>
      <c r="G1594" s="1109">
        <v>0.0</v>
      </c>
      <c r="H1594" s="1118">
        <v>162100.0</v>
      </c>
      <c r="I1594" s="1118">
        <f t="shared" si="1"/>
        <v>147360</v>
      </c>
      <c r="J1594" s="1110"/>
    </row>
    <row r="1595" ht="18.75" customHeight="1">
      <c r="A1595" s="1110"/>
      <c r="B1595" s="1115" t="s">
        <v>7055</v>
      </c>
      <c r="C1595" s="1108" t="s">
        <v>6608</v>
      </c>
      <c r="D1595" s="1108" t="s">
        <v>7320</v>
      </c>
      <c r="E1595" s="1116" t="s">
        <v>7321</v>
      </c>
      <c r="F1595" s="1117">
        <v>0.1</v>
      </c>
      <c r="G1595" s="1109">
        <v>0.0</v>
      </c>
      <c r="H1595" s="1118">
        <v>165800.0</v>
      </c>
      <c r="I1595" s="1118">
        <f t="shared" si="1"/>
        <v>150730</v>
      </c>
      <c r="J1595" s="1110"/>
    </row>
    <row r="1596" ht="18.75" customHeight="1">
      <c r="A1596" s="1110"/>
      <c r="B1596" s="1115" t="s">
        <v>7055</v>
      </c>
      <c r="C1596" s="1108" t="s">
        <v>6608</v>
      </c>
      <c r="D1596" s="1108" t="s">
        <v>7322</v>
      </c>
      <c r="E1596" s="1116" t="s">
        <v>7323</v>
      </c>
      <c r="F1596" s="1117">
        <v>0.1</v>
      </c>
      <c r="G1596" s="1109">
        <v>0.0</v>
      </c>
      <c r="H1596" s="1118">
        <v>179100.0</v>
      </c>
      <c r="I1596" s="1118">
        <f t="shared" si="1"/>
        <v>162820</v>
      </c>
      <c r="J1596" s="1110"/>
    </row>
    <row r="1597" ht="18.75" customHeight="1">
      <c r="A1597" s="1110"/>
      <c r="B1597" s="1115" t="s">
        <v>7055</v>
      </c>
      <c r="C1597" s="1108" t="s">
        <v>6608</v>
      </c>
      <c r="D1597" s="1108" t="s">
        <v>7324</v>
      </c>
      <c r="E1597" s="1116" t="s">
        <v>7325</v>
      </c>
      <c r="F1597" s="1117">
        <v>0.1</v>
      </c>
      <c r="G1597" s="1109">
        <v>0.0</v>
      </c>
      <c r="H1597" s="1118">
        <v>197200.0</v>
      </c>
      <c r="I1597" s="1118">
        <f t="shared" si="1"/>
        <v>179270</v>
      </c>
      <c r="J1597" s="1110"/>
    </row>
    <row r="1598" ht="18.75" customHeight="1">
      <c r="A1598" s="1110"/>
      <c r="B1598" s="1115" t="s">
        <v>7055</v>
      </c>
      <c r="C1598" s="1108" t="s">
        <v>6608</v>
      </c>
      <c r="D1598" s="1108" t="s">
        <v>7326</v>
      </c>
      <c r="E1598" s="1116" t="s">
        <v>7327</v>
      </c>
      <c r="F1598" s="1117">
        <v>0.1</v>
      </c>
      <c r="G1598" s="1109">
        <v>0.0</v>
      </c>
      <c r="H1598" s="1118">
        <v>199700.0</v>
      </c>
      <c r="I1598" s="1118">
        <f t="shared" si="1"/>
        <v>181550</v>
      </c>
      <c r="J1598" s="1110"/>
    </row>
    <row r="1599" ht="18.75" customHeight="1">
      <c r="A1599" s="1110"/>
      <c r="B1599" s="1115" t="s">
        <v>7055</v>
      </c>
      <c r="C1599" s="1108" t="s">
        <v>6608</v>
      </c>
      <c r="D1599" s="1108" t="s">
        <v>7328</v>
      </c>
      <c r="E1599" s="1116" t="s">
        <v>7329</v>
      </c>
      <c r="F1599" s="1117">
        <v>0.1</v>
      </c>
      <c r="G1599" s="1109">
        <v>0.0</v>
      </c>
      <c r="H1599" s="1116"/>
      <c r="I1599" s="1118" t="str">
        <f t="shared" si="1"/>
        <v/>
      </c>
      <c r="J1599" s="1110"/>
    </row>
    <row r="1600" ht="18.75" customHeight="1">
      <c r="A1600" s="1110"/>
      <c r="B1600" s="1115" t="s">
        <v>7055</v>
      </c>
      <c r="C1600" s="1108" t="s">
        <v>6608</v>
      </c>
      <c r="D1600" s="1108" t="s">
        <v>7330</v>
      </c>
      <c r="E1600" s="1116" t="s">
        <v>7331</v>
      </c>
      <c r="F1600" s="1117">
        <v>0.1</v>
      </c>
      <c r="G1600" s="1109">
        <v>0.0</v>
      </c>
      <c r="H1600" s="1118">
        <v>237200.0</v>
      </c>
      <c r="I1600" s="1118">
        <f t="shared" si="1"/>
        <v>215640</v>
      </c>
      <c r="J1600" s="1110"/>
    </row>
    <row r="1601" ht="18.75" customHeight="1">
      <c r="A1601" s="1110"/>
      <c r="B1601" s="1115" t="s">
        <v>7055</v>
      </c>
      <c r="C1601" s="1108" t="s">
        <v>6608</v>
      </c>
      <c r="D1601" s="1108" t="s">
        <v>7332</v>
      </c>
      <c r="E1601" s="1116" t="s">
        <v>7333</v>
      </c>
      <c r="F1601" s="1117">
        <v>0.1</v>
      </c>
      <c r="G1601" s="1109">
        <v>0.0</v>
      </c>
      <c r="H1601" s="1116"/>
      <c r="I1601" s="1118" t="str">
        <f t="shared" si="1"/>
        <v/>
      </c>
      <c r="J1601" s="1110"/>
    </row>
    <row r="1602" ht="18.75" customHeight="1">
      <c r="A1602" s="1110"/>
      <c r="B1602" s="1115" t="s">
        <v>7055</v>
      </c>
      <c r="C1602" s="1108" t="s">
        <v>6608</v>
      </c>
      <c r="D1602" s="1108" t="s">
        <v>7334</v>
      </c>
      <c r="E1602" s="1116" t="s">
        <v>7335</v>
      </c>
      <c r="F1602" s="1117">
        <v>0.1</v>
      </c>
      <c r="G1602" s="1109">
        <v>0.0</v>
      </c>
      <c r="H1602" s="1118">
        <v>252900.0</v>
      </c>
      <c r="I1602" s="1118">
        <f t="shared" si="1"/>
        <v>229910</v>
      </c>
      <c r="J1602" s="1110"/>
    </row>
    <row r="1603" ht="18.75" customHeight="1">
      <c r="A1603" s="1110"/>
      <c r="B1603" s="1115" t="s">
        <v>7055</v>
      </c>
      <c r="C1603" s="1108" t="s">
        <v>6608</v>
      </c>
      <c r="D1603" s="1108" t="s">
        <v>7336</v>
      </c>
      <c r="E1603" s="1116" t="s">
        <v>7337</v>
      </c>
      <c r="F1603" s="1117">
        <v>0.1</v>
      </c>
      <c r="G1603" s="1109">
        <v>0.0</v>
      </c>
      <c r="H1603" s="1116"/>
      <c r="I1603" s="1118" t="str">
        <f t="shared" si="1"/>
        <v/>
      </c>
      <c r="J1603" s="1110"/>
    </row>
    <row r="1604" ht="18.75" customHeight="1">
      <c r="A1604" s="1110"/>
      <c r="B1604" s="1115" t="s">
        <v>7055</v>
      </c>
      <c r="C1604" s="1108" t="s">
        <v>6608</v>
      </c>
      <c r="D1604" s="1108" t="s">
        <v>7338</v>
      </c>
      <c r="E1604" s="1116" t="s">
        <v>7339</v>
      </c>
      <c r="F1604" s="1117">
        <v>0.1</v>
      </c>
      <c r="G1604" s="1109">
        <v>0.0</v>
      </c>
      <c r="H1604" s="1118">
        <v>273500.0</v>
      </c>
      <c r="I1604" s="1118">
        <f t="shared" si="1"/>
        <v>248640</v>
      </c>
      <c r="J1604" s="1110"/>
    </row>
    <row r="1605" ht="18.75" customHeight="1">
      <c r="A1605" s="1110"/>
      <c r="B1605" s="1115" t="s">
        <v>7055</v>
      </c>
      <c r="C1605" s="1108" t="s">
        <v>6608</v>
      </c>
      <c r="D1605" s="1108" t="s">
        <v>7340</v>
      </c>
      <c r="E1605" s="1116" t="s">
        <v>7341</v>
      </c>
      <c r="F1605" s="1117">
        <v>0.1</v>
      </c>
      <c r="G1605" s="1109">
        <v>0.0</v>
      </c>
      <c r="H1605" s="1116"/>
      <c r="I1605" s="1118" t="str">
        <f t="shared" si="1"/>
        <v/>
      </c>
      <c r="J1605" s="1110"/>
    </row>
    <row r="1606" ht="18.75" customHeight="1">
      <c r="A1606" s="1110"/>
      <c r="B1606" s="1115" t="s">
        <v>7055</v>
      </c>
      <c r="C1606" s="1108" t="s">
        <v>6608</v>
      </c>
      <c r="D1606" s="1108" t="s">
        <v>7342</v>
      </c>
      <c r="E1606" s="1116" t="s">
        <v>7343</v>
      </c>
      <c r="F1606" s="1117">
        <v>0.1</v>
      </c>
      <c r="G1606" s="1109">
        <v>0.0</v>
      </c>
      <c r="H1606" s="1118">
        <v>290400.0</v>
      </c>
      <c r="I1606" s="1118">
        <f t="shared" si="1"/>
        <v>264000</v>
      </c>
      <c r="J1606" s="1110"/>
    </row>
    <row r="1607" ht="18.75" customHeight="1">
      <c r="A1607" s="1110"/>
      <c r="B1607" s="1115" t="s">
        <v>7055</v>
      </c>
      <c r="C1607" s="1108" t="s">
        <v>6608</v>
      </c>
      <c r="D1607" s="1108" t="s">
        <v>7344</v>
      </c>
      <c r="E1607" s="1116" t="s">
        <v>7345</v>
      </c>
      <c r="F1607" s="1117">
        <v>0.1</v>
      </c>
      <c r="G1607" s="1109">
        <v>0.0</v>
      </c>
      <c r="H1607" s="1116"/>
      <c r="I1607" s="1118" t="str">
        <f t="shared" si="1"/>
        <v/>
      </c>
      <c r="J1607" s="1110"/>
    </row>
    <row r="1608" ht="18.75" customHeight="1">
      <c r="A1608" s="1110"/>
      <c r="B1608" s="1115" t="s">
        <v>7055</v>
      </c>
      <c r="C1608" s="1108" t="s">
        <v>6608</v>
      </c>
      <c r="D1608" s="1108" t="s">
        <v>7346</v>
      </c>
      <c r="E1608" s="1116" t="s">
        <v>7347</v>
      </c>
      <c r="F1608" s="1117">
        <v>0.1</v>
      </c>
      <c r="G1608" s="1109">
        <v>0.0</v>
      </c>
      <c r="H1608" s="1118">
        <v>324300.0</v>
      </c>
      <c r="I1608" s="1118">
        <f t="shared" si="1"/>
        <v>294820</v>
      </c>
      <c r="J1608" s="1110"/>
    </row>
    <row r="1609" ht="18.75" customHeight="1">
      <c r="A1609" s="1110"/>
      <c r="B1609" s="1115" t="s">
        <v>7055</v>
      </c>
      <c r="C1609" s="1108" t="s">
        <v>6608</v>
      </c>
      <c r="D1609" s="1108" t="s">
        <v>7348</v>
      </c>
      <c r="E1609" s="1116" t="s">
        <v>7349</v>
      </c>
      <c r="F1609" s="1117">
        <v>0.1</v>
      </c>
      <c r="G1609" s="1109">
        <v>0.0</v>
      </c>
      <c r="H1609" s="1116"/>
      <c r="I1609" s="1118" t="str">
        <f t="shared" si="1"/>
        <v/>
      </c>
      <c r="J1609" s="1110"/>
    </row>
    <row r="1610" ht="18.75" customHeight="1">
      <c r="A1610" s="1110"/>
      <c r="B1610" s="1115" t="s">
        <v>7055</v>
      </c>
      <c r="C1610" s="1108" t="s">
        <v>6608</v>
      </c>
      <c r="D1610" s="1108" t="s">
        <v>7350</v>
      </c>
      <c r="E1610" s="1116" t="s">
        <v>7351</v>
      </c>
      <c r="F1610" s="1117">
        <v>0.1</v>
      </c>
      <c r="G1610" s="1109">
        <v>0.0</v>
      </c>
      <c r="H1610" s="1118">
        <v>376300.0</v>
      </c>
      <c r="I1610" s="1118">
        <f t="shared" si="1"/>
        <v>342090</v>
      </c>
      <c r="J1610" s="1110"/>
    </row>
    <row r="1611" ht="18.75" customHeight="1">
      <c r="A1611" s="1110"/>
      <c r="B1611" s="1115" t="s">
        <v>7055</v>
      </c>
      <c r="C1611" s="1108" t="s">
        <v>6608</v>
      </c>
      <c r="D1611" s="1108" t="s">
        <v>7352</v>
      </c>
      <c r="E1611" s="1116" t="s">
        <v>7353</v>
      </c>
      <c r="F1611" s="1117">
        <v>0.1</v>
      </c>
      <c r="G1611" s="1109">
        <v>0.0</v>
      </c>
      <c r="H1611" s="1118">
        <v>387200.0</v>
      </c>
      <c r="I1611" s="1118">
        <f t="shared" si="1"/>
        <v>352000</v>
      </c>
      <c r="J1611" s="1110"/>
    </row>
    <row r="1612" ht="18.75" customHeight="1">
      <c r="A1612" s="1110"/>
      <c r="B1612" s="1115" t="s">
        <v>7055</v>
      </c>
      <c r="C1612" s="1108" t="s">
        <v>6608</v>
      </c>
      <c r="D1612" s="1108" t="s">
        <v>7354</v>
      </c>
      <c r="E1612" s="1116" t="s">
        <v>7355</v>
      </c>
      <c r="F1612" s="1117">
        <v>0.1</v>
      </c>
      <c r="G1612" s="1109">
        <v>0.0</v>
      </c>
      <c r="H1612" s="1116"/>
      <c r="I1612" s="1118" t="str">
        <f t="shared" si="1"/>
        <v/>
      </c>
      <c r="J1612" s="1110"/>
    </row>
    <row r="1613" ht="18.75" customHeight="1">
      <c r="A1613" s="1110"/>
      <c r="B1613" s="1115" t="s">
        <v>7055</v>
      </c>
      <c r="C1613" s="1108" t="s">
        <v>6608</v>
      </c>
      <c r="D1613" s="1108" t="s">
        <v>7356</v>
      </c>
      <c r="E1613" s="1116" t="s">
        <v>7357</v>
      </c>
      <c r="F1613" s="1117">
        <v>0.1</v>
      </c>
      <c r="G1613" s="1109">
        <v>0.0</v>
      </c>
      <c r="H1613" s="1118">
        <v>409000.0</v>
      </c>
      <c r="I1613" s="1118">
        <f t="shared" si="1"/>
        <v>371820</v>
      </c>
      <c r="J1613" s="1110"/>
    </row>
    <row r="1614" ht="18.75" customHeight="1">
      <c r="A1614" s="1110"/>
      <c r="B1614" s="1115" t="s">
        <v>7055</v>
      </c>
      <c r="C1614" s="1108" t="s">
        <v>6608</v>
      </c>
      <c r="D1614" s="1108" t="s">
        <v>7358</v>
      </c>
      <c r="E1614" s="1116" t="s">
        <v>7359</v>
      </c>
      <c r="F1614" s="1117">
        <v>0.1</v>
      </c>
      <c r="G1614" s="1109">
        <v>0.0</v>
      </c>
      <c r="H1614" s="1116"/>
      <c r="I1614" s="1118" t="str">
        <f t="shared" si="1"/>
        <v/>
      </c>
      <c r="J1614" s="1110"/>
    </row>
    <row r="1615" ht="18.75" customHeight="1">
      <c r="A1615" s="1110"/>
      <c r="B1615" s="1115" t="s">
        <v>7055</v>
      </c>
      <c r="C1615" s="1108" t="s">
        <v>6608</v>
      </c>
      <c r="D1615" s="1108" t="s">
        <v>7360</v>
      </c>
      <c r="E1615" s="1116" t="s">
        <v>7361</v>
      </c>
      <c r="F1615" s="1117">
        <v>0.1</v>
      </c>
      <c r="G1615" s="1109">
        <v>0.0</v>
      </c>
      <c r="H1615" s="1116"/>
      <c r="I1615" s="1118" t="str">
        <f t="shared" si="1"/>
        <v/>
      </c>
      <c r="J1615" s="1110"/>
    </row>
    <row r="1616" ht="18.75" customHeight="1">
      <c r="A1616" s="1110"/>
      <c r="B1616" s="1115" t="s">
        <v>7055</v>
      </c>
      <c r="C1616" s="1108" t="s">
        <v>6608</v>
      </c>
      <c r="D1616" s="1108" t="s">
        <v>7362</v>
      </c>
      <c r="E1616" s="1116" t="s">
        <v>7363</v>
      </c>
      <c r="F1616" s="1117">
        <v>0.1</v>
      </c>
      <c r="G1616" s="1109">
        <v>0.0</v>
      </c>
      <c r="H1616" s="1116"/>
      <c r="I1616" s="1118" t="str">
        <f t="shared" si="1"/>
        <v/>
      </c>
      <c r="J1616" s="1110"/>
    </row>
    <row r="1617" ht="18.75" customHeight="1">
      <c r="A1617" s="1110"/>
      <c r="B1617" s="1115" t="s">
        <v>7055</v>
      </c>
      <c r="C1617" s="1108" t="s">
        <v>6608</v>
      </c>
      <c r="D1617" s="1108" t="s">
        <v>7364</v>
      </c>
      <c r="E1617" s="1116" t="s">
        <v>7365</v>
      </c>
      <c r="F1617" s="1117">
        <v>0.1</v>
      </c>
      <c r="G1617" s="1109">
        <v>0.0</v>
      </c>
      <c r="H1617" s="1116"/>
      <c r="I1617" s="1118" t="str">
        <f t="shared" si="1"/>
        <v/>
      </c>
      <c r="J1617" s="1110"/>
    </row>
    <row r="1618" ht="18.75" customHeight="1">
      <c r="A1618" s="1110"/>
      <c r="B1618" s="1115" t="s">
        <v>7055</v>
      </c>
      <c r="C1618" s="1108" t="s">
        <v>6608</v>
      </c>
      <c r="D1618" s="1108" t="s">
        <v>7366</v>
      </c>
      <c r="E1618" s="1116" t="s">
        <v>7367</v>
      </c>
      <c r="F1618" s="1117">
        <v>0.1</v>
      </c>
      <c r="G1618" s="1109">
        <v>0.0</v>
      </c>
      <c r="H1618" s="1118">
        <v>538500.0</v>
      </c>
      <c r="I1618" s="1118">
        <f t="shared" si="1"/>
        <v>489550</v>
      </c>
      <c r="J1618" s="1110"/>
    </row>
    <row r="1619" ht="18.75" customHeight="1">
      <c r="A1619" s="1110"/>
      <c r="B1619" s="1115" t="s">
        <v>7055</v>
      </c>
      <c r="C1619" s="1108" t="s">
        <v>6608</v>
      </c>
      <c r="D1619" s="1108" t="s">
        <v>7368</v>
      </c>
      <c r="E1619" s="1116" t="s">
        <v>7369</v>
      </c>
      <c r="F1619" s="1117">
        <v>0.1</v>
      </c>
      <c r="G1619" s="1109">
        <v>0.0</v>
      </c>
      <c r="H1619" s="1118">
        <v>554200.0</v>
      </c>
      <c r="I1619" s="1118">
        <f t="shared" si="1"/>
        <v>503820</v>
      </c>
      <c r="J1619" s="1110"/>
    </row>
    <row r="1620" ht="18.75" customHeight="1">
      <c r="A1620" s="1110"/>
      <c r="B1620" s="1115" t="s">
        <v>7055</v>
      </c>
      <c r="C1620" s="1108" t="s">
        <v>6608</v>
      </c>
      <c r="D1620" s="1108" t="s">
        <v>7370</v>
      </c>
      <c r="E1620" s="1116" t="s">
        <v>7371</v>
      </c>
      <c r="F1620" s="1117">
        <v>0.1</v>
      </c>
      <c r="G1620" s="1109">
        <v>0.0</v>
      </c>
      <c r="H1620" s="1116"/>
      <c r="I1620" s="1118" t="str">
        <f t="shared" si="1"/>
        <v/>
      </c>
      <c r="J1620" s="1110"/>
    </row>
    <row r="1621" ht="18.75" customHeight="1">
      <c r="A1621" s="1110"/>
      <c r="B1621" s="1115" t="s">
        <v>7055</v>
      </c>
      <c r="C1621" s="1108" t="s">
        <v>6608</v>
      </c>
      <c r="D1621" s="1108" t="s">
        <v>7372</v>
      </c>
      <c r="E1621" s="1116" t="s">
        <v>7373</v>
      </c>
      <c r="F1621" s="1117">
        <v>0.1</v>
      </c>
      <c r="G1621" s="1109">
        <v>0.0</v>
      </c>
      <c r="H1621" s="1116"/>
      <c r="I1621" s="1118" t="str">
        <f t="shared" si="1"/>
        <v/>
      </c>
      <c r="J1621" s="1110"/>
    </row>
    <row r="1622" ht="18.75" customHeight="1">
      <c r="A1622" s="1110"/>
      <c r="B1622" s="1115" t="s">
        <v>7055</v>
      </c>
      <c r="C1622" s="1108" t="s">
        <v>6608</v>
      </c>
      <c r="D1622" s="1108" t="s">
        <v>7374</v>
      </c>
      <c r="E1622" s="1116" t="s">
        <v>7375</v>
      </c>
      <c r="F1622" s="1117">
        <v>0.1</v>
      </c>
      <c r="G1622" s="1109">
        <v>0.0</v>
      </c>
      <c r="H1622" s="1118">
        <v>635300.0</v>
      </c>
      <c r="I1622" s="1118">
        <f t="shared" si="1"/>
        <v>577550</v>
      </c>
      <c r="J1622" s="1110"/>
    </row>
    <row r="1623" ht="18.75" customHeight="1">
      <c r="A1623" s="1110"/>
      <c r="B1623" s="1115" t="s">
        <v>7055</v>
      </c>
      <c r="C1623" s="1108" t="s">
        <v>6608</v>
      </c>
      <c r="D1623" s="1108" t="s">
        <v>7376</v>
      </c>
      <c r="E1623" s="1116" t="s">
        <v>7377</v>
      </c>
      <c r="F1623" s="1117">
        <v>0.1</v>
      </c>
      <c r="G1623" s="1109">
        <v>0.0</v>
      </c>
      <c r="H1623" s="1116"/>
      <c r="I1623" s="1118" t="str">
        <f t="shared" si="1"/>
        <v/>
      </c>
      <c r="J1623" s="1110"/>
    </row>
    <row r="1624" ht="18.75" customHeight="1">
      <c r="A1624" s="1110"/>
      <c r="B1624" s="1115" t="s">
        <v>7055</v>
      </c>
      <c r="C1624" s="1108" t="s">
        <v>6608</v>
      </c>
      <c r="D1624" s="1108" t="s">
        <v>7378</v>
      </c>
      <c r="E1624" s="1116" t="s">
        <v>7379</v>
      </c>
      <c r="F1624" s="1117">
        <v>0.1</v>
      </c>
      <c r="G1624" s="1109">
        <v>0.0</v>
      </c>
      <c r="H1624" s="1116"/>
      <c r="I1624" s="1118" t="str">
        <f t="shared" si="1"/>
        <v/>
      </c>
      <c r="J1624" s="1110"/>
    </row>
    <row r="1625" ht="18.75" customHeight="1">
      <c r="A1625" s="1110"/>
      <c r="B1625" s="1115" t="s">
        <v>7055</v>
      </c>
      <c r="C1625" s="1108" t="s">
        <v>6608</v>
      </c>
      <c r="D1625" s="1108" t="s">
        <v>7380</v>
      </c>
      <c r="E1625" s="1116" t="s">
        <v>7381</v>
      </c>
      <c r="F1625" s="1117">
        <v>0.1</v>
      </c>
      <c r="G1625" s="1109">
        <v>0.0</v>
      </c>
      <c r="H1625" s="1116"/>
      <c r="I1625" s="1118" t="str">
        <f t="shared" si="1"/>
        <v/>
      </c>
      <c r="J1625" s="1110"/>
    </row>
    <row r="1626" ht="18.75" customHeight="1">
      <c r="A1626" s="1110"/>
      <c r="B1626" s="1115" t="s">
        <v>7055</v>
      </c>
      <c r="C1626" s="1108" t="s">
        <v>6608</v>
      </c>
      <c r="D1626" s="1108" t="s">
        <v>7382</v>
      </c>
      <c r="E1626" s="1116" t="s">
        <v>7383</v>
      </c>
      <c r="F1626" s="1117">
        <v>0.1</v>
      </c>
      <c r="G1626" s="1109">
        <v>0.0</v>
      </c>
      <c r="H1626" s="1116"/>
      <c r="I1626" s="1118" t="str">
        <f t="shared" si="1"/>
        <v/>
      </c>
      <c r="J1626" s="1110"/>
    </row>
    <row r="1627" ht="18.75" customHeight="1">
      <c r="A1627" s="1110"/>
      <c r="B1627" s="1115" t="s">
        <v>7055</v>
      </c>
      <c r="C1627" s="1108" t="s">
        <v>6608</v>
      </c>
      <c r="D1627" s="1108" t="s">
        <v>7384</v>
      </c>
      <c r="E1627" s="1116" t="s">
        <v>7385</v>
      </c>
      <c r="F1627" s="1117">
        <v>0.1</v>
      </c>
      <c r="G1627" s="1109">
        <v>0.0</v>
      </c>
      <c r="H1627" s="1118">
        <v>196000.0</v>
      </c>
      <c r="I1627" s="1118">
        <f t="shared" si="1"/>
        <v>178180</v>
      </c>
      <c r="J1627" s="1110"/>
    </row>
    <row r="1628" ht="18.75" customHeight="1">
      <c r="A1628" s="1110"/>
      <c r="B1628" s="1115" t="s">
        <v>7055</v>
      </c>
      <c r="C1628" s="1108" t="s">
        <v>6608</v>
      </c>
      <c r="D1628" s="1108" t="s">
        <v>7386</v>
      </c>
      <c r="E1628" s="1116" t="s">
        <v>7387</v>
      </c>
      <c r="F1628" s="1117">
        <v>0.1</v>
      </c>
      <c r="G1628" s="1109">
        <v>0.0</v>
      </c>
      <c r="H1628" s="1118">
        <v>208100.0</v>
      </c>
      <c r="I1628" s="1118">
        <f t="shared" si="1"/>
        <v>189180</v>
      </c>
      <c r="J1628" s="1110"/>
    </row>
    <row r="1629" ht="18.75" customHeight="1">
      <c r="A1629" s="1110"/>
      <c r="B1629" s="1115" t="s">
        <v>7055</v>
      </c>
      <c r="C1629" s="1108" t="s">
        <v>6608</v>
      </c>
      <c r="D1629" s="1108" t="s">
        <v>7388</v>
      </c>
      <c r="E1629" s="1116" t="s">
        <v>7389</v>
      </c>
      <c r="F1629" s="1117">
        <v>0.1</v>
      </c>
      <c r="G1629" s="1109">
        <v>0.0</v>
      </c>
      <c r="H1629" s="1118">
        <v>223900.0</v>
      </c>
      <c r="I1629" s="1118">
        <f t="shared" si="1"/>
        <v>203550</v>
      </c>
      <c r="J1629" s="1110"/>
    </row>
    <row r="1630" ht="18.75" customHeight="1">
      <c r="A1630" s="1110"/>
      <c r="B1630" s="1115" t="s">
        <v>7055</v>
      </c>
      <c r="C1630" s="1108" t="s">
        <v>6608</v>
      </c>
      <c r="D1630" s="1108" t="s">
        <v>7390</v>
      </c>
      <c r="E1630" s="1116" t="s">
        <v>7391</v>
      </c>
      <c r="F1630" s="1117">
        <v>0.1</v>
      </c>
      <c r="G1630" s="1109">
        <v>0.0</v>
      </c>
      <c r="H1630" s="1118">
        <v>242000.0</v>
      </c>
      <c r="I1630" s="1118">
        <f t="shared" si="1"/>
        <v>220000</v>
      </c>
      <c r="J1630" s="1110"/>
    </row>
    <row r="1631" ht="18.75" customHeight="1">
      <c r="A1631" s="1110"/>
      <c r="B1631" s="1115" t="s">
        <v>7055</v>
      </c>
      <c r="C1631" s="1108" t="s">
        <v>6608</v>
      </c>
      <c r="D1631" s="1108" t="s">
        <v>7392</v>
      </c>
      <c r="E1631" s="1116" t="s">
        <v>7393</v>
      </c>
      <c r="F1631" s="1117">
        <v>0.1</v>
      </c>
      <c r="G1631" s="1109">
        <v>0.0</v>
      </c>
      <c r="H1631" s="1118">
        <v>271000.0</v>
      </c>
      <c r="I1631" s="1118">
        <f t="shared" si="1"/>
        <v>246360</v>
      </c>
      <c r="J1631" s="1110"/>
    </row>
    <row r="1632" ht="18.75" customHeight="1">
      <c r="A1632" s="1110"/>
      <c r="B1632" s="1115" t="s">
        <v>7055</v>
      </c>
      <c r="C1632" s="1108" t="s">
        <v>6608</v>
      </c>
      <c r="D1632" s="1108" t="s">
        <v>7394</v>
      </c>
      <c r="E1632" s="1116" t="s">
        <v>7395</v>
      </c>
      <c r="F1632" s="1117">
        <v>0.1</v>
      </c>
      <c r="G1632" s="1109">
        <v>0.0</v>
      </c>
      <c r="H1632" s="1118">
        <v>275900.0</v>
      </c>
      <c r="I1632" s="1118">
        <f t="shared" si="1"/>
        <v>250820</v>
      </c>
      <c r="J1632" s="1110"/>
    </row>
    <row r="1633" ht="18.75" customHeight="1">
      <c r="A1633" s="1110"/>
      <c r="B1633" s="1115" t="s">
        <v>7055</v>
      </c>
      <c r="C1633" s="1108" t="s">
        <v>6608</v>
      </c>
      <c r="D1633" s="1108" t="s">
        <v>7396</v>
      </c>
      <c r="E1633" s="1116" t="s">
        <v>7397</v>
      </c>
      <c r="F1633" s="1117">
        <v>0.1</v>
      </c>
      <c r="G1633" s="1109">
        <v>0.0</v>
      </c>
      <c r="H1633" s="1118">
        <v>281900.0</v>
      </c>
      <c r="I1633" s="1118">
        <f t="shared" si="1"/>
        <v>256270</v>
      </c>
      <c r="J1633" s="1110"/>
    </row>
    <row r="1634" ht="18.75" customHeight="1">
      <c r="A1634" s="1110"/>
      <c r="B1634" s="1115" t="s">
        <v>7055</v>
      </c>
      <c r="C1634" s="1108" t="s">
        <v>6608</v>
      </c>
      <c r="D1634" s="1108" t="s">
        <v>7398</v>
      </c>
      <c r="E1634" s="1116" t="s">
        <v>7399</v>
      </c>
      <c r="F1634" s="1117">
        <v>0.1</v>
      </c>
      <c r="G1634" s="1109">
        <v>0.0</v>
      </c>
      <c r="H1634" s="1116"/>
      <c r="I1634" s="1118" t="str">
        <f t="shared" si="1"/>
        <v/>
      </c>
      <c r="J1634" s="1110"/>
    </row>
    <row r="1635" ht="18.75" customHeight="1">
      <c r="A1635" s="1110"/>
      <c r="B1635" s="1115" t="s">
        <v>7055</v>
      </c>
      <c r="C1635" s="1108" t="s">
        <v>6608</v>
      </c>
      <c r="D1635" s="1108" t="s">
        <v>7400</v>
      </c>
      <c r="E1635" s="1116" t="s">
        <v>7401</v>
      </c>
      <c r="F1635" s="1117">
        <v>0.1</v>
      </c>
      <c r="G1635" s="1109">
        <v>0.0</v>
      </c>
      <c r="H1635" s="1118">
        <v>297700.0</v>
      </c>
      <c r="I1635" s="1118">
        <f t="shared" si="1"/>
        <v>270640</v>
      </c>
      <c r="J1635" s="1110"/>
    </row>
    <row r="1636" ht="18.75" customHeight="1">
      <c r="A1636" s="1110"/>
      <c r="B1636" s="1115" t="s">
        <v>7055</v>
      </c>
      <c r="C1636" s="1108" t="s">
        <v>6608</v>
      </c>
      <c r="D1636" s="1108" t="s">
        <v>7402</v>
      </c>
      <c r="E1636" s="1116" t="s">
        <v>7403</v>
      </c>
      <c r="F1636" s="1117">
        <v>0.1</v>
      </c>
      <c r="G1636" s="1109">
        <v>0.0</v>
      </c>
      <c r="H1636" s="1116"/>
      <c r="I1636" s="1118" t="str">
        <f t="shared" si="1"/>
        <v/>
      </c>
      <c r="J1636" s="1110"/>
    </row>
    <row r="1637" ht="18.75" customHeight="1">
      <c r="A1637" s="1110"/>
      <c r="B1637" s="1115" t="s">
        <v>7055</v>
      </c>
      <c r="C1637" s="1108" t="s">
        <v>6608</v>
      </c>
      <c r="D1637" s="1108" t="s">
        <v>7404</v>
      </c>
      <c r="E1637" s="1116" t="s">
        <v>7405</v>
      </c>
      <c r="F1637" s="1117">
        <v>0.1</v>
      </c>
      <c r="G1637" s="1109">
        <v>0.0</v>
      </c>
      <c r="H1637" s="1118">
        <v>304900.0</v>
      </c>
      <c r="I1637" s="1118">
        <f t="shared" si="1"/>
        <v>277180</v>
      </c>
      <c r="J1637" s="1110"/>
    </row>
    <row r="1638" ht="18.75" customHeight="1">
      <c r="A1638" s="1110"/>
      <c r="B1638" s="1115" t="s">
        <v>7055</v>
      </c>
      <c r="C1638" s="1108" t="s">
        <v>6608</v>
      </c>
      <c r="D1638" s="1108" t="s">
        <v>7406</v>
      </c>
      <c r="E1638" s="1116" t="s">
        <v>7407</v>
      </c>
      <c r="F1638" s="1117">
        <v>0.1</v>
      </c>
      <c r="G1638" s="1109">
        <v>0.0</v>
      </c>
      <c r="H1638" s="1116"/>
      <c r="I1638" s="1118" t="str">
        <f t="shared" si="1"/>
        <v/>
      </c>
      <c r="J1638" s="1110"/>
    </row>
    <row r="1639" ht="18.75" customHeight="1">
      <c r="A1639" s="1110"/>
      <c r="B1639" s="1115" t="s">
        <v>7055</v>
      </c>
      <c r="C1639" s="1108" t="s">
        <v>6608</v>
      </c>
      <c r="D1639" s="1108" t="s">
        <v>7408</v>
      </c>
      <c r="E1639" s="1116" t="s">
        <v>7409</v>
      </c>
      <c r="F1639" s="1117">
        <v>0.1</v>
      </c>
      <c r="G1639" s="1109">
        <v>0.0</v>
      </c>
      <c r="H1639" s="1118">
        <v>342400.0</v>
      </c>
      <c r="I1639" s="1118">
        <f t="shared" si="1"/>
        <v>311270</v>
      </c>
      <c r="J1639" s="1110"/>
    </row>
    <row r="1640" ht="18.75" customHeight="1">
      <c r="A1640" s="1110"/>
      <c r="B1640" s="1115" t="s">
        <v>7055</v>
      </c>
      <c r="C1640" s="1108" t="s">
        <v>6608</v>
      </c>
      <c r="D1640" s="1108" t="s">
        <v>7410</v>
      </c>
      <c r="E1640" s="1116" t="s">
        <v>7411</v>
      </c>
      <c r="F1640" s="1117">
        <v>0.1</v>
      </c>
      <c r="G1640" s="1109">
        <v>0.0</v>
      </c>
      <c r="H1640" s="1116"/>
      <c r="I1640" s="1118" t="str">
        <f t="shared" si="1"/>
        <v/>
      </c>
      <c r="J1640" s="1110"/>
    </row>
    <row r="1641" ht="18.75" customHeight="1">
      <c r="A1641" s="1110"/>
      <c r="B1641" s="1115" t="s">
        <v>7055</v>
      </c>
      <c r="C1641" s="1108" t="s">
        <v>6608</v>
      </c>
      <c r="D1641" s="1108" t="s">
        <v>7412</v>
      </c>
      <c r="E1641" s="1116" t="s">
        <v>7413</v>
      </c>
      <c r="F1641" s="1117">
        <v>0.1</v>
      </c>
      <c r="G1641" s="1109">
        <v>0.0</v>
      </c>
      <c r="H1641" s="1118">
        <v>363000.0</v>
      </c>
      <c r="I1641" s="1118">
        <f t="shared" si="1"/>
        <v>330000</v>
      </c>
      <c r="J1641" s="1110"/>
    </row>
    <row r="1642" ht="18.75" customHeight="1">
      <c r="A1642" s="1110"/>
      <c r="B1642" s="1115" t="s">
        <v>7055</v>
      </c>
      <c r="C1642" s="1108" t="s">
        <v>6608</v>
      </c>
      <c r="D1642" s="1108" t="s">
        <v>7414</v>
      </c>
      <c r="E1642" s="1116" t="s">
        <v>7415</v>
      </c>
      <c r="F1642" s="1117">
        <v>0.1</v>
      </c>
      <c r="G1642" s="1109">
        <v>0.0</v>
      </c>
      <c r="H1642" s="1116"/>
      <c r="I1642" s="1118" t="str">
        <f t="shared" si="1"/>
        <v/>
      </c>
      <c r="J1642" s="1110"/>
    </row>
    <row r="1643" ht="18.75" customHeight="1">
      <c r="A1643" s="1110"/>
      <c r="B1643" s="1115" t="s">
        <v>7055</v>
      </c>
      <c r="C1643" s="1108" t="s">
        <v>6608</v>
      </c>
      <c r="D1643" s="1108" t="s">
        <v>7416</v>
      </c>
      <c r="E1643" s="1116" t="s">
        <v>7417</v>
      </c>
      <c r="F1643" s="1117">
        <v>0.1</v>
      </c>
      <c r="G1643" s="1109">
        <v>0.0</v>
      </c>
      <c r="H1643" s="1118">
        <v>388400.0</v>
      </c>
      <c r="I1643" s="1118">
        <f t="shared" si="1"/>
        <v>353090</v>
      </c>
      <c r="J1643" s="1110"/>
    </row>
    <row r="1644" ht="18.75" customHeight="1">
      <c r="A1644" s="1110"/>
      <c r="B1644" s="1115" t="s">
        <v>7055</v>
      </c>
      <c r="C1644" s="1108" t="s">
        <v>6608</v>
      </c>
      <c r="D1644" s="1108" t="s">
        <v>7418</v>
      </c>
      <c r="E1644" s="1116" t="s">
        <v>7419</v>
      </c>
      <c r="F1644" s="1117">
        <v>0.1</v>
      </c>
      <c r="G1644" s="1109">
        <v>0.0</v>
      </c>
      <c r="H1644" s="1116"/>
      <c r="I1644" s="1118" t="str">
        <f t="shared" si="1"/>
        <v/>
      </c>
      <c r="J1644" s="1110"/>
    </row>
    <row r="1645" ht="18.75" customHeight="1">
      <c r="A1645" s="1110"/>
      <c r="B1645" s="1115" t="s">
        <v>7055</v>
      </c>
      <c r="C1645" s="1108" t="s">
        <v>6608</v>
      </c>
      <c r="D1645" s="1108" t="s">
        <v>7420</v>
      </c>
      <c r="E1645" s="1116" t="s">
        <v>7421</v>
      </c>
      <c r="F1645" s="1117">
        <v>0.1</v>
      </c>
      <c r="G1645" s="1109">
        <v>0.0</v>
      </c>
      <c r="H1645" s="1118">
        <v>451300.0</v>
      </c>
      <c r="I1645" s="1118">
        <f t="shared" si="1"/>
        <v>410270</v>
      </c>
      <c r="J1645" s="1110"/>
    </row>
    <row r="1646" ht="18.75" customHeight="1">
      <c r="A1646" s="1110"/>
      <c r="B1646" s="1115" t="s">
        <v>7055</v>
      </c>
      <c r="C1646" s="1108" t="s">
        <v>6608</v>
      </c>
      <c r="D1646" s="1108" t="s">
        <v>7422</v>
      </c>
      <c r="E1646" s="1116" t="s">
        <v>7423</v>
      </c>
      <c r="F1646" s="1117">
        <v>0.1</v>
      </c>
      <c r="G1646" s="1109">
        <v>0.0</v>
      </c>
      <c r="H1646" s="1116"/>
      <c r="I1646" s="1118" t="str">
        <f t="shared" si="1"/>
        <v/>
      </c>
      <c r="J1646" s="1110"/>
    </row>
    <row r="1647" ht="18.75" customHeight="1">
      <c r="A1647" s="1110"/>
      <c r="B1647" s="1115" t="s">
        <v>7055</v>
      </c>
      <c r="C1647" s="1108" t="s">
        <v>6608</v>
      </c>
      <c r="D1647" s="1108" t="s">
        <v>7424</v>
      </c>
      <c r="E1647" s="1116" t="s">
        <v>7425</v>
      </c>
      <c r="F1647" s="1117">
        <v>0.1</v>
      </c>
      <c r="G1647" s="1109">
        <v>0.0</v>
      </c>
      <c r="H1647" s="1116"/>
      <c r="I1647" s="1118" t="str">
        <f t="shared" si="1"/>
        <v/>
      </c>
      <c r="J1647" s="1110"/>
    </row>
    <row r="1648" ht="18.75" customHeight="1">
      <c r="A1648" s="1110"/>
      <c r="B1648" s="1115" t="s">
        <v>7055</v>
      </c>
      <c r="C1648" s="1108" t="s">
        <v>6608</v>
      </c>
      <c r="D1648" s="1108" t="s">
        <v>7426</v>
      </c>
      <c r="E1648" s="1116" t="s">
        <v>7427</v>
      </c>
      <c r="F1648" s="1117">
        <v>0.1</v>
      </c>
      <c r="G1648" s="1109">
        <v>0.0</v>
      </c>
      <c r="H1648" s="1118">
        <v>503400.0</v>
      </c>
      <c r="I1648" s="1118">
        <f t="shared" si="1"/>
        <v>457640</v>
      </c>
      <c r="J1648" s="1110"/>
    </row>
    <row r="1649" ht="18.75" customHeight="1">
      <c r="A1649" s="1110"/>
      <c r="B1649" s="1115" t="s">
        <v>7055</v>
      </c>
      <c r="C1649" s="1108" t="s">
        <v>6608</v>
      </c>
      <c r="D1649" s="1108" t="s">
        <v>7428</v>
      </c>
      <c r="E1649" s="1116" t="s">
        <v>7429</v>
      </c>
      <c r="F1649" s="1117">
        <v>0.1</v>
      </c>
      <c r="G1649" s="1109">
        <v>0.0</v>
      </c>
      <c r="H1649" s="1116"/>
      <c r="I1649" s="1118" t="str">
        <f t="shared" si="1"/>
        <v/>
      </c>
      <c r="J1649" s="1110"/>
    </row>
    <row r="1650" ht="18.75" customHeight="1">
      <c r="A1650" s="1110"/>
      <c r="B1650" s="1115" t="s">
        <v>7055</v>
      </c>
      <c r="C1650" s="1108" t="s">
        <v>6608</v>
      </c>
      <c r="D1650" s="1108" t="s">
        <v>7430</v>
      </c>
      <c r="E1650" s="1116" t="s">
        <v>7431</v>
      </c>
      <c r="F1650" s="1117">
        <v>0.1</v>
      </c>
      <c r="G1650" s="1109">
        <v>0.0</v>
      </c>
      <c r="H1650" s="1116"/>
      <c r="I1650" s="1118" t="str">
        <f t="shared" si="1"/>
        <v/>
      </c>
      <c r="J1650" s="1110"/>
    </row>
    <row r="1651" ht="18.75" customHeight="1">
      <c r="A1651" s="1110"/>
      <c r="B1651" s="1115" t="s">
        <v>7055</v>
      </c>
      <c r="C1651" s="1108" t="s">
        <v>6608</v>
      </c>
      <c r="D1651" s="1108" t="s">
        <v>7432</v>
      </c>
      <c r="E1651" s="1116" t="s">
        <v>7433</v>
      </c>
      <c r="F1651" s="1117">
        <v>0.1</v>
      </c>
      <c r="G1651" s="1109">
        <v>0.0</v>
      </c>
      <c r="H1651" s="1116"/>
      <c r="I1651" s="1118" t="str">
        <f t="shared" si="1"/>
        <v/>
      </c>
      <c r="J1651" s="1110"/>
    </row>
    <row r="1652" ht="18.75" customHeight="1">
      <c r="A1652" s="1110"/>
      <c r="B1652" s="1115" t="s">
        <v>7055</v>
      </c>
      <c r="C1652" s="1108" t="s">
        <v>6608</v>
      </c>
      <c r="D1652" s="1108" t="s">
        <v>7434</v>
      </c>
      <c r="E1652" s="1116" t="s">
        <v>7435</v>
      </c>
      <c r="F1652" s="1117">
        <v>0.1</v>
      </c>
      <c r="G1652" s="1109">
        <v>0.0</v>
      </c>
      <c r="H1652" s="1116"/>
      <c r="I1652" s="1118" t="str">
        <f t="shared" si="1"/>
        <v/>
      </c>
      <c r="J1652" s="1110"/>
    </row>
    <row r="1653" ht="18.75" customHeight="1">
      <c r="A1653" s="1110"/>
      <c r="B1653" s="1115" t="s">
        <v>7055</v>
      </c>
      <c r="C1653" s="1108" t="s">
        <v>6608</v>
      </c>
      <c r="D1653" s="1108" t="s">
        <v>7436</v>
      </c>
      <c r="E1653" s="1116" t="s">
        <v>7437</v>
      </c>
      <c r="F1653" s="1117">
        <v>0.1</v>
      </c>
      <c r="G1653" s="1109">
        <v>0.0</v>
      </c>
      <c r="H1653" s="1118">
        <v>620700.0</v>
      </c>
      <c r="I1653" s="1118">
        <f t="shared" si="1"/>
        <v>564270</v>
      </c>
      <c r="J1653" s="1110"/>
    </row>
    <row r="1654" ht="18.75" customHeight="1">
      <c r="A1654" s="1110"/>
      <c r="B1654" s="1115" t="s">
        <v>7055</v>
      </c>
      <c r="C1654" s="1108" t="s">
        <v>6608</v>
      </c>
      <c r="D1654" s="1108" t="s">
        <v>7438</v>
      </c>
      <c r="E1654" s="1116" t="s">
        <v>7439</v>
      </c>
      <c r="F1654" s="1117">
        <v>0.1</v>
      </c>
      <c r="G1654" s="1109">
        <v>0.0</v>
      </c>
      <c r="H1654" s="1118">
        <v>644900.0</v>
      </c>
      <c r="I1654" s="1118">
        <f t="shared" si="1"/>
        <v>586270</v>
      </c>
      <c r="J1654" s="1110"/>
    </row>
    <row r="1655" ht="18.75" customHeight="1">
      <c r="A1655" s="1110"/>
      <c r="B1655" s="1115" t="s">
        <v>7055</v>
      </c>
      <c r="C1655" s="1108" t="s">
        <v>6608</v>
      </c>
      <c r="D1655" s="1108" t="s">
        <v>7440</v>
      </c>
      <c r="E1655" s="1116" t="s">
        <v>7441</v>
      </c>
      <c r="F1655" s="1117">
        <v>0.1</v>
      </c>
      <c r="G1655" s="1109">
        <v>0.0</v>
      </c>
      <c r="H1655" s="1116"/>
      <c r="I1655" s="1118" t="str">
        <f t="shared" si="1"/>
        <v/>
      </c>
      <c r="J1655" s="1110"/>
    </row>
    <row r="1656" ht="18.75" customHeight="1">
      <c r="A1656" s="1110"/>
      <c r="B1656" s="1115" t="s">
        <v>7055</v>
      </c>
      <c r="C1656" s="1108" t="s">
        <v>6608</v>
      </c>
      <c r="D1656" s="1108" t="s">
        <v>7442</v>
      </c>
      <c r="E1656" s="1116" t="s">
        <v>7443</v>
      </c>
      <c r="F1656" s="1117">
        <v>0.1</v>
      </c>
      <c r="G1656" s="1109">
        <v>0.0</v>
      </c>
      <c r="H1656" s="1116"/>
      <c r="I1656" s="1118" t="str">
        <f t="shared" si="1"/>
        <v/>
      </c>
      <c r="J1656" s="1110"/>
    </row>
    <row r="1657" ht="18.75" customHeight="1">
      <c r="A1657" s="1110"/>
      <c r="B1657" s="1115" t="s">
        <v>7055</v>
      </c>
      <c r="C1657" s="1108" t="s">
        <v>6608</v>
      </c>
      <c r="D1657" s="1108" t="s">
        <v>7444</v>
      </c>
      <c r="E1657" s="1116" t="s">
        <v>7445</v>
      </c>
      <c r="F1657" s="1117">
        <v>0.1</v>
      </c>
      <c r="G1657" s="1109">
        <v>0.0</v>
      </c>
      <c r="H1657" s="1118">
        <v>752600.0</v>
      </c>
      <c r="I1657" s="1118">
        <f t="shared" si="1"/>
        <v>684180</v>
      </c>
      <c r="J1657" s="1110"/>
    </row>
    <row r="1658" ht="18.75" customHeight="1">
      <c r="A1658" s="1110"/>
      <c r="B1658" s="1115" t="s">
        <v>7055</v>
      </c>
      <c r="C1658" s="1108" t="s">
        <v>6608</v>
      </c>
      <c r="D1658" s="1108" t="s">
        <v>7446</v>
      </c>
      <c r="E1658" s="1116" t="s">
        <v>7447</v>
      </c>
      <c r="F1658" s="1117">
        <v>0.1</v>
      </c>
      <c r="G1658" s="1109">
        <v>0.0</v>
      </c>
      <c r="H1658" s="1116"/>
      <c r="I1658" s="1118" t="str">
        <f t="shared" si="1"/>
        <v/>
      </c>
      <c r="J1658" s="1110"/>
    </row>
    <row r="1659" ht="18.75" customHeight="1">
      <c r="A1659" s="1110"/>
      <c r="B1659" s="1115" t="s">
        <v>7055</v>
      </c>
      <c r="C1659" s="1108" t="s">
        <v>6608</v>
      </c>
      <c r="D1659" s="1108" t="s">
        <v>7448</v>
      </c>
      <c r="E1659" s="1116" t="s">
        <v>7449</v>
      </c>
      <c r="F1659" s="1117">
        <v>0.1</v>
      </c>
      <c r="G1659" s="1109">
        <v>0.0</v>
      </c>
      <c r="H1659" s="1116"/>
      <c r="I1659" s="1118" t="str">
        <f t="shared" si="1"/>
        <v/>
      </c>
      <c r="J1659" s="1110"/>
    </row>
    <row r="1660" ht="18.75" customHeight="1">
      <c r="A1660" s="1110"/>
      <c r="B1660" s="1115" t="s">
        <v>7055</v>
      </c>
      <c r="C1660" s="1108" t="s">
        <v>6608</v>
      </c>
      <c r="D1660" s="1108" t="s">
        <v>7450</v>
      </c>
      <c r="E1660" s="1116" t="s">
        <v>7451</v>
      </c>
      <c r="F1660" s="1117">
        <v>0.1</v>
      </c>
      <c r="G1660" s="1109">
        <v>0.0</v>
      </c>
      <c r="H1660" s="1116"/>
      <c r="I1660" s="1118" t="str">
        <f t="shared" si="1"/>
        <v/>
      </c>
      <c r="J1660" s="1110"/>
    </row>
    <row r="1661" ht="18.75" customHeight="1">
      <c r="A1661" s="1110"/>
      <c r="B1661" s="1115" t="s">
        <v>7055</v>
      </c>
      <c r="C1661" s="1108" t="s">
        <v>6608</v>
      </c>
      <c r="D1661" s="1108" t="s">
        <v>7452</v>
      </c>
      <c r="E1661" s="1116" t="s">
        <v>7453</v>
      </c>
      <c r="F1661" s="1117">
        <v>0.1</v>
      </c>
      <c r="G1661" s="1109">
        <v>0.0</v>
      </c>
      <c r="H1661" s="1116"/>
      <c r="I1661" s="1118" t="str">
        <f t="shared" si="1"/>
        <v/>
      </c>
      <c r="J1661" s="1110"/>
    </row>
    <row r="1662" ht="18.75" customHeight="1">
      <c r="A1662" s="1110"/>
      <c r="B1662" s="1115" t="s">
        <v>7055</v>
      </c>
      <c r="C1662" s="1108" t="s">
        <v>6608</v>
      </c>
      <c r="D1662" s="1108" t="s">
        <v>7454</v>
      </c>
      <c r="E1662" s="1116" t="s">
        <v>7455</v>
      </c>
      <c r="F1662" s="1117">
        <v>0.1</v>
      </c>
      <c r="G1662" s="1109">
        <v>0.0</v>
      </c>
      <c r="H1662" s="1118">
        <v>329100.0</v>
      </c>
      <c r="I1662" s="1118">
        <f t="shared" si="1"/>
        <v>299180</v>
      </c>
      <c r="J1662" s="1110"/>
    </row>
    <row r="1663" ht="18.75" customHeight="1">
      <c r="A1663" s="1110"/>
      <c r="B1663" s="1115" t="s">
        <v>7055</v>
      </c>
      <c r="C1663" s="1108" t="s">
        <v>6608</v>
      </c>
      <c r="D1663" s="1108" t="s">
        <v>7456</v>
      </c>
      <c r="E1663" s="1116" t="s">
        <v>7457</v>
      </c>
      <c r="F1663" s="1117">
        <v>0.1</v>
      </c>
      <c r="G1663" s="1109">
        <v>0.0</v>
      </c>
      <c r="H1663" s="1118">
        <v>334000.0</v>
      </c>
      <c r="I1663" s="1118">
        <f t="shared" si="1"/>
        <v>303640</v>
      </c>
      <c r="J1663" s="1110"/>
    </row>
    <row r="1664" ht="18.75" customHeight="1">
      <c r="A1664" s="1110"/>
      <c r="B1664" s="1115" t="s">
        <v>7055</v>
      </c>
      <c r="C1664" s="1108" t="s">
        <v>6608</v>
      </c>
      <c r="D1664" s="1108" t="s">
        <v>7458</v>
      </c>
      <c r="E1664" s="1116" t="s">
        <v>7459</v>
      </c>
      <c r="F1664" s="1117">
        <v>0.1</v>
      </c>
      <c r="G1664" s="1109">
        <v>0.0</v>
      </c>
      <c r="H1664" s="1118">
        <v>388400.0</v>
      </c>
      <c r="I1664" s="1118">
        <f t="shared" si="1"/>
        <v>353090</v>
      </c>
      <c r="J1664" s="1110"/>
    </row>
    <row r="1665" ht="18.75" customHeight="1">
      <c r="A1665" s="1110"/>
      <c r="B1665" s="1115" t="s">
        <v>7055</v>
      </c>
      <c r="C1665" s="1108" t="s">
        <v>6608</v>
      </c>
      <c r="D1665" s="1108" t="s">
        <v>7460</v>
      </c>
      <c r="E1665" s="1116" t="s">
        <v>7461</v>
      </c>
      <c r="F1665" s="1117">
        <v>0.1</v>
      </c>
      <c r="G1665" s="1109">
        <v>0.0</v>
      </c>
      <c r="H1665" s="1118">
        <v>410200.0</v>
      </c>
      <c r="I1665" s="1118">
        <f t="shared" si="1"/>
        <v>372910</v>
      </c>
      <c r="J1665" s="1110"/>
    </row>
    <row r="1666" ht="18.75" customHeight="1">
      <c r="A1666" s="1110"/>
      <c r="B1666" s="1115" t="s">
        <v>7055</v>
      </c>
      <c r="C1666" s="1108" t="s">
        <v>6608</v>
      </c>
      <c r="D1666" s="1108" t="s">
        <v>7462</v>
      </c>
      <c r="E1666" s="1116" t="s">
        <v>7463</v>
      </c>
      <c r="F1666" s="1117">
        <v>0.1</v>
      </c>
      <c r="G1666" s="1109">
        <v>0.0</v>
      </c>
      <c r="H1666" s="1118">
        <v>421100.0</v>
      </c>
      <c r="I1666" s="1118">
        <f t="shared" si="1"/>
        <v>382820</v>
      </c>
      <c r="J1666" s="1110"/>
    </row>
    <row r="1667" ht="18.75" customHeight="1">
      <c r="A1667" s="1110"/>
      <c r="B1667" s="1115" t="s">
        <v>7055</v>
      </c>
      <c r="C1667" s="1108" t="s">
        <v>6608</v>
      </c>
      <c r="D1667" s="1108" t="s">
        <v>7464</v>
      </c>
      <c r="E1667" s="1116" t="s">
        <v>7465</v>
      </c>
      <c r="F1667" s="1117">
        <v>0.1</v>
      </c>
      <c r="G1667" s="1109">
        <v>0.0</v>
      </c>
      <c r="H1667" s="1118">
        <v>430800.0</v>
      </c>
      <c r="I1667" s="1118">
        <f t="shared" si="1"/>
        <v>391640</v>
      </c>
      <c r="J1667" s="1110"/>
    </row>
    <row r="1668" ht="18.75" customHeight="1">
      <c r="A1668" s="1110"/>
      <c r="B1668" s="1115" t="s">
        <v>7055</v>
      </c>
      <c r="C1668" s="1108" t="s">
        <v>6608</v>
      </c>
      <c r="D1668" s="1108" t="s">
        <v>7466</v>
      </c>
      <c r="E1668" s="1116" t="s">
        <v>7467</v>
      </c>
      <c r="F1668" s="1117">
        <v>0.1</v>
      </c>
      <c r="G1668" s="1109">
        <v>0.0</v>
      </c>
      <c r="H1668" s="1116"/>
      <c r="I1668" s="1118" t="str">
        <f t="shared" si="1"/>
        <v/>
      </c>
      <c r="J1668" s="1110"/>
    </row>
    <row r="1669" ht="18.75" customHeight="1">
      <c r="A1669" s="1110"/>
      <c r="B1669" s="1115" t="s">
        <v>7055</v>
      </c>
      <c r="C1669" s="1108" t="s">
        <v>6608</v>
      </c>
      <c r="D1669" s="1108" t="s">
        <v>7468</v>
      </c>
      <c r="E1669" s="1116" t="s">
        <v>7469</v>
      </c>
      <c r="F1669" s="1117">
        <v>0.1</v>
      </c>
      <c r="G1669" s="1109">
        <v>0.0</v>
      </c>
      <c r="H1669" s="1118">
        <v>452500.0</v>
      </c>
      <c r="I1669" s="1118">
        <f t="shared" si="1"/>
        <v>411360</v>
      </c>
      <c r="J1669" s="1110"/>
    </row>
    <row r="1670" ht="18.75" customHeight="1">
      <c r="A1670" s="1110"/>
      <c r="B1670" s="1115" t="s">
        <v>7055</v>
      </c>
      <c r="C1670" s="1108" t="s">
        <v>6608</v>
      </c>
      <c r="D1670" s="1108" t="s">
        <v>7470</v>
      </c>
      <c r="E1670" s="1116" t="s">
        <v>7471</v>
      </c>
      <c r="F1670" s="1117">
        <v>0.1</v>
      </c>
      <c r="G1670" s="1109">
        <v>0.0</v>
      </c>
      <c r="H1670" s="1116"/>
      <c r="I1670" s="1118" t="str">
        <f t="shared" si="1"/>
        <v/>
      </c>
      <c r="J1670" s="1110"/>
    </row>
    <row r="1671" ht="18.75" customHeight="1">
      <c r="A1671" s="1110"/>
      <c r="B1671" s="1115" t="s">
        <v>7055</v>
      </c>
      <c r="C1671" s="1108" t="s">
        <v>6608</v>
      </c>
      <c r="D1671" s="1108" t="s">
        <v>7472</v>
      </c>
      <c r="E1671" s="1116" t="s">
        <v>7473</v>
      </c>
      <c r="F1671" s="1117">
        <v>0.1</v>
      </c>
      <c r="G1671" s="1109">
        <v>0.0</v>
      </c>
      <c r="H1671" s="1118">
        <v>496100.0</v>
      </c>
      <c r="I1671" s="1118">
        <f t="shared" si="1"/>
        <v>451000</v>
      </c>
      <c r="J1671" s="1110"/>
    </row>
    <row r="1672" ht="18.75" customHeight="1">
      <c r="A1672" s="1110"/>
      <c r="B1672" s="1115" t="s">
        <v>7055</v>
      </c>
      <c r="C1672" s="1108" t="s">
        <v>6608</v>
      </c>
      <c r="D1672" s="1108" t="s">
        <v>7474</v>
      </c>
      <c r="E1672" s="1116" t="s">
        <v>7475</v>
      </c>
      <c r="F1672" s="1117">
        <v>0.1</v>
      </c>
      <c r="G1672" s="1109">
        <v>0.0</v>
      </c>
      <c r="H1672" s="1116"/>
      <c r="I1672" s="1118" t="str">
        <f t="shared" si="1"/>
        <v/>
      </c>
      <c r="J1672" s="1110"/>
    </row>
    <row r="1673" ht="18.75" customHeight="1">
      <c r="A1673" s="1110"/>
      <c r="B1673" s="1115" t="s">
        <v>7055</v>
      </c>
      <c r="C1673" s="1108" t="s">
        <v>6608</v>
      </c>
      <c r="D1673" s="1108" t="s">
        <v>7476</v>
      </c>
      <c r="E1673" s="1116" t="s">
        <v>7477</v>
      </c>
      <c r="F1673" s="1117">
        <v>0.1</v>
      </c>
      <c r="G1673" s="1109">
        <v>0.0</v>
      </c>
      <c r="H1673" s="1118">
        <v>568700.0</v>
      </c>
      <c r="I1673" s="1118">
        <f t="shared" si="1"/>
        <v>517000</v>
      </c>
      <c r="J1673" s="1110"/>
    </row>
    <row r="1674" ht="18.75" customHeight="1">
      <c r="A1674" s="1110"/>
      <c r="B1674" s="1115" t="s">
        <v>7055</v>
      </c>
      <c r="C1674" s="1108" t="s">
        <v>6608</v>
      </c>
      <c r="D1674" s="1108" t="s">
        <v>7478</v>
      </c>
      <c r="E1674" s="1116" t="s">
        <v>7479</v>
      </c>
      <c r="F1674" s="1117">
        <v>0.1</v>
      </c>
      <c r="G1674" s="1109">
        <v>0.0</v>
      </c>
      <c r="H1674" s="1116"/>
      <c r="I1674" s="1118" t="str">
        <f t="shared" si="1"/>
        <v/>
      </c>
      <c r="J1674" s="1110"/>
    </row>
    <row r="1675" ht="18.75" customHeight="1">
      <c r="A1675" s="1110"/>
      <c r="B1675" s="1115" t="s">
        <v>7055</v>
      </c>
      <c r="C1675" s="1108" t="s">
        <v>6608</v>
      </c>
      <c r="D1675" s="1108" t="s">
        <v>7480</v>
      </c>
      <c r="E1675" s="1116" t="s">
        <v>7481</v>
      </c>
      <c r="F1675" s="1117">
        <v>0.1</v>
      </c>
      <c r="G1675" s="1109">
        <v>0.0</v>
      </c>
      <c r="H1675" s="1118">
        <v>615900.0</v>
      </c>
      <c r="I1675" s="1118">
        <f t="shared" si="1"/>
        <v>559910</v>
      </c>
      <c r="J1675" s="1110"/>
    </row>
    <row r="1676" ht="18.75" customHeight="1">
      <c r="A1676" s="1110"/>
      <c r="B1676" s="1115" t="s">
        <v>7055</v>
      </c>
      <c r="C1676" s="1108" t="s">
        <v>6608</v>
      </c>
      <c r="D1676" s="1108" t="s">
        <v>7482</v>
      </c>
      <c r="E1676" s="1116" t="s">
        <v>7483</v>
      </c>
      <c r="F1676" s="1117">
        <v>0.1</v>
      </c>
      <c r="G1676" s="1109">
        <v>0.0</v>
      </c>
      <c r="H1676" s="1116"/>
      <c r="I1676" s="1118" t="str">
        <f t="shared" si="1"/>
        <v/>
      </c>
      <c r="J1676" s="1110"/>
    </row>
    <row r="1677" ht="18.75" customHeight="1">
      <c r="A1677" s="1110"/>
      <c r="B1677" s="1115" t="s">
        <v>7055</v>
      </c>
      <c r="C1677" s="1108" t="s">
        <v>6608</v>
      </c>
      <c r="D1677" s="1108" t="s">
        <v>7484</v>
      </c>
      <c r="E1677" s="1116" t="s">
        <v>7485</v>
      </c>
      <c r="F1677" s="1117">
        <v>0.1</v>
      </c>
      <c r="G1677" s="1109">
        <v>0.0</v>
      </c>
      <c r="H1677" s="1118">
        <v>636500.0</v>
      </c>
      <c r="I1677" s="1118">
        <f t="shared" si="1"/>
        <v>578640</v>
      </c>
      <c r="J1677" s="1110"/>
    </row>
    <row r="1678" ht="18.75" customHeight="1">
      <c r="A1678" s="1110"/>
      <c r="B1678" s="1115" t="s">
        <v>7055</v>
      </c>
      <c r="C1678" s="1108" t="s">
        <v>6608</v>
      </c>
      <c r="D1678" s="1108" t="s">
        <v>7486</v>
      </c>
      <c r="E1678" s="1116" t="s">
        <v>7487</v>
      </c>
      <c r="F1678" s="1117">
        <v>0.1</v>
      </c>
      <c r="G1678" s="1109">
        <v>0.0</v>
      </c>
      <c r="H1678" s="1116"/>
      <c r="I1678" s="1118" t="str">
        <f t="shared" si="1"/>
        <v/>
      </c>
      <c r="J1678" s="1110"/>
    </row>
    <row r="1679" ht="18.75" customHeight="1">
      <c r="A1679" s="1110"/>
      <c r="B1679" s="1115" t="s">
        <v>7055</v>
      </c>
      <c r="C1679" s="1108" t="s">
        <v>6608</v>
      </c>
      <c r="D1679" s="1108" t="s">
        <v>7488</v>
      </c>
      <c r="E1679" s="1116" t="s">
        <v>7489</v>
      </c>
      <c r="F1679" s="1117">
        <v>0.1</v>
      </c>
      <c r="G1679" s="1109">
        <v>0.0</v>
      </c>
      <c r="H1679" s="1118">
        <v>741700.0</v>
      </c>
      <c r="I1679" s="1118">
        <f t="shared" si="1"/>
        <v>674270</v>
      </c>
      <c r="J1679" s="1110"/>
    </row>
    <row r="1680" ht="18.75" customHeight="1">
      <c r="A1680" s="1110"/>
      <c r="B1680" s="1115" t="s">
        <v>7055</v>
      </c>
      <c r="C1680" s="1108" t="s">
        <v>6608</v>
      </c>
      <c r="D1680" s="1108" t="s">
        <v>7490</v>
      </c>
      <c r="E1680" s="1116" t="s">
        <v>7491</v>
      </c>
      <c r="F1680" s="1117">
        <v>0.1</v>
      </c>
      <c r="G1680" s="1109">
        <v>0.0</v>
      </c>
      <c r="H1680" s="1116"/>
      <c r="I1680" s="1118" t="str">
        <f t="shared" si="1"/>
        <v/>
      </c>
      <c r="J1680" s="1110"/>
    </row>
    <row r="1681" ht="18.75" customHeight="1">
      <c r="A1681" s="1110"/>
      <c r="B1681" s="1115" t="s">
        <v>7055</v>
      </c>
      <c r="C1681" s="1108" t="s">
        <v>6608</v>
      </c>
      <c r="D1681" s="1108" t="s">
        <v>7492</v>
      </c>
      <c r="E1681" s="1116" t="s">
        <v>7493</v>
      </c>
      <c r="F1681" s="1117">
        <v>0.1</v>
      </c>
      <c r="G1681" s="1109">
        <v>0.0</v>
      </c>
      <c r="H1681" s="1116"/>
      <c r="I1681" s="1118" t="str">
        <f t="shared" si="1"/>
        <v/>
      </c>
      <c r="J1681" s="1110"/>
    </row>
    <row r="1682" ht="18.75" customHeight="1">
      <c r="A1682" s="1110"/>
      <c r="B1682" s="1115" t="s">
        <v>7055</v>
      </c>
      <c r="C1682" s="1108" t="s">
        <v>6608</v>
      </c>
      <c r="D1682" s="1108" t="s">
        <v>7494</v>
      </c>
      <c r="E1682" s="1116" t="s">
        <v>7495</v>
      </c>
      <c r="F1682" s="1117">
        <v>0.1</v>
      </c>
      <c r="G1682" s="1109">
        <v>0.0</v>
      </c>
      <c r="H1682" s="1118">
        <v>960700.0</v>
      </c>
      <c r="I1682" s="1118">
        <f t="shared" si="1"/>
        <v>873360</v>
      </c>
      <c r="J1682" s="1110"/>
    </row>
    <row r="1683" ht="18.75" customHeight="1">
      <c r="A1683" s="1110"/>
      <c r="B1683" s="1115" t="s">
        <v>7055</v>
      </c>
      <c r="C1683" s="1108" t="s">
        <v>6608</v>
      </c>
      <c r="D1683" s="1108" t="s">
        <v>7496</v>
      </c>
      <c r="E1683" s="1116" t="s">
        <v>7497</v>
      </c>
      <c r="F1683" s="1117">
        <v>0.1</v>
      </c>
      <c r="G1683" s="1109">
        <v>0.0</v>
      </c>
      <c r="H1683" s="1116"/>
      <c r="I1683" s="1118" t="str">
        <f t="shared" si="1"/>
        <v/>
      </c>
      <c r="J1683" s="1110"/>
    </row>
    <row r="1684" ht="18.75" customHeight="1">
      <c r="A1684" s="1110"/>
      <c r="B1684" s="1115" t="s">
        <v>7055</v>
      </c>
      <c r="C1684" s="1108" t="s">
        <v>6608</v>
      </c>
      <c r="D1684" s="1108" t="s">
        <v>7498</v>
      </c>
      <c r="E1684" s="1116" t="s">
        <v>7499</v>
      </c>
      <c r="F1684" s="1117">
        <v>0.1</v>
      </c>
      <c r="G1684" s="1109">
        <v>0.0</v>
      </c>
      <c r="H1684" s="1116"/>
      <c r="I1684" s="1118" t="str">
        <f t="shared" si="1"/>
        <v/>
      </c>
      <c r="J1684" s="1110"/>
    </row>
    <row r="1685" ht="18.75" customHeight="1">
      <c r="A1685" s="1110"/>
      <c r="B1685" s="1115" t="s">
        <v>7055</v>
      </c>
      <c r="C1685" s="1108" t="s">
        <v>6608</v>
      </c>
      <c r="D1685" s="1108" t="s">
        <v>7500</v>
      </c>
      <c r="E1685" s="1116" t="s">
        <v>7501</v>
      </c>
      <c r="F1685" s="1117">
        <v>0.1</v>
      </c>
      <c r="G1685" s="1109">
        <v>0.0</v>
      </c>
      <c r="H1685" s="1116"/>
      <c r="I1685" s="1118" t="str">
        <f t="shared" si="1"/>
        <v/>
      </c>
      <c r="J1685" s="1110"/>
    </row>
    <row r="1686" ht="18.75" customHeight="1">
      <c r="A1686" s="1110"/>
      <c r="B1686" s="1115" t="s">
        <v>7055</v>
      </c>
      <c r="C1686" s="1108" t="s">
        <v>6608</v>
      </c>
      <c r="D1686" s="1108" t="s">
        <v>7502</v>
      </c>
      <c r="E1686" s="1116" t="s">
        <v>7503</v>
      </c>
      <c r="F1686" s="1117">
        <v>0.1</v>
      </c>
      <c r="G1686" s="1109">
        <v>0.0</v>
      </c>
      <c r="H1686" s="1116"/>
      <c r="I1686" s="1118" t="str">
        <f t="shared" si="1"/>
        <v/>
      </c>
      <c r="J1686" s="1110"/>
    </row>
    <row r="1687" ht="18.75" customHeight="1">
      <c r="A1687" s="1110"/>
      <c r="B1687" s="1115" t="s">
        <v>7055</v>
      </c>
      <c r="C1687" s="1108" t="s">
        <v>6608</v>
      </c>
      <c r="D1687" s="1108" t="s">
        <v>7504</v>
      </c>
      <c r="E1687" s="1116" t="s">
        <v>7505</v>
      </c>
      <c r="F1687" s="1117">
        <v>0.1</v>
      </c>
      <c r="G1687" s="1109">
        <v>0.0</v>
      </c>
      <c r="H1687" s="1118">
        <v>1084200.0</v>
      </c>
      <c r="I1687" s="1118">
        <f t="shared" si="1"/>
        <v>985640</v>
      </c>
      <c r="J1687" s="1110"/>
    </row>
    <row r="1688" ht="18.75" customHeight="1">
      <c r="A1688" s="1110"/>
      <c r="B1688" s="1115" t="s">
        <v>7055</v>
      </c>
      <c r="C1688" s="1108" t="s">
        <v>6608</v>
      </c>
      <c r="D1688" s="1108" t="s">
        <v>7506</v>
      </c>
      <c r="E1688" s="1116" t="s">
        <v>7507</v>
      </c>
      <c r="F1688" s="1117">
        <v>0.1</v>
      </c>
      <c r="G1688" s="1109">
        <v>0.0</v>
      </c>
      <c r="H1688" s="1118">
        <v>1136200.0</v>
      </c>
      <c r="I1688" s="1118">
        <f t="shared" si="1"/>
        <v>1032910</v>
      </c>
      <c r="J1688" s="1110"/>
    </row>
    <row r="1689" ht="18.75" customHeight="1">
      <c r="A1689" s="1110"/>
      <c r="B1689" s="1115" t="s">
        <v>7055</v>
      </c>
      <c r="C1689" s="1108" t="s">
        <v>6608</v>
      </c>
      <c r="D1689" s="1108" t="s">
        <v>7508</v>
      </c>
      <c r="E1689" s="1116" t="s">
        <v>7509</v>
      </c>
      <c r="F1689" s="1117">
        <v>0.1</v>
      </c>
      <c r="G1689" s="1109">
        <v>0.0</v>
      </c>
      <c r="H1689" s="1116"/>
      <c r="I1689" s="1118" t="str">
        <f t="shared" si="1"/>
        <v/>
      </c>
      <c r="J1689" s="1110"/>
    </row>
    <row r="1690" ht="18.75" customHeight="1">
      <c r="A1690" s="1110"/>
      <c r="B1690" s="1115" t="s">
        <v>7055</v>
      </c>
      <c r="C1690" s="1108" t="s">
        <v>6608</v>
      </c>
      <c r="D1690" s="1108" t="s">
        <v>7510</v>
      </c>
      <c r="E1690" s="1116" t="s">
        <v>7511</v>
      </c>
      <c r="F1690" s="1117">
        <v>0.1</v>
      </c>
      <c r="G1690" s="1109">
        <v>0.0</v>
      </c>
      <c r="H1690" s="1116"/>
      <c r="I1690" s="1118" t="str">
        <f t="shared" si="1"/>
        <v/>
      </c>
      <c r="J1690" s="1110"/>
    </row>
    <row r="1691" ht="18.75" customHeight="1">
      <c r="A1691" s="1110"/>
      <c r="B1691" s="1115" t="s">
        <v>7055</v>
      </c>
      <c r="C1691" s="1108" t="s">
        <v>6608</v>
      </c>
      <c r="D1691" s="1108" t="s">
        <v>7512</v>
      </c>
      <c r="E1691" s="1116" t="s">
        <v>7513</v>
      </c>
      <c r="F1691" s="1117">
        <v>0.1</v>
      </c>
      <c r="G1691" s="1109">
        <v>0.0</v>
      </c>
      <c r="H1691" s="1118">
        <v>1282600.0</v>
      </c>
      <c r="I1691" s="1118">
        <f t="shared" si="1"/>
        <v>1166000</v>
      </c>
      <c r="J1691" s="1110"/>
    </row>
    <row r="1692" ht="18.75" customHeight="1">
      <c r="A1692" s="1110"/>
      <c r="B1692" s="1115" t="s">
        <v>7055</v>
      </c>
      <c r="C1692" s="1108" t="s">
        <v>6608</v>
      </c>
      <c r="D1692" s="1108" t="s">
        <v>7514</v>
      </c>
      <c r="E1692" s="1116" t="s">
        <v>7515</v>
      </c>
      <c r="F1692" s="1117">
        <v>0.1</v>
      </c>
      <c r="G1692" s="1109">
        <v>0.0</v>
      </c>
      <c r="H1692" s="1116"/>
      <c r="I1692" s="1118" t="str">
        <f t="shared" si="1"/>
        <v/>
      </c>
      <c r="J1692" s="1110"/>
    </row>
  </sheetData>
  <mergeCells count="1">
    <mergeCell ref="A1:J2"/>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5"/>
    <col customWidth="1" min="2" max="2" width="34.63"/>
    <col customWidth="1" min="3" max="3" width="20.0"/>
    <col customWidth="1" min="4" max="4" width="27.63"/>
    <col customWidth="1" min="5" max="5" width="55.38"/>
    <col customWidth="1" min="6" max="6" width="16.0"/>
    <col customWidth="1" min="7" max="7" width="11.38"/>
    <col customWidth="1" min="8" max="9" width="15.0"/>
    <col customWidth="1" min="10" max="10" width="5.25"/>
  </cols>
  <sheetData>
    <row r="1" ht="12.75" customHeight="1">
      <c r="A1" s="1104" t="s">
        <v>4458</v>
      </c>
      <c r="B1" s="456"/>
      <c r="C1" s="456"/>
      <c r="D1" s="456"/>
      <c r="E1" s="456"/>
      <c r="F1" s="456"/>
      <c r="G1" s="456"/>
      <c r="H1" s="456"/>
      <c r="I1" s="456"/>
      <c r="J1" s="457"/>
    </row>
    <row r="2" ht="12.75" customHeight="1">
      <c r="A2" s="435"/>
      <c r="B2" s="418"/>
      <c r="C2" s="418"/>
      <c r="D2" s="418"/>
      <c r="E2" s="418"/>
      <c r="F2" s="418"/>
      <c r="G2" s="418"/>
      <c r="H2" s="418"/>
      <c r="I2" s="418"/>
      <c r="J2" s="419"/>
    </row>
    <row r="3" ht="12.75" customHeight="1">
      <c r="A3" s="1110"/>
      <c r="B3" s="1110"/>
      <c r="C3" s="1110"/>
      <c r="D3" s="1110"/>
      <c r="E3" s="1110"/>
      <c r="F3" s="1110"/>
      <c r="G3" s="1110"/>
      <c r="H3" s="1110"/>
      <c r="I3" s="1110"/>
      <c r="J3" s="1110"/>
    </row>
    <row r="4" ht="20.25" customHeight="1">
      <c r="A4" s="1110"/>
      <c r="B4" s="1106" t="s">
        <v>1279</v>
      </c>
      <c r="C4" s="1106" t="s">
        <v>1280</v>
      </c>
      <c r="D4" s="1113" t="s">
        <v>1281</v>
      </c>
      <c r="E4" s="1113" t="s">
        <v>1282</v>
      </c>
      <c r="F4" s="1106" t="s">
        <v>1283</v>
      </c>
      <c r="G4" s="1106" t="s">
        <v>1284</v>
      </c>
      <c r="H4" s="1114" t="s">
        <v>68</v>
      </c>
      <c r="I4" s="1114" t="s">
        <v>70</v>
      </c>
      <c r="J4" s="1110"/>
    </row>
    <row r="5" ht="18.75" customHeight="1">
      <c r="A5" s="1110"/>
      <c r="B5" s="1108" t="s">
        <v>4459</v>
      </c>
      <c r="C5" s="1108" t="s">
        <v>7516</v>
      </c>
      <c r="D5" s="1116" t="s">
        <v>7517</v>
      </c>
      <c r="E5" s="1116" t="s">
        <v>7518</v>
      </c>
      <c r="F5" s="1117">
        <v>0.1</v>
      </c>
      <c r="G5" s="1109">
        <v>0.0</v>
      </c>
      <c r="H5" s="1118">
        <v>1929300.0</v>
      </c>
      <c r="I5" s="1118">
        <f t="shared" ref="I5:I329" si="1">IF(ISBLANK(H5),,ROUND(H5/(1+F5),-1))</f>
        <v>1753910</v>
      </c>
      <c r="J5" s="1110"/>
    </row>
    <row r="6" ht="18.75" customHeight="1">
      <c r="A6" s="1110"/>
      <c r="B6" s="1108" t="s">
        <v>4459</v>
      </c>
      <c r="C6" s="1108" t="s">
        <v>7516</v>
      </c>
      <c r="D6" s="1116" t="s">
        <v>7519</v>
      </c>
      <c r="E6" s="1116" t="s">
        <v>7520</v>
      </c>
      <c r="F6" s="1117">
        <v>0.1</v>
      </c>
      <c r="G6" s="1109">
        <v>0.0</v>
      </c>
      <c r="H6" s="1118">
        <v>4183900.0</v>
      </c>
      <c r="I6" s="1118">
        <f t="shared" si="1"/>
        <v>3803550</v>
      </c>
      <c r="J6" s="1110"/>
    </row>
    <row r="7" ht="18.75" customHeight="1">
      <c r="A7" s="1110"/>
      <c r="B7" s="1108" t="s">
        <v>4459</v>
      </c>
      <c r="C7" s="1108" t="s">
        <v>7516</v>
      </c>
      <c r="D7" s="1116" t="s">
        <v>7521</v>
      </c>
      <c r="E7" s="1116" t="s">
        <v>7522</v>
      </c>
      <c r="F7" s="1117">
        <v>0.1</v>
      </c>
      <c r="G7" s="1109">
        <v>0.0</v>
      </c>
      <c r="H7" s="1118">
        <v>3153200.0</v>
      </c>
      <c r="I7" s="1118">
        <f t="shared" si="1"/>
        <v>2866550</v>
      </c>
      <c r="J7" s="1110"/>
    </row>
    <row r="8" ht="18.75" customHeight="1">
      <c r="A8" s="1110"/>
      <c r="B8" s="1108" t="s">
        <v>4459</v>
      </c>
      <c r="C8" s="1108" t="s">
        <v>7516</v>
      </c>
      <c r="D8" s="1116" t="s">
        <v>7523</v>
      </c>
      <c r="E8" s="1116" t="s">
        <v>7524</v>
      </c>
      <c r="F8" s="1117">
        <v>0.1</v>
      </c>
      <c r="G8" s="1109">
        <v>0.0</v>
      </c>
      <c r="H8" s="1118">
        <v>5407700.0</v>
      </c>
      <c r="I8" s="1118">
        <f t="shared" si="1"/>
        <v>4916090</v>
      </c>
      <c r="J8" s="1110"/>
    </row>
    <row r="9" ht="18.75" customHeight="1">
      <c r="A9" s="1110"/>
      <c r="B9" s="1108" t="s">
        <v>4459</v>
      </c>
      <c r="C9" s="1108" t="s">
        <v>7516</v>
      </c>
      <c r="D9" s="1116" t="s">
        <v>7525</v>
      </c>
      <c r="E9" s="1116" t="s">
        <v>7526</v>
      </c>
      <c r="F9" s="1117">
        <v>0.1</v>
      </c>
      <c r="G9" s="1109">
        <v>0.0</v>
      </c>
      <c r="H9" s="1118">
        <v>4377100.0</v>
      </c>
      <c r="I9" s="1118">
        <f t="shared" si="1"/>
        <v>3979180</v>
      </c>
      <c r="J9" s="1110"/>
    </row>
    <row r="10" ht="18.75" customHeight="1">
      <c r="A10" s="1110"/>
      <c r="B10" s="1108" t="s">
        <v>4459</v>
      </c>
      <c r="C10" s="1108" t="s">
        <v>7527</v>
      </c>
      <c r="D10" s="1116" t="s">
        <v>7528</v>
      </c>
      <c r="E10" s="1116" t="s">
        <v>7529</v>
      </c>
      <c r="F10" s="1117">
        <v>0.1</v>
      </c>
      <c r="G10" s="1109">
        <v>0.0</v>
      </c>
      <c r="H10" s="1118">
        <v>2268600.0</v>
      </c>
      <c r="I10" s="1118">
        <f t="shared" si="1"/>
        <v>2062360</v>
      </c>
      <c r="J10" s="1110"/>
    </row>
    <row r="11" ht="18.75" customHeight="1">
      <c r="A11" s="1110"/>
      <c r="B11" s="1108" t="s">
        <v>4459</v>
      </c>
      <c r="C11" s="1108" t="s">
        <v>7516</v>
      </c>
      <c r="D11" s="1116" t="s">
        <v>7530</v>
      </c>
      <c r="E11" s="1116" t="s">
        <v>7531</v>
      </c>
      <c r="F11" s="1117">
        <v>0.1</v>
      </c>
      <c r="G11" s="1109">
        <v>0.0</v>
      </c>
      <c r="H11" s="1118">
        <v>4241400.0</v>
      </c>
      <c r="I11" s="1118">
        <f t="shared" si="1"/>
        <v>3855820</v>
      </c>
      <c r="J11" s="1110"/>
    </row>
    <row r="12" ht="18.75" customHeight="1">
      <c r="A12" s="1110"/>
      <c r="B12" s="1108" t="s">
        <v>4459</v>
      </c>
      <c r="C12" s="1108" t="s">
        <v>7527</v>
      </c>
      <c r="D12" s="1116" t="s">
        <v>7532</v>
      </c>
      <c r="E12" s="1116" t="s">
        <v>7533</v>
      </c>
      <c r="F12" s="1117">
        <v>0.1</v>
      </c>
      <c r="G12" s="1109">
        <v>0.0</v>
      </c>
      <c r="H12" s="1118">
        <v>3339600.0</v>
      </c>
      <c r="I12" s="1118">
        <f t="shared" si="1"/>
        <v>3036000</v>
      </c>
      <c r="J12" s="1110"/>
    </row>
    <row r="13" ht="18.75" customHeight="1">
      <c r="A13" s="1110"/>
      <c r="B13" s="1108" t="s">
        <v>4459</v>
      </c>
      <c r="C13" s="1108" t="s">
        <v>7516</v>
      </c>
      <c r="D13" s="1116" t="s">
        <v>7534</v>
      </c>
      <c r="E13" s="1116" t="s">
        <v>7535</v>
      </c>
      <c r="F13" s="1117">
        <v>0.1</v>
      </c>
      <c r="G13" s="1109">
        <v>0.0</v>
      </c>
      <c r="H13" s="1118">
        <v>5312300.0</v>
      </c>
      <c r="I13" s="1118">
        <f t="shared" si="1"/>
        <v>4829360</v>
      </c>
      <c r="J13" s="1110"/>
    </row>
    <row r="14" ht="18.75" customHeight="1">
      <c r="A14" s="1110"/>
      <c r="B14" s="1108" t="s">
        <v>4459</v>
      </c>
      <c r="C14" s="1108" t="s">
        <v>7516</v>
      </c>
      <c r="D14" s="1116" t="s">
        <v>7536</v>
      </c>
      <c r="E14" s="1116" t="s">
        <v>7537</v>
      </c>
      <c r="F14" s="1117">
        <v>0.1</v>
      </c>
      <c r="G14" s="1109">
        <v>0.0</v>
      </c>
      <c r="H14" s="1118">
        <v>4410500.0</v>
      </c>
      <c r="I14" s="1118">
        <f t="shared" si="1"/>
        <v>4009550</v>
      </c>
      <c r="J14" s="1110"/>
    </row>
    <row r="15" ht="18.75" customHeight="1">
      <c r="A15" s="1110"/>
      <c r="B15" s="1108" t="s">
        <v>4459</v>
      </c>
      <c r="C15" s="1108" t="s">
        <v>7527</v>
      </c>
      <c r="D15" s="1116" t="s">
        <v>7538</v>
      </c>
      <c r="E15" s="1116" t="s">
        <v>7539</v>
      </c>
      <c r="F15" s="1117">
        <v>0.1</v>
      </c>
      <c r="G15" s="1109">
        <v>0.0</v>
      </c>
      <c r="H15" s="1118">
        <v>2019100.0</v>
      </c>
      <c r="I15" s="1118">
        <f t="shared" si="1"/>
        <v>1835550</v>
      </c>
      <c r="J15" s="1110"/>
    </row>
    <row r="16" ht="18.75" customHeight="1">
      <c r="A16" s="1110"/>
      <c r="B16" s="1108" t="s">
        <v>4459</v>
      </c>
      <c r="C16" s="1108" t="s">
        <v>7540</v>
      </c>
      <c r="D16" s="1116" t="s">
        <v>7541</v>
      </c>
      <c r="E16" s="1116" t="s">
        <v>7542</v>
      </c>
      <c r="F16" s="1117">
        <v>0.1</v>
      </c>
      <c r="G16" s="1109">
        <v>0.0</v>
      </c>
      <c r="H16" s="1118">
        <v>3428200.0</v>
      </c>
      <c r="I16" s="1118">
        <f t="shared" si="1"/>
        <v>3116550</v>
      </c>
      <c r="J16" s="1110"/>
    </row>
    <row r="17" ht="18.75" customHeight="1">
      <c r="A17" s="1110"/>
      <c r="B17" s="1108" t="s">
        <v>4459</v>
      </c>
      <c r="C17" s="1108" t="s">
        <v>7527</v>
      </c>
      <c r="D17" s="1116" t="s">
        <v>7543</v>
      </c>
      <c r="E17" s="1116" t="s">
        <v>7544</v>
      </c>
      <c r="F17" s="1117">
        <v>0.1</v>
      </c>
      <c r="G17" s="1109">
        <v>0.0</v>
      </c>
      <c r="H17" s="1118">
        <v>2784000.0</v>
      </c>
      <c r="I17" s="1118">
        <f t="shared" si="1"/>
        <v>2530910</v>
      </c>
      <c r="J17" s="1110"/>
    </row>
    <row r="18" ht="18.75" customHeight="1">
      <c r="A18" s="1110"/>
      <c r="B18" s="1108" t="s">
        <v>4459</v>
      </c>
      <c r="C18" s="1108" t="s">
        <v>7516</v>
      </c>
      <c r="D18" s="1116" t="s">
        <v>7545</v>
      </c>
      <c r="E18" s="1116" t="s">
        <v>7546</v>
      </c>
      <c r="F18" s="1117">
        <v>0.1</v>
      </c>
      <c r="G18" s="1109">
        <v>0.0</v>
      </c>
      <c r="H18" s="1118">
        <v>4193100.0</v>
      </c>
      <c r="I18" s="1118">
        <f t="shared" si="1"/>
        <v>3811910</v>
      </c>
      <c r="J18" s="1110"/>
    </row>
    <row r="19" ht="18.75" customHeight="1">
      <c r="A19" s="1110"/>
      <c r="B19" s="1108" t="s">
        <v>4459</v>
      </c>
      <c r="C19" s="1108" t="s">
        <v>7516</v>
      </c>
      <c r="D19" s="1116" t="s">
        <v>7547</v>
      </c>
      <c r="E19" s="1116" t="s">
        <v>7548</v>
      </c>
      <c r="F19" s="1117">
        <v>0.1</v>
      </c>
      <c r="G19" s="1109">
        <v>0.0</v>
      </c>
      <c r="H19" s="1118">
        <v>3548900.0</v>
      </c>
      <c r="I19" s="1118">
        <f t="shared" si="1"/>
        <v>3226270</v>
      </c>
      <c r="J19" s="1110"/>
    </row>
    <row r="20" ht="18.75" customHeight="1">
      <c r="A20" s="1110"/>
      <c r="B20" s="1108" t="s">
        <v>4459</v>
      </c>
      <c r="C20" s="1108" t="s">
        <v>7527</v>
      </c>
      <c r="D20" s="1116" t="s">
        <v>7549</v>
      </c>
      <c r="E20" s="1116" t="s">
        <v>7550</v>
      </c>
      <c r="F20" s="1117">
        <v>0.1</v>
      </c>
      <c r="G20" s="1109">
        <v>0.0</v>
      </c>
      <c r="H20" s="1118">
        <v>2356000.0</v>
      </c>
      <c r="I20" s="1118">
        <f t="shared" si="1"/>
        <v>2141820</v>
      </c>
      <c r="J20" s="1110"/>
    </row>
    <row r="21" ht="18.75" customHeight="1">
      <c r="A21" s="1110"/>
      <c r="B21" s="1108" t="s">
        <v>4459</v>
      </c>
      <c r="C21" s="1108" t="s">
        <v>7516</v>
      </c>
      <c r="D21" s="1116" t="s">
        <v>7551</v>
      </c>
      <c r="E21" s="1116" t="s">
        <v>7552</v>
      </c>
      <c r="F21" s="1117">
        <v>0.1</v>
      </c>
      <c r="G21" s="1109">
        <v>0.0</v>
      </c>
      <c r="H21" s="1118">
        <v>3671100.0</v>
      </c>
      <c r="I21" s="1118">
        <f t="shared" si="1"/>
        <v>3337360</v>
      </c>
      <c r="J21" s="1110"/>
    </row>
    <row r="22" ht="18.75" customHeight="1">
      <c r="A22" s="1110"/>
      <c r="B22" s="1108" t="s">
        <v>4459</v>
      </c>
      <c r="C22" s="1108" t="s">
        <v>7527</v>
      </c>
      <c r="D22" s="1116" t="s">
        <v>7553</v>
      </c>
      <c r="E22" s="1116" t="s">
        <v>7554</v>
      </c>
      <c r="F22" s="1117">
        <v>0.1</v>
      </c>
      <c r="G22" s="1109">
        <v>0.0</v>
      </c>
      <c r="H22" s="1118">
        <v>3070000.0</v>
      </c>
      <c r="I22" s="1118">
        <f t="shared" si="1"/>
        <v>2790910</v>
      </c>
      <c r="J22" s="1110"/>
    </row>
    <row r="23" ht="18.75" customHeight="1">
      <c r="A23" s="1110"/>
      <c r="B23" s="1108" t="s">
        <v>4459</v>
      </c>
      <c r="C23" s="1108" t="s">
        <v>7516</v>
      </c>
      <c r="D23" s="1116" t="s">
        <v>7555</v>
      </c>
      <c r="E23" s="1116" t="s">
        <v>7556</v>
      </c>
      <c r="F23" s="1117">
        <v>0.1</v>
      </c>
      <c r="G23" s="1109">
        <v>0.0</v>
      </c>
      <c r="H23" s="1118">
        <v>4385200.0</v>
      </c>
      <c r="I23" s="1118">
        <f t="shared" si="1"/>
        <v>3986550</v>
      </c>
      <c r="J23" s="1110"/>
    </row>
    <row r="24" ht="18.75" customHeight="1">
      <c r="A24" s="1110"/>
      <c r="B24" s="1108" t="s">
        <v>4459</v>
      </c>
      <c r="C24" s="1108" t="s">
        <v>7516</v>
      </c>
      <c r="D24" s="1116" t="s">
        <v>7557</v>
      </c>
      <c r="E24" s="1116" t="s">
        <v>7558</v>
      </c>
      <c r="F24" s="1117">
        <v>0.1</v>
      </c>
      <c r="G24" s="1109">
        <v>0.0</v>
      </c>
      <c r="H24" s="1118">
        <v>3783900.0</v>
      </c>
      <c r="I24" s="1118">
        <f t="shared" si="1"/>
        <v>3439910</v>
      </c>
      <c r="J24" s="1110"/>
    </row>
    <row r="25" ht="18.75" customHeight="1">
      <c r="A25" s="1110"/>
      <c r="B25" s="1108" t="s">
        <v>4459</v>
      </c>
      <c r="C25" s="1108" t="s">
        <v>7527</v>
      </c>
      <c r="D25" s="1116" t="s">
        <v>7559</v>
      </c>
      <c r="E25" s="1116" t="s">
        <v>7560</v>
      </c>
      <c r="F25" s="1117">
        <v>0.1</v>
      </c>
      <c r="G25" s="1109">
        <v>0.0</v>
      </c>
      <c r="H25" s="1118">
        <v>1796000.0</v>
      </c>
      <c r="I25" s="1118">
        <f t="shared" si="1"/>
        <v>1632730</v>
      </c>
      <c r="J25" s="1110"/>
    </row>
    <row r="26" ht="18.75" customHeight="1">
      <c r="A26" s="1110"/>
      <c r="B26" s="1108" t="s">
        <v>4459</v>
      </c>
      <c r="C26" s="1108" t="s">
        <v>7516</v>
      </c>
      <c r="D26" s="1116" t="s">
        <v>7561</v>
      </c>
      <c r="E26" s="1116" t="s">
        <v>7562</v>
      </c>
      <c r="F26" s="1117">
        <v>0.1</v>
      </c>
      <c r="G26" s="1109">
        <v>0.0</v>
      </c>
      <c r="H26" s="1118">
        <v>2641400.0</v>
      </c>
      <c r="I26" s="1118">
        <f t="shared" si="1"/>
        <v>2401270</v>
      </c>
      <c r="J26" s="1110"/>
    </row>
    <row r="27" ht="18.75" customHeight="1">
      <c r="A27" s="1110"/>
      <c r="B27" s="1108" t="s">
        <v>4459</v>
      </c>
      <c r="C27" s="1108" t="s">
        <v>7527</v>
      </c>
      <c r="D27" s="1116" t="s">
        <v>7563</v>
      </c>
      <c r="E27" s="1116" t="s">
        <v>7564</v>
      </c>
      <c r="F27" s="1117">
        <v>0.1</v>
      </c>
      <c r="G27" s="1109">
        <v>0.0</v>
      </c>
      <c r="H27" s="1118">
        <v>2255000.0</v>
      </c>
      <c r="I27" s="1118">
        <f t="shared" si="1"/>
        <v>2050000</v>
      </c>
      <c r="J27" s="1110"/>
    </row>
    <row r="28" ht="18.75" customHeight="1">
      <c r="A28" s="1110"/>
      <c r="B28" s="1108" t="s">
        <v>4459</v>
      </c>
      <c r="C28" s="1108" t="s">
        <v>7516</v>
      </c>
      <c r="D28" s="1116" t="s">
        <v>7565</v>
      </c>
      <c r="E28" s="1116" t="s">
        <v>7566</v>
      </c>
      <c r="F28" s="1117">
        <v>0.1</v>
      </c>
      <c r="G28" s="1109">
        <v>0.0</v>
      </c>
      <c r="H28" s="1118">
        <v>3100500.0</v>
      </c>
      <c r="I28" s="1118">
        <f t="shared" si="1"/>
        <v>2818640</v>
      </c>
      <c r="J28" s="1110"/>
    </row>
    <row r="29" ht="18.75" customHeight="1">
      <c r="A29" s="1110"/>
      <c r="B29" s="1108" t="s">
        <v>4459</v>
      </c>
      <c r="C29" s="1108" t="s">
        <v>7516</v>
      </c>
      <c r="D29" s="1116" t="s">
        <v>7567</v>
      </c>
      <c r="E29" s="1116" t="s">
        <v>7568</v>
      </c>
      <c r="F29" s="1117">
        <v>0.1</v>
      </c>
      <c r="G29" s="1109">
        <v>0.0</v>
      </c>
      <c r="H29" s="1118">
        <v>2713900.0</v>
      </c>
      <c r="I29" s="1118">
        <f t="shared" si="1"/>
        <v>2467180</v>
      </c>
      <c r="J29" s="1110"/>
    </row>
    <row r="30" ht="18.75" customHeight="1">
      <c r="A30" s="1110"/>
      <c r="B30" s="1108" t="s">
        <v>4459</v>
      </c>
      <c r="C30" s="1108" t="s">
        <v>7527</v>
      </c>
      <c r="D30" s="1116" t="s">
        <v>7569</v>
      </c>
      <c r="E30" s="1116" t="s">
        <v>7570</v>
      </c>
      <c r="F30" s="1117">
        <v>0.1</v>
      </c>
      <c r="G30" s="1109">
        <v>0.0</v>
      </c>
      <c r="H30" s="1118">
        <v>1991600.0</v>
      </c>
      <c r="I30" s="1118">
        <f t="shared" si="1"/>
        <v>1810550</v>
      </c>
      <c r="J30" s="1110"/>
    </row>
    <row r="31" ht="18.75" customHeight="1">
      <c r="A31" s="1110"/>
      <c r="B31" s="1108" t="s">
        <v>4459</v>
      </c>
      <c r="C31" s="1108" t="s">
        <v>7540</v>
      </c>
      <c r="D31" s="1116" t="s">
        <v>7571</v>
      </c>
      <c r="E31" s="1116" t="s">
        <v>7572</v>
      </c>
      <c r="F31" s="1117">
        <v>0.1</v>
      </c>
      <c r="G31" s="1109">
        <v>0.0</v>
      </c>
      <c r="H31" s="1118">
        <v>2743100.0</v>
      </c>
      <c r="I31" s="1118">
        <f t="shared" si="1"/>
        <v>2493730</v>
      </c>
      <c r="J31" s="1110"/>
    </row>
    <row r="32" ht="18.75" customHeight="1">
      <c r="A32" s="1110"/>
      <c r="B32" s="1108" t="s">
        <v>4459</v>
      </c>
      <c r="C32" s="1108" t="s">
        <v>7527</v>
      </c>
      <c r="D32" s="1116" t="s">
        <v>7573</v>
      </c>
      <c r="E32" s="1116" t="s">
        <v>7574</v>
      </c>
      <c r="F32" s="1117">
        <v>0.1</v>
      </c>
      <c r="G32" s="1109">
        <v>0.0</v>
      </c>
      <c r="H32" s="1118">
        <v>2399500.0</v>
      </c>
      <c r="I32" s="1118">
        <f t="shared" si="1"/>
        <v>2181360</v>
      </c>
      <c r="J32" s="1110"/>
    </row>
    <row r="33" ht="18.75" customHeight="1">
      <c r="A33" s="1110"/>
      <c r="B33" s="1108" t="s">
        <v>4459</v>
      </c>
      <c r="C33" s="1108" t="s">
        <v>7516</v>
      </c>
      <c r="D33" s="1116" t="s">
        <v>7575</v>
      </c>
      <c r="E33" s="1116" t="s">
        <v>7576</v>
      </c>
      <c r="F33" s="1117">
        <v>0.1</v>
      </c>
      <c r="G33" s="1109">
        <v>0.0</v>
      </c>
      <c r="H33" s="1118">
        <v>3151100.0</v>
      </c>
      <c r="I33" s="1118">
        <f t="shared" si="1"/>
        <v>2864640</v>
      </c>
      <c r="J33" s="1110"/>
    </row>
    <row r="34" ht="18.75" customHeight="1">
      <c r="A34" s="1110"/>
      <c r="B34" s="1108" t="s">
        <v>4459</v>
      </c>
      <c r="C34" s="1108" t="s">
        <v>7516</v>
      </c>
      <c r="D34" s="1116" t="s">
        <v>7577</v>
      </c>
      <c r="E34" s="1116" t="s">
        <v>7578</v>
      </c>
      <c r="F34" s="1117">
        <v>0.1</v>
      </c>
      <c r="G34" s="1109">
        <v>0.0</v>
      </c>
      <c r="H34" s="1118">
        <v>2807400.0</v>
      </c>
      <c r="I34" s="1118">
        <f t="shared" si="1"/>
        <v>2552180</v>
      </c>
      <c r="J34" s="1110"/>
    </row>
    <row r="35" ht="18.75" customHeight="1">
      <c r="A35" s="1110"/>
      <c r="B35" s="1108" t="s">
        <v>4459</v>
      </c>
      <c r="C35" s="1108" t="s">
        <v>7527</v>
      </c>
      <c r="D35" s="1116" t="s">
        <v>7579</v>
      </c>
      <c r="E35" s="1116" t="s">
        <v>7580</v>
      </c>
      <c r="F35" s="1117">
        <v>0.1</v>
      </c>
      <c r="G35" s="1109">
        <v>0.0</v>
      </c>
      <c r="H35" s="1118">
        <v>2063700.0</v>
      </c>
      <c r="I35" s="1118">
        <f t="shared" si="1"/>
        <v>1876090</v>
      </c>
      <c r="J35" s="1110"/>
    </row>
    <row r="36" ht="18.75" customHeight="1">
      <c r="A36" s="1110"/>
      <c r="B36" s="1108" t="s">
        <v>4459</v>
      </c>
      <c r="C36" s="1108" t="s">
        <v>7516</v>
      </c>
      <c r="D36" s="1116" t="s">
        <v>7581</v>
      </c>
      <c r="E36" s="1116" t="s">
        <v>7582</v>
      </c>
      <c r="F36" s="1117">
        <v>0.1</v>
      </c>
      <c r="G36" s="1109">
        <v>0.0</v>
      </c>
      <c r="H36" s="1118">
        <v>2627400.0</v>
      </c>
      <c r="I36" s="1118">
        <f t="shared" si="1"/>
        <v>2388550</v>
      </c>
      <c r="J36" s="1110"/>
    </row>
    <row r="37" ht="18.75" customHeight="1">
      <c r="A37" s="1110"/>
      <c r="B37" s="1108" t="s">
        <v>4459</v>
      </c>
      <c r="C37" s="1108" t="s">
        <v>7516</v>
      </c>
      <c r="D37" s="1116" t="s">
        <v>7583</v>
      </c>
      <c r="E37" s="1116" t="s">
        <v>7584</v>
      </c>
      <c r="F37" s="1117">
        <v>0.1</v>
      </c>
      <c r="G37" s="1109">
        <v>0.0</v>
      </c>
      <c r="H37" s="1118">
        <v>2369700.0</v>
      </c>
      <c r="I37" s="1118">
        <f t="shared" si="1"/>
        <v>2154270</v>
      </c>
      <c r="J37" s="1110"/>
    </row>
    <row r="38" ht="18.75" customHeight="1">
      <c r="A38" s="1110"/>
      <c r="B38" s="1108" t="s">
        <v>4459</v>
      </c>
      <c r="C38" s="1108" t="s">
        <v>7516</v>
      </c>
      <c r="D38" s="1116" t="s">
        <v>7585</v>
      </c>
      <c r="E38" s="1116" t="s">
        <v>7586</v>
      </c>
      <c r="F38" s="1117">
        <v>0.1</v>
      </c>
      <c r="G38" s="1109">
        <v>0.0</v>
      </c>
      <c r="H38" s="1118">
        <v>2933400.0</v>
      </c>
      <c r="I38" s="1118">
        <f t="shared" si="1"/>
        <v>2666730</v>
      </c>
      <c r="J38" s="1110"/>
    </row>
    <row r="39" ht="18.75" customHeight="1">
      <c r="A39" s="1110"/>
      <c r="B39" s="1108" t="s">
        <v>4459</v>
      </c>
      <c r="C39" s="1108" t="s">
        <v>7516</v>
      </c>
      <c r="D39" s="1116" t="s">
        <v>7587</v>
      </c>
      <c r="E39" s="1116" t="s">
        <v>7588</v>
      </c>
      <c r="F39" s="1117">
        <v>0.1</v>
      </c>
      <c r="G39" s="1109">
        <v>0.0</v>
      </c>
      <c r="H39" s="1118">
        <v>2675600.0</v>
      </c>
      <c r="I39" s="1118">
        <f t="shared" si="1"/>
        <v>2432360</v>
      </c>
      <c r="J39" s="1110"/>
    </row>
    <row r="40" ht="18.75" customHeight="1">
      <c r="A40" s="1110"/>
      <c r="B40" s="1108" t="s">
        <v>4459</v>
      </c>
      <c r="C40" s="1108" t="s">
        <v>7527</v>
      </c>
      <c r="D40" s="1116" t="s">
        <v>7589</v>
      </c>
      <c r="E40" s="1116" t="s">
        <v>7590</v>
      </c>
      <c r="F40" s="1117">
        <v>0.1</v>
      </c>
      <c r="G40" s="1109">
        <v>0.0</v>
      </c>
      <c r="H40" s="1118">
        <v>2219000.0</v>
      </c>
      <c r="I40" s="1118">
        <f t="shared" si="1"/>
        <v>2017270</v>
      </c>
      <c r="J40" s="1110"/>
    </row>
    <row r="41" ht="18.75" customHeight="1">
      <c r="A41" s="1110"/>
      <c r="B41" s="1108" t="s">
        <v>4459</v>
      </c>
      <c r="C41" s="1108" t="s">
        <v>7516</v>
      </c>
      <c r="D41" s="1116" t="s">
        <v>7591</v>
      </c>
      <c r="E41" s="1116" t="s">
        <v>7592</v>
      </c>
      <c r="F41" s="1117">
        <v>0.1</v>
      </c>
      <c r="G41" s="1109">
        <v>0.0</v>
      </c>
      <c r="H41" s="1118">
        <v>2688700.0</v>
      </c>
      <c r="I41" s="1118">
        <f t="shared" si="1"/>
        <v>2444270</v>
      </c>
      <c r="J41" s="1110"/>
    </row>
    <row r="42" ht="18.75" customHeight="1">
      <c r="A42" s="1110"/>
      <c r="B42" s="1108" t="s">
        <v>4459</v>
      </c>
      <c r="C42" s="1108" t="s">
        <v>7516</v>
      </c>
      <c r="D42" s="1116" t="s">
        <v>7593</v>
      </c>
      <c r="E42" s="1116" t="s">
        <v>7594</v>
      </c>
      <c r="F42" s="1117">
        <v>0.1</v>
      </c>
      <c r="G42" s="1109">
        <v>0.0</v>
      </c>
      <c r="H42" s="1118">
        <v>2474000.0</v>
      </c>
      <c r="I42" s="1118">
        <f t="shared" si="1"/>
        <v>2249090</v>
      </c>
      <c r="J42" s="1110"/>
    </row>
    <row r="43" ht="18.75" customHeight="1">
      <c r="A43" s="1110"/>
      <c r="B43" s="1108" t="s">
        <v>4459</v>
      </c>
      <c r="C43" s="1108" t="s">
        <v>7516</v>
      </c>
      <c r="D43" s="1116" t="s">
        <v>7595</v>
      </c>
      <c r="E43" s="1116" t="s">
        <v>7596</v>
      </c>
      <c r="F43" s="1117">
        <v>0.1</v>
      </c>
      <c r="G43" s="1109">
        <v>0.0</v>
      </c>
      <c r="H43" s="1118">
        <v>2943700.0</v>
      </c>
      <c r="I43" s="1118">
        <f t="shared" si="1"/>
        <v>2676090</v>
      </c>
      <c r="J43" s="1110"/>
    </row>
    <row r="44" ht="18.75" customHeight="1">
      <c r="A44" s="1110"/>
      <c r="B44" s="1108" t="s">
        <v>4459</v>
      </c>
      <c r="C44" s="1108" t="s">
        <v>7516</v>
      </c>
      <c r="D44" s="1116" t="s">
        <v>7597</v>
      </c>
      <c r="E44" s="1116" t="s">
        <v>7598</v>
      </c>
      <c r="F44" s="1117">
        <v>0.1</v>
      </c>
      <c r="G44" s="1109">
        <v>0.0</v>
      </c>
      <c r="H44" s="1118">
        <v>2729000.0</v>
      </c>
      <c r="I44" s="1118">
        <f t="shared" si="1"/>
        <v>2480910</v>
      </c>
      <c r="J44" s="1110"/>
    </row>
    <row r="45" ht="18.75" customHeight="1">
      <c r="A45" s="1110"/>
      <c r="B45" s="1108" t="s">
        <v>4459</v>
      </c>
      <c r="C45" s="1108" t="s">
        <v>7527</v>
      </c>
      <c r="D45" s="1116" t="s">
        <v>7599</v>
      </c>
      <c r="E45" s="1116" t="s">
        <v>7600</v>
      </c>
      <c r="F45" s="1117">
        <v>0.1</v>
      </c>
      <c r="G45" s="1109">
        <v>0.0</v>
      </c>
      <c r="H45" s="1118">
        <v>2247100.0</v>
      </c>
      <c r="I45" s="1118">
        <f t="shared" si="1"/>
        <v>2042820</v>
      </c>
      <c r="J45" s="1110"/>
    </row>
    <row r="46" ht="18.75" customHeight="1">
      <c r="A46" s="1110"/>
      <c r="B46" s="1108" t="s">
        <v>4459</v>
      </c>
      <c r="C46" s="1108" t="s">
        <v>7516</v>
      </c>
      <c r="D46" s="1116" t="s">
        <v>7601</v>
      </c>
      <c r="E46" s="1116" t="s">
        <v>7602</v>
      </c>
      <c r="F46" s="1117">
        <v>0.1</v>
      </c>
      <c r="G46" s="1109">
        <v>0.0</v>
      </c>
      <c r="H46" s="1118">
        <v>2622800.0</v>
      </c>
      <c r="I46" s="1118">
        <f t="shared" si="1"/>
        <v>2384360</v>
      </c>
      <c r="J46" s="1110"/>
    </row>
    <row r="47" ht="18.75" customHeight="1">
      <c r="A47" s="1110"/>
      <c r="B47" s="1108" t="s">
        <v>4459</v>
      </c>
      <c r="C47" s="1108" t="s">
        <v>7516</v>
      </c>
      <c r="D47" s="1116" t="s">
        <v>7603</v>
      </c>
      <c r="E47" s="1116" t="s">
        <v>7604</v>
      </c>
      <c r="F47" s="1117">
        <v>0.1</v>
      </c>
      <c r="G47" s="1109">
        <v>0.0</v>
      </c>
      <c r="H47" s="1118">
        <v>2451000.0</v>
      </c>
      <c r="I47" s="1118">
        <f t="shared" si="1"/>
        <v>2228180</v>
      </c>
      <c r="J47" s="1110"/>
    </row>
    <row r="48" ht="18.75" customHeight="1">
      <c r="A48" s="1110"/>
      <c r="B48" s="1108" t="s">
        <v>4459</v>
      </c>
      <c r="C48" s="1108" t="s">
        <v>7516</v>
      </c>
      <c r="D48" s="1116" t="s">
        <v>7605</v>
      </c>
      <c r="E48" s="1116" t="s">
        <v>7606</v>
      </c>
      <c r="F48" s="1117">
        <v>0.1</v>
      </c>
      <c r="G48" s="1109">
        <v>0.0</v>
      </c>
      <c r="H48" s="1118">
        <v>2826800.0</v>
      </c>
      <c r="I48" s="1118">
        <f t="shared" si="1"/>
        <v>2569820</v>
      </c>
      <c r="J48" s="1110"/>
    </row>
    <row r="49" ht="18.75" customHeight="1">
      <c r="A49" s="1110"/>
      <c r="B49" s="1108" t="s">
        <v>4459</v>
      </c>
      <c r="C49" s="1108" t="s">
        <v>7516</v>
      </c>
      <c r="D49" s="1116" t="s">
        <v>7607</v>
      </c>
      <c r="E49" s="1116" t="s">
        <v>7608</v>
      </c>
      <c r="F49" s="1117">
        <v>0.1</v>
      </c>
      <c r="G49" s="1109">
        <v>0.0</v>
      </c>
      <c r="H49" s="1118">
        <v>2655000.0</v>
      </c>
      <c r="I49" s="1118">
        <f t="shared" si="1"/>
        <v>2413640</v>
      </c>
      <c r="J49" s="1110"/>
    </row>
    <row r="50" ht="18.75" customHeight="1">
      <c r="A50" s="1110"/>
      <c r="B50" s="1108" t="s">
        <v>7609</v>
      </c>
      <c r="C50" s="1108" t="s">
        <v>7516</v>
      </c>
      <c r="D50" s="1116" t="s">
        <v>7610</v>
      </c>
      <c r="E50" s="1116" t="s">
        <v>7611</v>
      </c>
      <c r="F50" s="1117">
        <v>0.1</v>
      </c>
      <c r="G50" s="1109">
        <v>0.0</v>
      </c>
      <c r="H50" s="1116"/>
      <c r="I50" s="1118" t="str">
        <f t="shared" si="1"/>
        <v/>
      </c>
      <c r="J50" s="1110"/>
    </row>
    <row r="51" ht="18.75" customHeight="1">
      <c r="A51" s="1110"/>
      <c r="B51" s="1108" t="s">
        <v>7609</v>
      </c>
      <c r="C51" s="1108" t="s">
        <v>7516</v>
      </c>
      <c r="D51" s="1116" t="s">
        <v>7612</v>
      </c>
      <c r="E51" s="1116" t="s">
        <v>7613</v>
      </c>
      <c r="F51" s="1117">
        <v>0.1</v>
      </c>
      <c r="G51" s="1109">
        <v>0.0</v>
      </c>
      <c r="H51" s="1116"/>
      <c r="I51" s="1118" t="str">
        <f t="shared" si="1"/>
        <v/>
      </c>
      <c r="J51" s="1110"/>
    </row>
    <row r="52" ht="18.75" customHeight="1">
      <c r="A52" s="1110"/>
      <c r="B52" s="1108" t="s">
        <v>7609</v>
      </c>
      <c r="C52" s="1108" t="s">
        <v>7516</v>
      </c>
      <c r="D52" s="1116" t="s">
        <v>7614</v>
      </c>
      <c r="E52" s="1116" t="s">
        <v>7615</v>
      </c>
      <c r="F52" s="1117">
        <v>0.1</v>
      </c>
      <c r="G52" s="1109">
        <v>0.0</v>
      </c>
      <c r="H52" s="1116"/>
      <c r="I52" s="1118" t="str">
        <f t="shared" si="1"/>
        <v/>
      </c>
      <c r="J52" s="1110"/>
    </row>
    <row r="53" ht="18.75" customHeight="1">
      <c r="A53" s="1110"/>
      <c r="B53" s="1108" t="s">
        <v>7609</v>
      </c>
      <c r="C53" s="1108" t="s">
        <v>7516</v>
      </c>
      <c r="D53" s="1116" t="s">
        <v>7616</v>
      </c>
      <c r="E53" s="1116" t="s">
        <v>7617</v>
      </c>
      <c r="F53" s="1117">
        <v>0.1</v>
      </c>
      <c r="G53" s="1109">
        <v>0.0</v>
      </c>
      <c r="H53" s="1116"/>
      <c r="I53" s="1118" t="str">
        <f t="shared" si="1"/>
        <v/>
      </c>
      <c r="J53" s="1110"/>
    </row>
    <row r="54" ht="18.75" customHeight="1">
      <c r="A54" s="1110"/>
      <c r="B54" s="1108" t="s">
        <v>7609</v>
      </c>
      <c r="C54" s="1108" t="s">
        <v>7516</v>
      </c>
      <c r="D54" s="1116" t="s">
        <v>7618</v>
      </c>
      <c r="E54" s="1116" t="s">
        <v>7619</v>
      </c>
      <c r="F54" s="1117">
        <v>0.1</v>
      </c>
      <c r="G54" s="1109">
        <v>0.0</v>
      </c>
      <c r="H54" s="1116"/>
      <c r="I54" s="1118" t="str">
        <f t="shared" si="1"/>
        <v/>
      </c>
      <c r="J54" s="1110"/>
    </row>
    <row r="55" ht="18.75" customHeight="1">
      <c r="A55" s="1110"/>
      <c r="B55" s="1108" t="s">
        <v>7609</v>
      </c>
      <c r="C55" s="1108" t="s">
        <v>7527</v>
      </c>
      <c r="D55" s="1116" t="s">
        <v>7620</v>
      </c>
      <c r="E55" s="1116" t="s">
        <v>7621</v>
      </c>
      <c r="F55" s="1117">
        <v>0.1</v>
      </c>
      <c r="G55" s="1109">
        <v>0.0</v>
      </c>
      <c r="H55" s="1116"/>
      <c r="I55" s="1118" t="str">
        <f t="shared" si="1"/>
        <v/>
      </c>
      <c r="J55" s="1110"/>
    </row>
    <row r="56" ht="18.75" customHeight="1">
      <c r="A56" s="1110"/>
      <c r="B56" s="1108" t="s">
        <v>7609</v>
      </c>
      <c r="C56" s="1108" t="s">
        <v>7516</v>
      </c>
      <c r="D56" s="1116" t="s">
        <v>7622</v>
      </c>
      <c r="E56" s="1116" t="s">
        <v>7623</v>
      </c>
      <c r="F56" s="1117">
        <v>0.1</v>
      </c>
      <c r="G56" s="1109">
        <v>0.0</v>
      </c>
      <c r="H56" s="1116"/>
      <c r="I56" s="1118" t="str">
        <f t="shared" si="1"/>
        <v/>
      </c>
      <c r="J56" s="1110"/>
    </row>
    <row r="57" ht="18.75" customHeight="1">
      <c r="A57" s="1110"/>
      <c r="B57" s="1108" t="s">
        <v>7609</v>
      </c>
      <c r="C57" s="1108" t="s">
        <v>7527</v>
      </c>
      <c r="D57" s="1116" t="s">
        <v>7624</v>
      </c>
      <c r="E57" s="1116" t="s">
        <v>7625</v>
      </c>
      <c r="F57" s="1117">
        <v>0.1</v>
      </c>
      <c r="G57" s="1109">
        <v>0.0</v>
      </c>
      <c r="H57" s="1116"/>
      <c r="I57" s="1118" t="str">
        <f t="shared" si="1"/>
        <v/>
      </c>
      <c r="J57" s="1110"/>
    </row>
    <row r="58" ht="18.75" customHeight="1">
      <c r="A58" s="1110"/>
      <c r="B58" s="1108" t="s">
        <v>7609</v>
      </c>
      <c r="C58" s="1108" t="s">
        <v>7516</v>
      </c>
      <c r="D58" s="1116" t="s">
        <v>7626</v>
      </c>
      <c r="E58" s="1116" t="s">
        <v>7627</v>
      </c>
      <c r="F58" s="1117">
        <v>0.1</v>
      </c>
      <c r="G58" s="1109">
        <v>0.0</v>
      </c>
      <c r="H58" s="1116"/>
      <c r="I58" s="1118" t="str">
        <f t="shared" si="1"/>
        <v/>
      </c>
      <c r="J58" s="1110"/>
    </row>
    <row r="59" ht="18.75" customHeight="1">
      <c r="A59" s="1110"/>
      <c r="B59" s="1108" t="s">
        <v>7609</v>
      </c>
      <c r="C59" s="1108" t="s">
        <v>7516</v>
      </c>
      <c r="D59" s="1116" t="s">
        <v>7628</v>
      </c>
      <c r="E59" s="1116" t="s">
        <v>7629</v>
      </c>
      <c r="F59" s="1117">
        <v>0.1</v>
      </c>
      <c r="G59" s="1109">
        <v>0.0</v>
      </c>
      <c r="H59" s="1116"/>
      <c r="I59" s="1118" t="str">
        <f t="shared" si="1"/>
        <v/>
      </c>
      <c r="J59" s="1110"/>
    </row>
    <row r="60" ht="18.75" customHeight="1">
      <c r="A60" s="1110"/>
      <c r="B60" s="1108" t="s">
        <v>7609</v>
      </c>
      <c r="C60" s="1108" t="s">
        <v>7527</v>
      </c>
      <c r="D60" s="1116" t="s">
        <v>7630</v>
      </c>
      <c r="E60" s="1116" t="s">
        <v>7631</v>
      </c>
      <c r="F60" s="1117">
        <v>0.1</v>
      </c>
      <c r="G60" s="1109">
        <v>0.0</v>
      </c>
      <c r="H60" s="1116"/>
      <c r="I60" s="1118" t="str">
        <f t="shared" si="1"/>
        <v/>
      </c>
      <c r="J60" s="1110"/>
    </row>
    <row r="61" ht="18.75" customHeight="1">
      <c r="A61" s="1110"/>
      <c r="B61" s="1108" t="s">
        <v>7609</v>
      </c>
      <c r="C61" s="1108" t="s">
        <v>7540</v>
      </c>
      <c r="D61" s="1116" t="s">
        <v>7632</v>
      </c>
      <c r="E61" s="1116" t="s">
        <v>7633</v>
      </c>
      <c r="F61" s="1117">
        <v>0.1</v>
      </c>
      <c r="G61" s="1109">
        <v>0.0</v>
      </c>
      <c r="H61" s="1116"/>
      <c r="I61" s="1118" t="str">
        <f t="shared" si="1"/>
        <v/>
      </c>
      <c r="J61" s="1110"/>
    </row>
    <row r="62" ht="18.75" customHeight="1">
      <c r="A62" s="1110"/>
      <c r="B62" s="1108" t="s">
        <v>7609</v>
      </c>
      <c r="C62" s="1108" t="s">
        <v>7527</v>
      </c>
      <c r="D62" s="1116" t="s">
        <v>7634</v>
      </c>
      <c r="E62" s="1116" t="s">
        <v>7635</v>
      </c>
      <c r="F62" s="1117">
        <v>0.1</v>
      </c>
      <c r="G62" s="1109">
        <v>0.0</v>
      </c>
      <c r="H62" s="1116"/>
      <c r="I62" s="1118" t="str">
        <f t="shared" si="1"/>
        <v/>
      </c>
      <c r="J62" s="1110"/>
    </row>
    <row r="63" ht="18.75" customHeight="1">
      <c r="A63" s="1110"/>
      <c r="B63" s="1108" t="s">
        <v>7609</v>
      </c>
      <c r="C63" s="1108" t="s">
        <v>7516</v>
      </c>
      <c r="D63" s="1116" t="s">
        <v>7636</v>
      </c>
      <c r="E63" s="1116" t="s">
        <v>7637</v>
      </c>
      <c r="F63" s="1117">
        <v>0.1</v>
      </c>
      <c r="G63" s="1109">
        <v>0.0</v>
      </c>
      <c r="H63" s="1116"/>
      <c r="I63" s="1118" t="str">
        <f t="shared" si="1"/>
        <v/>
      </c>
      <c r="J63" s="1110"/>
    </row>
    <row r="64" ht="18.75" customHeight="1">
      <c r="A64" s="1110"/>
      <c r="B64" s="1108" t="s">
        <v>7609</v>
      </c>
      <c r="C64" s="1108" t="s">
        <v>7516</v>
      </c>
      <c r="D64" s="1116" t="s">
        <v>7638</v>
      </c>
      <c r="E64" s="1116" t="s">
        <v>7639</v>
      </c>
      <c r="F64" s="1117">
        <v>0.1</v>
      </c>
      <c r="G64" s="1109">
        <v>0.0</v>
      </c>
      <c r="H64" s="1116"/>
      <c r="I64" s="1118" t="str">
        <f t="shared" si="1"/>
        <v/>
      </c>
      <c r="J64" s="1110"/>
    </row>
    <row r="65" ht="18.75" customHeight="1">
      <c r="A65" s="1110"/>
      <c r="B65" s="1108" t="s">
        <v>7609</v>
      </c>
      <c r="C65" s="1108" t="s">
        <v>7527</v>
      </c>
      <c r="D65" s="1116" t="s">
        <v>7640</v>
      </c>
      <c r="E65" s="1116" t="s">
        <v>7641</v>
      </c>
      <c r="F65" s="1117">
        <v>0.1</v>
      </c>
      <c r="G65" s="1109">
        <v>0.0</v>
      </c>
      <c r="H65" s="1116"/>
      <c r="I65" s="1118" t="str">
        <f t="shared" si="1"/>
        <v/>
      </c>
      <c r="J65" s="1110"/>
    </row>
    <row r="66" ht="18.75" customHeight="1">
      <c r="A66" s="1110"/>
      <c r="B66" s="1108" t="s">
        <v>7609</v>
      </c>
      <c r="C66" s="1108" t="s">
        <v>7516</v>
      </c>
      <c r="D66" s="1116" t="s">
        <v>7642</v>
      </c>
      <c r="E66" s="1116" t="s">
        <v>7643</v>
      </c>
      <c r="F66" s="1117">
        <v>0.1</v>
      </c>
      <c r="G66" s="1109">
        <v>0.0</v>
      </c>
      <c r="H66" s="1116"/>
      <c r="I66" s="1118" t="str">
        <f t="shared" si="1"/>
        <v/>
      </c>
      <c r="J66" s="1110"/>
    </row>
    <row r="67" ht="18.75" customHeight="1">
      <c r="A67" s="1110"/>
      <c r="B67" s="1108" t="s">
        <v>7609</v>
      </c>
      <c r="C67" s="1108" t="s">
        <v>7527</v>
      </c>
      <c r="D67" s="1116" t="s">
        <v>7644</v>
      </c>
      <c r="E67" s="1116" t="s">
        <v>7645</v>
      </c>
      <c r="F67" s="1117">
        <v>0.1</v>
      </c>
      <c r="G67" s="1109">
        <v>0.0</v>
      </c>
      <c r="H67" s="1116"/>
      <c r="I67" s="1118" t="str">
        <f t="shared" si="1"/>
        <v/>
      </c>
      <c r="J67" s="1110"/>
    </row>
    <row r="68" ht="18.75" customHeight="1">
      <c r="A68" s="1110"/>
      <c r="B68" s="1108" t="s">
        <v>7609</v>
      </c>
      <c r="C68" s="1108" t="s">
        <v>7516</v>
      </c>
      <c r="D68" s="1116" t="s">
        <v>7646</v>
      </c>
      <c r="E68" s="1116" t="s">
        <v>7647</v>
      </c>
      <c r="F68" s="1117">
        <v>0.1</v>
      </c>
      <c r="G68" s="1109">
        <v>0.0</v>
      </c>
      <c r="H68" s="1116"/>
      <c r="I68" s="1118" t="str">
        <f t="shared" si="1"/>
        <v/>
      </c>
      <c r="J68" s="1110"/>
    </row>
    <row r="69" ht="18.75" customHeight="1">
      <c r="A69" s="1110"/>
      <c r="B69" s="1108" t="s">
        <v>7609</v>
      </c>
      <c r="C69" s="1108" t="s">
        <v>7516</v>
      </c>
      <c r="D69" s="1116" t="s">
        <v>7648</v>
      </c>
      <c r="E69" s="1116" t="s">
        <v>7649</v>
      </c>
      <c r="F69" s="1117">
        <v>0.1</v>
      </c>
      <c r="G69" s="1109">
        <v>0.0</v>
      </c>
      <c r="H69" s="1116"/>
      <c r="I69" s="1118" t="str">
        <f t="shared" si="1"/>
        <v/>
      </c>
      <c r="J69" s="1110"/>
    </row>
    <row r="70" ht="18.75" customHeight="1">
      <c r="A70" s="1110"/>
      <c r="B70" s="1108" t="s">
        <v>7609</v>
      </c>
      <c r="C70" s="1108" t="s">
        <v>7527</v>
      </c>
      <c r="D70" s="1116" t="s">
        <v>7650</v>
      </c>
      <c r="E70" s="1116" t="s">
        <v>7651</v>
      </c>
      <c r="F70" s="1117">
        <v>0.1</v>
      </c>
      <c r="G70" s="1109">
        <v>0.0</v>
      </c>
      <c r="H70" s="1116"/>
      <c r="I70" s="1118" t="str">
        <f t="shared" si="1"/>
        <v/>
      </c>
      <c r="J70" s="1110"/>
    </row>
    <row r="71" ht="18.75" customHeight="1">
      <c r="A71" s="1110"/>
      <c r="B71" s="1108" t="s">
        <v>7609</v>
      </c>
      <c r="C71" s="1108" t="s">
        <v>7516</v>
      </c>
      <c r="D71" s="1116" t="s">
        <v>7652</v>
      </c>
      <c r="E71" s="1116" t="s">
        <v>7653</v>
      </c>
      <c r="F71" s="1117">
        <v>0.1</v>
      </c>
      <c r="G71" s="1109">
        <v>0.0</v>
      </c>
      <c r="H71" s="1116"/>
      <c r="I71" s="1118" t="str">
        <f t="shared" si="1"/>
        <v/>
      </c>
      <c r="J71" s="1110"/>
    </row>
    <row r="72" ht="18.75" customHeight="1">
      <c r="A72" s="1110"/>
      <c r="B72" s="1108" t="s">
        <v>7609</v>
      </c>
      <c r="C72" s="1108" t="s">
        <v>7527</v>
      </c>
      <c r="D72" s="1116" t="s">
        <v>7654</v>
      </c>
      <c r="E72" s="1116" t="s">
        <v>7655</v>
      </c>
      <c r="F72" s="1117">
        <v>0.1</v>
      </c>
      <c r="G72" s="1109">
        <v>0.0</v>
      </c>
      <c r="H72" s="1116"/>
      <c r="I72" s="1118" t="str">
        <f t="shared" si="1"/>
        <v/>
      </c>
      <c r="J72" s="1110"/>
    </row>
    <row r="73" ht="18.75" customHeight="1">
      <c r="A73" s="1110"/>
      <c r="B73" s="1108" t="s">
        <v>7609</v>
      </c>
      <c r="C73" s="1108" t="s">
        <v>7516</v>
      </c>
      <c r="D73" s="1116" t="s">
        <v>7656</v>
      </c>
      <c r="E73" s="1116" t="s">
        <v>7657</v>
      </c>
      <c r="F73" s="1117">
        <v>0.1</v>
      </c>
      <c r="G73" s="1109">
        <v>0.0</v>
      </c>
      <c r="H73" s="1116"/>
      <c r="I73" s="1118" t="str">
        <f t="shared" si="1"/>
        <v/>
      </c>
      <c r="J73" s="1110"/>
    </row>
    <row r="74" ht="18.75" customHeight="1">
      <c r="A74" s="1110"/>
      <c r="B74" s="1108" t="s">
        <v>7609</v>
      </c>
      <c r="C74" s="1108" t="s">
        <v>7516</v>
      </c>
      <c r="D74" s="1116" t="s">
        <v>7658</v>
      </c>
      <c r="E74" s="1116" t="s">
        <v>7659</v>
      </c>
      <c r="F74" s="1117">
        <v>0.1</v>
      </c>
      <c r="G74" s="1109">
        <v>0.0</v>
      </c>
      <c r="H74" s="1116"/>
      <c r="I74" s="1118" t="str">
        <f t="shared" si="1"/>
        <v/>
      </c>
      <c r="J74" s="1110"/>
    </row>
    <row r="75" ht="18.75" customHeight="1">
      <c r="A75" s="1110"/>
      <c r="B75" s="1108" t="s">
        <v>7609</v>
      </c>
      <c r="C75" s="1108" t="s">
        <v>7527</v>
      </c>
      <c r="D75" s="1116" t="s">
        <v>7660</v>
      </c>
      <c r="E75" s="1116" t="s">
        <v>7661</v>
      </c>
      <c r="F75" s="1117">
        <v>0.1</v>
      </c>
      <c r="G75" s="1109">
        <v>0.0</v>
      </c>
      <c r="H75" s="1116"/>
      <c r="I75" s="1118" t="str">
        <f t="shared" si="1"/>
        <v/>
      </c>
      <c r="J75" s="1110"/>
    </row>
    <row r="76" ht="18.75" customHeight="1">
      <c r="A76" s="1110"/>
      <c r="B76" s="1108" t="s">
        <v>7609</v>
      </c>
      <c r="C76" s="1108" t="s">
        <v>7540</v>
      </c>
      <c r="D76" s="1116" t="s">
        <v>7662</v>
      </c>
      <c r="E76" s="1116" t="s">
        <v>7663</v>
      </c>
      <c r="F76" s="1117">
        <v>0.1</v>
      </c>
      <c r="G76" s="1109">
        <v>0.0</v>
      </c>
      <c r="H76" s="1116"/>
      <c r="I76" s="1118" t="str">
        <f t="shared" si="1"/>
        <v/>
      </c>
      <c r="J76" s="1110"/>
    </row>
    <row r="77" ht="18.75" customHeight="1">
      <c r="A77" s="1110"/>
      <c r="B77" s="1108" t="s">
        <v>7609</v>
      </c>
      <c r="C77" s="1108" t="s">
        <v>7527</v>
      </c>
      <c r="D77" s="1116" t="s">
        <v>7664</v>
      </c>
      <c r="E77" s="1116" t="s">
        <v>7665</v>
      </c>
      <c r="F77" s="1117">
        <v>0.1</v>
      </c>
      <c r="G77" s="1109">
        <v>0.0</v>
      </c>
      <c r="H77" s="1116"/>
      <c r="I77" s="1118" t="str">
        <f t="shared" si="1"/>
        <v/>
      </c>
      <c r="J77" s="1110"/>
    </row>
    <row r="78" ht="18.75" customHeight="1">
      <c r="A78" s="1110"/>
      <c r="B78" s="1108" t="s">
        <v>7609</v>
      </c>
      <c r="C78" s="1108" t="s">
        <v>7516</v>
      </c>
      <c r="D78" s="1116" t="s">
        <v>7666</v>
      </c>
      <c r="E78" s="1116" t="s">
        <v>7667</v>
      </c>
      <c r="F78" s="1117">
        <v>0.1</v>
      </c>
      <c r="G78" s="1109">
        <v>0.0</v>
      </c>
      <c r="H78" s="1116"/>
      <c r="I78" s="1118" t="str">
        <f t="shared" si="1"/>
        <v/>
      </c>
      <c r="J78" s="1110"/>
    </row>
    <row r="79" ht="18.75" customHeight="1">
      <c r="A79" s="1110"/>
      <c r="B79" s="1108" t="s">
        <v>7609</v>
      </c>
      <c r="C79" s="1108" t="s">
        <v>7516</v>
      </c>
      <c r="D79" s="1116" t="s">
        <v>7668</v>
      </c>
      <c r="E79" s="1116" t="s">
        <v>7669</v>
      </c>
      <c r="F79" s="1117">
        <v>0.1</v>
      </c>
      <c r="G79" s="1109">
        <v>0.0</v>
      </c>
      <c r="H79" s="1116"/>
      <c r="I79" s="1118" t="str">
        <f t="shared" si="1"/>
        <v/>
      </c>
      <c r="J79" s="1110"/>
    </row>
    <row r="80" ht="18.75" customHeight="1">
      <c r="A80" s="1110"/>
      <c r="B80" s="1108" t="s">
        <v>7609</v>
      </c>
      <c r="C80" s="1108" t="s">
        <v>7527</v>
      </c>
      <c r="D80" s="1116" t="s">
        <v>7670</v>
      </c>
      <c r="E80" s="1116" t="s">
        <v>7671</v>
      </c>
      <c r="F80" s="1117">
        <v>0.1</v>
      </c>
      <c r="G80" s="1109">
        <v>0.0</v>
      </c>
      <c r="H80" s="1116"/>
      <c r="I80" s="1118" t="str">
        <f t="shared" si="1"/>
        <v/>
      </c>
      <c r="J80" s="1110"/>
    </row>
    <row r="81" ht="18.75" customHeight="1">
      <c r="A81" s="1110"/>
      <c r="B81" s="1108" t="s">
        <v>7609</v>
      </c>
      <c r="C81" s="1108" t="s">
        <v>7516</v>
      </c>
      <c r="D81" s="1116" t="s">
        <v>7672</v>
      </c>
      <c r="E81" s="1116" t="s">
        <v>7673</v>
      </c>
      <c r="F81" s="1117">
        <v>0.1</v>
      </c>
      <c r="G81" s="1109">
        <v>0.0</v>
      </c>
      <c r="H81" s="1116"/>
      <c r="I81" s="1118" t="str">
        <f t="shared" si="1"/>
        <v/>
      </c>
      <c r="J81" s="1110"/>
    </row>
    <row r="82" ht="18.75" customHeight="1">
      <c r="A82" s="1110"/>
      <c r="B82" s="1108" t="s">
        <v>7609</v>
      </c>
      <c r="C82" s="1108" t="s">
        <v>7516</v>
      </c>
      <c r="D82" s="1116" t="s">
        <v>7674</v>
      </c>
      <c r="E82" s="1116" t="s">
        <v>7675</v>
      </c>
      <c r="F82" s="1117">
        <v>0.1</v>
      </c>
      <c r="G82" s="1109">
        <v>0.0</v>
      </c>
      <c r="H82" s="1116"/>
      <c r="I82" s="1118" t="str">
        <f t="shared" si="1"/>
        <v/>
      </c>
      <c r="J82" s="1110"/>
    </row>
    <row r="83" ht="18.75" customHeight="1">
      <c r="A83" s="1110"/>
      <c r="B83" s="1108" t="s">
        <v>7609</v>
      </c>
      <c r="C83" s="1108" t="s">
        <v>7516</v>
      </c>
      <c r="D83" s="1116" t="s">
        <v>7676</v>
      </c>
      <c r="E83" s="1116" t="s">
        <v>7677</v>
      </c>
      <c r="F83" s="1117">
        <v>0.1</v>
      </c>
      <c r="G83" s="1109">
        <v>0.0</v>
      </c>
      <c r="H83" s="1116"/>
      <c r="I83" s="1118" t="str">
        <f t="shared" si="1"/>
        <v/>
      </c>
      <c r="J83" s="1110"/>
    </row>
    <row r="84" ht="18.75" customHeight="1">
      <c r="A84" s="1110"/>
      <c r="B84" s="1108" t="s">
        <v>7609</v>
      </c>
      <c r="C84" s="1108" t="s">
        <v>7516</v>
      </c>
      <c r="D84" s="1116" t="s">
        <v>7678</v>
      </c>
      <c r="E84" s="1116" t="s">
        <v>7679</v>
      </c>
      <c r="F84" s="1117">
        <v>0.1</v>
      </c>
      <c r="G84" s="1109">
        <v>0.0</v>
      </c>
      <c r="H84" s="1116"/>
      <c r="I84" s="1118" t="str">
        <f t="shared" si="1"/>
        <v/>
      </c>
      <c r="J84" s="1110"/>
    </row>
    <row r="85" ht="18.75" customHeight="1">
      <c r="A85" s="1110"/>
      <c r="B85" s="1108" t="s">
        <v>7609</v>
      </c>
      <c r="C85" s="1108" t="s">
        <v>7527</v>
      </c>
      <c r="D85" s="1116" t="s">
        <v>7680</v>
      </c>
      <c r="E85" s="1116" t="s">
        <v>7681</v>
      </c>
      <c r="F85" s="1117">
        <v>0.1</v>
      </c>
      <c r="G85" s="1109">
        <v>0.0</v>
      </c>
      <c r="H85" s="1116"/>
      <c r="I85" s="1118" t="str">
        <f t="shared" si="1"/>
        <v/>
      </c>
      <c r="J85" s="1110"/>
    </row>
    <row r="86" ht="18.75" customHeight="1">
      <c r="A86" s="1110"/>
      <c r="B86" s="1108" t="s">
        <v>7609</v>
      </c>
      <c r="C86" s="1108" t="s">
        <v>7516</v>
      </c>
      <c r="D86" s="1116" t="s">
        <v>7682</v>
      </c>
      <c r="E86" s="1116" t="s">
        <v>7683</v>
      </c>
      <c r="F86" s="1117">
        <v>0.1</v>
      </c>
      <c r="G86" s="1109">
        <v>0.0</v>
      </c>
      <c r="H86" s="1116"/>
      <c r="I86" s="1118" t="str">
        <f t="shared" si="1"/>
        <v/>
      </c>
      <c r="J86" s="1110"/>
    </row>
    <row r="87" ht="18.75" customHeight="1">
      <c r="A87" s="1110"/>
      <c r="B87" s="1108" t="s">
        <v>7609</v>
      </c>
      <c r="C87" s="1108" t="s">
        <v>7516</v>
      </c>
      <c r="D87" s="1116" t="s">
        <v>7684</v>
      </c>
      <c r="E87" s="1116" t="s">
        <v>7685</v>
      </c>
      <c r="F87" s="1117">
        <v>0.1</v>
      </c>
      <c r="G87" s="1109">
        <v>0.0</v>
      </c>
      <c r="H87" s="1116"/>
      <c r="I87" s="1118" t="str">
        <f t="shared" si="1"/>
        <v/>
      </c>
      <c r="J87" s="1110"/>
    </row>
    <row r="88" ht="18.75" customHeight="1">
      <c r="A88" s="1110"/>
      <c r="B88" s="1108" t="s">
        <v>7609</v>
      </c>
      <c r="C88" s="1108" t="s">
        <v>7516</v>
      </c>
      <c r="D88" s="1116" t="s">
        <v>7686</v>
      </c>
      <c r="E88" s="1116" t="s">
        <v>7687</v>
      </c>
      <c r="F88" s="1117">
        <v>0.1</v>
      </c>
      <c r="G88" s="1109">
        <v>0.0</v>
      </c>
      <c r="H88" s="1116"/>
      <c r="I88" s="1118" t="str">
        <f t="shared" si="1"/>
        <v/>
      </c>
      <c r="J88" s="1110"/>
    </row>
    <row r="89" ht="18.75" customHeight="1">
      <c r="A89" s="1110"/>
      <c r="B89" s="1108" t="s">
        <v>7609</v>
      </c>
      <c r="C89" s="1108" t="s">
        <v>7516</v>
      </c>
      <c r="D89" s="1116" t="s">
        <v>7688</v>
      </c>
      <c r="E89" s="1116" t="s">
        <v>7689</v>
      </c>
      <c r="F89" s="1117">
        <v>0.1</v>
      </c>
      <c r="G89" s="1109">
        <v>0.0</v>
      </c>
      <c r="H89" s="1116"/>
      <c r="I89" s="1118" t="str">
        <f t="shared" si="1"/>
        <v/>
      </c>
      <c r="J89" s="1110"/>
    </row>
    <row r="90" ht="18.75" customHeight="1">
      <c r="A90" s="1110"/>
      <c r="B90" s="1108" t="s">
        <v>7609</v>
      </c>
      <c r="C90" s="1108" t="s">
        <v>7527</v>
      </c>
      <c r="D90" s="1116" t="s">
        <v>7690</v>
      </c>
      <c r="E90" s="1116" t="s">
        <v>7691</v>
      </c>
      <c r="F90" s="1117">
        <v>0.1</v>
      </c>
      <c r="G90" s="1109">
        <v>0.0</v>
      </c>
      <c r="H90" s="1116"/>
      <c r="I90" s="1118" t="str">
        <f t="shared" si="1"/>
        <v/>
      </c>
      <c r="J90" s="1110"/>
    </row>
    <row r="91" ht="18.75" customHeight="1">
      <c r="A91" s="1110"/>
      <c r="B91" s="1108" t="s">
        <v>7609</v>
      </c>
      <c r="C91" s="1108" t="s">
        <v>7516</v>
      </c>
      <c r="D91" s="1116" t="s">
        <v>7692</v>
      </c>
      <c r="E91" s="1116" t="s">
        <v>7693</v>
      </c>
      <c r="F91" s="1117">
        <v>0.1</v>
      </c>
      <c r="G91" s="1109">
        <v>0.0</v>
      </c>
      <c r="H91" s="1116"/>
      <c r="I91" s="1118" t="str">
        <f t="shared" si="1"/>
        <v/>
      </c>
      <c r="J91" s="1110"/>
    </row>
    <row r="92" ht="18.75" customHeight="1">
      <c r="A92" s="1110"/>
      <c r="B92" s="1108" t="s">
        <v>7609</v>
      </c>
      <c r="C92" s="1108" t="s">
        <v>7516</v>
      </c>
      <c r="D92" s="1116" t="s">
        <v>7694</v>
      </c>
      <c r="E92" s="1116" t="s">
        <v>7695</v>
      </c>
      <c r="F92" s="1117">
        <v>0.1</v>
      </c>
      <c r="G92" s="1109">
        <v>0.0</v>
      </c>
      <c r="H92" s="1116"/>
      <c r="I92" s="1118" t="str">
        <f t="shared" si="1"/>
        <v/>
      </c>
      <c r="J92" s="1110"/>
    </row>
    <row r="93" ht="18.75" customHeight="1">
      <c r="A93" s="1110"/>
      <c r="B93" s="1108" t="s">
        <v>7609</v>
      </c>
      <c r="C93" s="1108" t="s">
        <v>7516</v>
      </c>
      <c r="D93" s="1116" t="s">
        <v>7696</v>
      </c>
      <c r="E93" s="1116" t="s">
        <v>7697</v>
      </c>
      <c r="F93" s="1117">
        <v>0.1</v>
      </c>
      <c r="G93" s="1109">
        <v>0.0</v>
      </c>
      <c r="H93" s="1116"/>
      <c r="I93" s="1118" t="str">
        <f t="shared" si="1"/>
        <v/>
      </c>
      <c r="J93" s="1110"/>
    </row>
    <row r="94" ht="18.75" customHeight="1">
      <c r="A94" s="1110"/>
      <c r="B94" s="1108" t="s">
        <v>7609</v>
      </c>
      <c r="C94" s="1108" t="s">
        <v>7516</v>
      </c>
      <c r="D94" s="1116" t="s">
        <v>7698</v>
      </c>
      <c r="E94" s="1116" t="s">
        <v>7699</v>
      </c>
      <c r="F94" s="1117">
        <v>0.1</v>
      </c>
      <c r="G94" s="1109">
        <v>0.0</v>
      </c>
      <c r="H94" s="1116"/>
      <c r="I94" s="1118" t="str">
        <f t="shared" si="1"/>
        <v/>
      </c>
      <c r="J94" s="1110"/>
    </row>
    <row r="95" ht="18.75" customHeight="1">
      <c r="A95" s="1110"/>
      <c r="B95" s="1108" t="s">
        <v>4459</v>
      </c>
      <c r="C95" s="1108" t="s">
        <v>7516</v>
      </c>
      <c r="D95" s="1116" t="s">
        <v>7700</v>
      </c>
      <c r="E95" s="1116" t="s">
        <v>7701</v>
      </c>
      <c r="F95" s="1117">
        <v>0.1</v>
      </c>
      <c r="G95" s="1109">
        <v>0.0</v>
      </c>
      <c r="H95" s="1116"/>
      <c r="I95" s="1118" t="str">
        <f t="shared" si="1"/>
        <v/>
      </c>
      <c r="J95" s="1110"/>
    </row>
    <row r="96" ht="18.75" customHeight="1">
      <c r="A96" s="1110"/>
      <c r="B96" s="1108" t="s">
        <v>4459</v>
      </c>
      <c r="C96" s="1108" t="s">
        <v>7516</v>
      </c>
      <c r="D96" s="1116" t="s">
        <v>7702</v>
      </c>
      <c r="E96" s="1116" t="s">
        <v>7703</v>
      </c>
      <c r="F96" s="1117">
        <v>0.1</v>
      </c>
      <c r="G96" s="1109">
        <v>0.0</v>
      </c>
      <c r="H96" s="1116"/>
      <c r="I96" s="1118" t="str">
        <f t="shared" si="1"/>
        <v/>
      </c>
      <c r="J96" s="1110"/>
    </row>
    <row r="97" ht="18.75" customHeight="1">
      <c r="A97" s="1110"/>
      <c r="B97" s="1108" t="s">
        <v>4459</v>
      </c>
      <c r="C97" s="1108" t="s">
        <v>7704</v>
      </c>
      <c r="D97" s="1116" t="s">
        <v>7705</v>
      </c>
      <c r="E97" s="1116" t="s">
        <v>7706</v>
      </c>
      <c r="F97" s="1117">
        <v>0.1</v>
      </c>
      <c r="G97" s="1109">
        <v>0.0</v>
      </c>
      <c r="H97" s="1116"/>
      <c r="I97" s="1118" t="str">
        <f t="shared" si="1"/>
        <v/>
      </c>
      <c r="J97" s="1110"/>
    </row>
    <row r="98" ht="18.75" customHeight="1">
      <c r="A98" s="1110"/>
      <c r="B98" s="1108" t="s">
        <v>4459</v>
      </c>
      <c r="C98" s="1108" t="s">
        <v>7704</v>
      </c>
      <c r="D98" s="1116" t="s">
        <v>7707</v>
      </c>
      <c r="E98" s="1116" t="s">
        <v>7708</v>
      </c>
      <c r="F98" s="1117">
        <v>0.1</v>
      </c>
      <c r="G98" s="1109">
        <v>0.0</v>
      </c>
      <c r="H98" s="1116"/>
      <c r="I98" s="1118" t="str">
        <f t="shared" si="1"/>
        <v/>
      </c>
      <c r="J98" s="1110"/>
    </row>
    <row r="99" ht="18.75" customHeight="1">
      <c r="A99" s="1110"/>
      <c r="B99" s="1108" t="s">
        <v>4459</v>
      </c>
      <c r="C99" s="1108" t="s">
        <v>7704</v>
      </c>
      <c r="D99" s="1116" t="s">
        <v>7709</v>
      </c>
      <c r="E99" s="1116" t="s">
        <v>7710</v>
      </c>
      <c r="F99" s="1117">
        <v>0.1</v>
      </c>
      <c r="G99" s="1109">
        <v>0.0</v>
      </c>
      <c r="H99" s="1116"/>
      <c r="I99" s="1118" t="str">
        <f t="shared" si="1"/>
        <v/>
      </c>
      <c r="J99" s="1110"/>
    </row>
    <row r="100" ht="18.75" customHeight="1">
      <c r="A100" s="1110"/>
      <c r="B100" s="1108" t="s">
        <v>4459</v>
      </c>
      <c r="C100" s="1108" t="s">
        <v>7704</v>
      </c>
      <c r="D100" s="1116" t="s">
        <v>7711</v>
      </c>
      <c r="E100" s="1116" t="s">
        <v>7712</v>
      </c>
      <c r="F100" s="1117">
        <v>0.1</v>
      </c>
      <c r="G100" s="1109">
        <v>0.0</v>
      </c>
      <c r="H100" s="1116"/>
      <c r="I100" s="1118" t="str">
        <f t="shared" si="1"/>
        <v/>
      </c>
      <c r="J100" s="1110"/>
    </row>
    <row r="101" ht="18.75" customHeight="1">
      <c r="A101" s="1110"/>
      <c r="B101" s="1108" t="s">
        <v>4459</v>
      </c>
      <c r="C101" s="1108" t="s">
        <v>7704</v>
      </c>
      <c r="D101" s="1116" t="s">
        <v>7713</v>
      </c>
      <c r="E101" s="1116" t="s">
        <v>7714</v>
      </c>
      <c r="F101" s="1117">
        <v>0.1</v>
      </c>
      <c r="G101" s="1109">
        <v>0.0</v>
      </c>
      <c r="H101" s="1116"/>
      <c r="I101" s="1118" t="str">
        <f t="shared" si="1"/>
        <v/>
      </c>
      <c r="J101" s="1110"/>
    </row>
    <row r="102" ht="18.75" customHeight="1">
      <c r="A102" s="1110"/>
      <c r="B102" s="1108" t="s">
        <v>4459</v>
      </c>
      <c r="C102" s="1108" t="s">
        <v>7704</v>
      </c>
      <c r="D102" s="1116" t="s">
        <v>7715</v>
      </c>
      <c r="E102" s="1116" t="s">
        <v>7716</v>
      </c>
      <c r="F102" s="1117">
        <v>0.1</v>
      </c>
      <c r="G102" s="1109">
        <v>0.0</v>
      </c>
      <c r="H102" s="1116"/>
      <c r="I102" s="1118" t="str">
        <f t="shared" si="1"/>
        <v/>
      </c>
      <c r="J102" s="1110"/>
    </row>
    <row r="103" ht="18.75" customHeight="1">
      <c r="A103" s="1110"/>
      <c r="B103" s="1108" t="s">
        <v>4459</v>
      </c>
      <c r="C103" s="1108" t="s">
        <v>7516</v>
      </c>
      <c r="D103" s="1116" t="s">
        <v>7717</v>
      </c>
      <c r="E103" s="1116" t="s">
        <v>7718</v>
      </c>
      <c r="F103" s="1117">
        <v>0.1</v>
      </c>
      <c r="G103" s="1109">
        <v>0.0</v>
      </c>
      <c r="H103" s="1116"/>
      <c r="I103" s="1118" t="str">
        <f t="shared" si="1"/>
        <v/>
      </c>
      <c r="J103" s="1110"/>
    </row>
    <row r="104" ht="18.75" customHeight="1">
      <c r="A104" s="1110"/>
      <c r="B104" s="1108" t="s">
        <v>4459</v>
      </c>
      <c r="C104" s="1108" t="s">
        <v>7516</v>
      </c>
      <c r="D104" s="1116" t="s">
        <v>7719</v>
      </c>
      <c r="E104" s="1116" t="s">
        <v>7720</v>
      </c>
      <c r="F104" s="1117">
        <v>0.1</v>
      </c>
      <c r="G104" s="1109">
        <v>0.0</v>
      </c>
      <c r="H104" s="1116"/>
      <c r="I104" s="1118" t="str">
        <f t="shared" si="1"/>
        <v/>
      </c>
      <c r="J104" s="1110"/>
    </row>
    <row r="105" ht="18.75" customHeight="1">
      <c r="A105" s="1110"/>
      <c r="B105" s="1108" t="s">
        <v>4459</v>
      </c>
      <c r="C105" s="1108" t="s">
        <v>7704</v>
      </c>
      <c r="D105" s="1116" t="s">
        <v>7721</v>
      </c>
      <c r="E105" s="1116" t="s">
        <v>7722</v>
      </c>
      <c r="F105" s="1117">
        <v>0.1</v>
      </c>
      <c r="G105" s="1109">
        <v>0.0</v>
      </c>
      <c r="H105" s="1116"/>
      <c r="I105" s="1118" t="str">
        <f t="shared" si="1"/>
        <v/>
      </c>
      <c r="J105" s="1110"/>
    </row>
    <row r="106" ht="18.75" customHeight="1">
      <c r="A106" s="1110"/>
      <c r="B106" s="1108" t="s">
        <v>4459</v>
      </c>
      <c r="C106" s="1108" t="s">
        <v>7516</v>
      </c>
      <c r="D106" s="1116" t="s">
        <v>7723</v>
      </c>
      <c r="E106" s="1116" t="s">
        <v>7724</v>
      </c>
      <c r="F106" s="1117">
        <v>0.1</v>
      </c>
      <c r="G106" s="1109">
        <v>0.0</v>
      </c>
      <c r="H106" s="1116"/>
      <c r="I106" s="1118" t="str">
        <f t="shared" si="1"/>
        <v/>
      </c>
      <c r="J106" s="1110"/>
    </row>
    <row r="107" ht="18.75" customHeight="1">
      <c r="A107" s="1110"/>
      <c r="B107" s="1108" t="s">
        <v>4459</v>
      </c>
      <c r="C107" s="1108" t="s">
        <v>7516</v>
      </c>
      <c r="D107" s="1116" t="s">
        <v>7725</v>
      </c>
      <c r="E107" s="1116" t="s">
        <v>7726</v>
      </c>
      <c r="F107" s="1117">
        <v>0.1</v>
      </c>
      <c r="G107" s="1109">
        <v>0.0</v>
      </c>
      <c r="H107" s="1116"/>
      <c r="I107" s="1118" t="str">
        <f t="shared" si="1"/>
        <v/>
      </c>
      <c r="J107" s="1110"/>
    </row>
    <row r="108" ht="18.75" customHeight="1">
      <c r="A108" s="1110"/>
      <c r="B108" s="1108" t="s">
        <v>4459</v>
      </c>
      <c r="C108" s="1108" t="s">
        <v>7516</v>
      </c>
      <c r="D108" s="1116" t="s">
        <v>7727</v>
      </c>
      <c r="E108" s="1116" t="s">
        <v>7728</v>
      </c>
      <c r="F108" s="1117">
        <v>0.1</v>
      </c>
      <c r="G108" s="1109">
        <v>0.0</v>
      </c>
      <c r="H108" s="1116"/>
      <c r="I108" s="1118" t="str">
        <f t="shared" si="1"/>
        <v/>
      </c>
      <c r="J108" s="1110"/>
    </row>
    <row r="109" ht="18.75" customHeight="1">
      <c r="A109" s="1110"/>
      <c r="B109" s="1108" t="s">
        <v>4459</v>
      </c>
      <c r="C109" s="1108" t="s">
        <v>7516</v>
      </c>
      <c r="D109" s="1116" t="s">
        <v>7729</v>
      </c>
      <c r="E109" s="1116" t="s">
        <v>7730</v>
      </c>
      <c r="F109" s="1117">
        <v>0.1</v>
      </c>
      <c r="G109" s="1109">
        <v>0.0</v>
      </c>
      <c r="H109" s="1116"/>
      <c r="I109" s="1118" t="str">
        <f t="shared" si="1"/>
        <v/>
      </c>
      <c r="J109" s="1110"/>
    </row>
    <row r="110" ht="18.75" customHeight="1">
      <c r="A110" s="1110"/>
      <c r="B110" s="1108" t="s">
        <v>4459</v>
      </c>
      <c r="C110" s="1108" t="s">
        <v>7704</v>
      </c>
      <c r="D110" s="1116" t="s">
        <v>7731</v>
      </c>
      <c r="E110" s="1116" t="s">
        <v>7732</v>
      </c>
      <c r="F110" s="1117">
        <v>0.1</v>
      </c>
      <c r="G110" s="1109">
        <v>0.0</v>
      </c>
      <c r="H110" s="1116"/>
      <c r="I110" s="1118" t="str">
        <f t="shared" si="1"/>
        <v/>
      </c>
      <c r="J110" s="1110"/>
    </row>
    <row r="111" ht="18.75" customHeight="1">
      <c r="A111" s="1110"/>
      <c r="B111" s="1108" t="s">
        <v>4459</v>
      </c>
      <c r="C111" s="1108" t="s">
        <v>7704</v>
      </c>
      <c r="D111" s="1116" t="s">
        <v>7733</v>
      </c>
      <c r="E111" s="1116" t="s">
        <v>7734</v>
      </c>
      <c r="F111" s="1117">
        <v>0.1</v>
      </c>
      <c r="G111" s="1109">
        <v>0.0</v>
      </c>
      <c r="H111" s="1116"/>
      <c r="I111" s="1118" t="str">
        <f t="shared" si="1"/>
        <v/>
      </c>
      <c r="J111" s="1110"/>
    </row>
    <row r="112" ht="18.75" customHeight="1">
      <c r="A112" s="1110"/>
      <c r="B112" s="1108" t="s">
        <v>4459</v>
      </c>
      <c r="C112" s="1108" t="s">
        <v>7704</v>
      </c>
      <c r="D112" s="1116" t="s">
        <v>7735</v>
      </c>
      <c r="E112" s="1116" t="s">
        <v>7736</v>
      </c>
      <c r="F112" s="1117">
        <v>0.1</v>
      </c>
      <c r="G112" s="1109">
        <v>0.0</v>
      </c>
      <c r="H112" s="1116"/>
      <c r="I112" s="1118" t="str">
        <f t="shared" si="1"/>
        <v/>
      </c>
      <c r="J112" s="1110"/>
    </row>
    <row r="113" ht="18.75" customHeight="1">
      <c r="A113" s="1110"/>
      <c r="B113" s="1108" t="s">
        <v>4459</v>
      </c>
      <c r="C113" s="1108" t="s">
        <v>7704</v>
      </c>
      <c r="D113" s="1116" t="s">
        <v>7737</v>
      </c>
      <c r="E113" s="1116" t="s">
        <v>7738</v>
      </c>
      <c r="F113" s="1117">
        <v>0.1</v>
      </c>
      <c r="G113" s="1109">
        <v>0.0</v>
      </c>
      <c r="H113" s="1116"/>
      <c r="I113" s="1118" t="str">
        <f t="shared" si="1"/>
        <v/>
      </c>
      <c r="J113" s="1110"/>
    </row>
    <row r="114" ht="18.75" customHeight="1">
      <c r="A114" s="1110"/>
      <c r="B114" s="1108" t="s">
        <v>4459</v>
      </c>
      <c r="C114" s="1108" t="s">
        <v>7704</v>
      </c>
      <c r="D114" s="1116" t="s">
        <v>7739</v>
      </c>
      <c r="E114" s="1116" t="s">
        <v>7740</v>
      </c>
      <c r="F114" s="1117">
        <v>0.1</v>
      </c>
      <c r="G114" s="1109">
        <v>0.0</v>
      </c>
      <c r="H114" s="1116"/>
      <c r="I114" s="1118" t="str">
        <f t="shared" si="1"/>
        <v/>
      </c>
      <c r="J114" s="1110"/>
    </row>
    <row r="115" ht="18.75" customHeight="1">
      <c r="A115" s="1110"/>
      <c r="B115" s="1108" t="s">
        <v>4459</v>
      </c>
      <c r="C115" s="1108" t="s">
        <v>7516</v>
      </c>
      <c r="D115" s="1116" t="s">
        <v>7741</v>
      </c>
      <c r="E115" s="1116" t="s">
        <v>7742</v>
      </c>
      <c r="F115" s="1117">
        <v>0.1</v>
      </c>
      <c r="G115" s="1109">
        <v>0.0</v>
      </c>
      <c r="H115" s="1116"/>
      <c r="I115" s="1118" t="str">
        <f t="shared" si="1"/>
        <v/>
      </c>
      <c r="J115" s="1110"/>
    </row>
    <row r="116" ht="18.75" customHeight="1">
      <c r="A116" s="1110"/>
      <c r="B116" s="1108" t="s">
        <v>4459</v>
      </c>
      <c r="C116" s="1108" t="s">
        <v>7516</v>
      </c>
      <c r="D116" s="1116" t="s">
        <v>7743</v>
      </c>
      <c r="E116" s="1116" t="s">
        <v>7744</v>
      </c>
      <c r="F116" s="1117">
        <v>0.1</v>
      </c>
      <c r="G116" s="1109">
        <v>0.0</v>
      </c>
      <c r="H116" s="1116"/>
      <c r="I116" s="1118" t="str">
        <f t="shared" si="1"/>
        <v/>
      </c>
      <c r="J116" s="1110"/>
    </row>
    <row r="117" ht="18.75" customHeight="1">
      <c r="A117" s="1110"/>
      <c r="B117" s="1108" t="s">
        <v>4459</v>
      </c>
      <c r="C117" s="1108" t="s">
        <v>7516</v>
      </c>
      <c r="D117" s="1116" t="s">
        <v>7745</v>
      </c>
      <c r="E117" s="1116" t="s">
        <v>7746</v>
      </c>
      <c r="F117" s="1117">
        <v>0.1</v>
      </c>
      <c r="G117" s="1109">
        <v>0.0</v>
      </c>
      <c r="H117" s="1116"/>
      <c r="I117" s="1118" t="str">
        <f t="shared" si="1"/>
        <v/>
      </c>
      <c r="J117" s="1110"/>
    </row>
    <row r="118" ht="18.75" customHeight="1">
      <c r="A118" s="1110"/>
      <c r="B118" s="1108" t="s">
        <v>4459</v>
      </c>
      <c r="C118" s="1108" t="s">
        <v>7516</v>
      </c>
      <c r="D118" s="1116" t="s">
        <v>7747</v>
      </c>
      <c r="E118" s="1116" t="s">
        <v>7748</v>
      </c>
      <c r="F118" s="1117">
        <v>0.1</v>
      </c>
      <c r="G118" s="1109">
        <v>0.0</v>
      </c>
      <c r="H118" s="1116"/>
      <c r="I118" s="1118" t="str">
        <f t="shared" si="1"/>
        <v/>
      </c>
      <c r="J118" s="1110"/>
    </row>
    <row r="119" ht="18.75" customHeight="1">
      <c r="A119" s="1110"/>
      <c r="B119" s="1108" t="s">
        <v>4459</v>
      </c>
      <c r="C119" s="1108" t="s">
        <v>7516</v>
      </c>
      <c r="D119" s="1116" t="s">
        <v>7749</v>
      </c>
      <c r="E119" s="1116" t="s">
        <v>7750</v>
      </c>
      <c r="F119" s="1117">
        <v>0.1</v>
      </c>
      <c r="G119" s="1109">
        <v>0.0</v>
      </c>
      <c r="H119" s="1116"/>
      <c r="I119" s="1118" t="str">
        <f t="shared" si="1"/>
        <v/>
      </c>
      <c r="J119" s="1110"/>
    </row>
    <row r="120" ht="18.75" customHeight="1">
      <c r="A120" s="1110"/>
      <c r="B120" s="1108" t="s">
        <v>4459</v>
      </c>
      <c r="C120" s="1108" t="s">
        <v>7516</v>
      </c>
      <c r="D120" s="1116" t="s">
        <v>7751</v>
      </c>
      <c r="E120" s="1116" t="s">
        <v>7752</v>
      </c>
      <c r="F120" s="1117">
        <v>0.1</v>
      </c>
      <c r="G120" s="1109">
        <v>0.0</v>
      </c>
      <c r="H120" s="1116"/>
      <c r="I120" s="1118" t="str">
        <f t="shared" si="1"/>
        <v/>
      </c>
      <c r="J120" s="1110"/>
    </row>
    <row r="121" ht="18.75" customHeight="1">
      <c r="A121" s="1110"/>
      <c r="B121" s="1108" t="s">
        <v>4459</v>
      </c>
      <c r="C121" s="1108" t="s">
        <v>7516</v>
      </c>
      <c r="D121" s="1116" t="s">
        <v>7753</v>
      </c>
      <c r="E121" s="1116" t="s">
        <v>7754</v>
      </c>
      <c r="F121" s="1117">
        <v>0.1</v>
      </c>
      <c r="G121" s="1109">
        <v>0.0</v>
      </c>
      <c r="H121" s="1116"/>
      <c r="I121" s="1118" t="str">
        <f t="shared" si="1"/>
        <v/>
      </c>
      <c r="J121" s="1110"/>
    </row>
    <row r="122" ht="18.75" customHeight="1">
      <c r="A122" s="1110"/>
      <c r="B122" s="1108" t="s">
        <v>4459</v>
      </c>
      <c r="C122" s="1108" t="s">
        <v>7516</v>
      </c>
      <c r="D122" s="1116" t="s">
        <v>7755</v>
      </c>
      <c r="E122" s="1116" t="s">
        <v>7756</v>
      </c>
      <c r="F122" s="1117">
        <v>0.1</v>
      </c>
      <c r="G122" s="1109">
        <v>0.0</v>
      </c>
      <c r="H122" s="1116"/>
      <c r="I122" s="1118" t="str">
        <f t="shared" si="1"/>
        <v/>
      </c>
      <c r="J122" s="1110"/>
    </row>
    <row r="123" ht="18.75" customHeight="1">
      <c r="A123" s="1110"/>
      <c r="B123" s="1108" t="s">
        <v>4459</v>
      </c>
      <c r="C123" s="1108" t="s">
        <v>7516</v>
      </c>
      <c r="D123" s="1116" t="s">
        <v>7757</v>
      </c>
      <c r="E123" s="1116" t="s">
        <v>7758</v>
      </c>
      <c r="F123" s="1117">
        <v>0.1</v>
      </c>
      <c r="G123" s="1109">
        <v>0.0</v>
      </c>
      <c r="H123" s="1116"/>
      <c r="I123" s="1118" t="str">
        <f t="shared" si="1"/>
        <v/>
      </c>
      <c r="J123" s="1110"/>
    </row>
    <row r="124" ht="18.75" customHeight="1">
      <c r="A124" s="1110"/>
      <c r="B124" s="1108" t="s">
        <v>4459</v>
      </c>
      <c r="C124" s="1108" t="s">
        <v>7516</v>
      </c>
      <c r="D124" s="1116" t="s">
        <v>7759</v>
      </c>
      <c r="E124" s="1116" t="s">
        <v>7760</v>
      </c>
      <c r="F124" s="1117">
        <v>0.1</v>
      </c>
      <c r="G124" s="1109">
        <v>0.0</v>
      </c>
      <c r="H124" s="1116"/>
      <c r="I124" s="1118" t="str">
        <f t="shared" si="1"/>
        <v/>
      </c>
      <c r="J124" s="1110"/>
    </row>
    <row r="125" ht="18.75" customHeight="1">
      <c r="A125" s="1110"/>
      <c r="B125" s="1108" t="s">
        <v>4459</v>
      </c>
      <c r="C125" s="1108" t="s">
        <v>7516</v>
      </c>
      <c r="D125" s="1116" t="s">
        <v>7761</v>
      </c>
      <c r="E125" s="1116" t="s">
        <v>7762</v>
      </c>
      <c r="F125" s="1117">
        <v>0.1</v>
      </c>
      <c r="G125" s="1109">
        <v>0.0</v>
      </c>
      <c r="H125" s="1116"/>
      <c r="I125" s="1118" t="str">
        <f t="shared" si="1"/>
        <v/>
      </c>
      <c r="J125" s="1110"/>
    </row>
    <row r="126" ht="18.75" customHeight="1">
      <c r="A126" s="1110"/>
      <c r="B126" s="1108" t="s">
        <v>4459</v>
      </c>
      <c r="C126" s="1108" t="s">
        <v>7516</v>
      </c>
      <c r="D126" s="1116" t="s">
        <v>7763</v>
      </c>
      <c r="E126" s="1116" t="s">
        <v>7764</v>
      </c>
      <c r="F126" s="1117">
        <v>0.1</v>
      </c>
      <c r="G126" s="1109">
        <v>0.0</v>
      </c>
      <c r="H126" s="1116"/>
      <c r="I126" s="1118" t="str">
        <f t="shared" si="1"/>
        <v/>
      </c>
      <c r="J126" s="1110"/>
    </row>
    <row r="127" ht="18.75" customHeight="1">
      <c r="A127" s="1110"/>
      <c r="B127" s="1108" t="s">
        <v>4459</v>
      </c>
      <c r="C127" s="1108" t="s">
        <v>7516</v>
      </c>
      <c r="D127" s="1116" t="s">
        <v>7765</v>
      </c>
      <c r="E127" s="1116" t="s">
        <v>7766</v>
      </c>
      <c r="F127" s="1117">
        <v>0.1</v>
      </c>
      <c r="G127" s="1109">
        <v>0.0</v>
      </c>
      <c r="H127" s="1116"/>
      <c r="I127" s="1118" t="str">
        <f t="shared" si="1"/>
        <v/>
      </c>
      <c r="J127" s="1110"/>
    </row>
    <row r="128" ht="18.75" customHeight="1">
      <c r="A128" s="1110"/>
      <c r="B128" s="1108" t="s">
        <v>4459</v>
      </c>
      <c r="C128" s="1108" t="s">
        <v>7516</v>
      </c>
      <c r="D128" s="1116" t="s">
        <v>7767</v>
      </c>
      <c r="E128" s="1116" t="s">
        <v>7768</v>
      </c>
      <c r="F128" s="1117">
        <v>0.1</v>
      </c>
      <c r="G128" s="1109">
        <v>0.0</v>
      </c>
      <c r="H128" s="1116"/>
      <c r="I128" s="1118" t="str">
        <f t="shared" si="1"/>
        <v/>
      </c>
      <c r="J128" s="1110"/>
    </row>
    <row r="129" ht="18.75" customHeight="1">
      <c r="A129" s="1110"/>
      <c r="B129" s="1108" t="s">
        <v>4459</v>
      </c>
      <c r="C129" s="1108" t="s">
        <v>7516</v>
      </c>
      <c r="D129" s="1116" t="s">
        <v>7769</v>
      </c>
      <c r="E129" s="1116" t="s">
        <v>7770</v>
      </c>
      <c r="F129" s="1117">
        <v>0.1</v>
      </c>
      <c r="G129" s="1109">
        <v>0.0</v>
      </c>
      <c r="H129" s="1116"/>
      <c r="I129" s="1118" t="str">
        <f t="shared" si="1"/>
        <v/>
      </c>
      <c r="J129" s="1110"/>
    </row>
    <row r="130" ht="18.75" customHeight="1">
      <c r="A130" s="1110"/>
      <c r="B130" s="1108" t="s">
        <v>4459</v>
      </c>
      <c r="C130" s="1108" t="s">
        <v>7516</v>
      </c>
      <c r="D130" s="1116" t="s">
        <v>7771</v>
      </c>
      <c r="E130" s="1116" t="s">
        <v>7772</v>
      </c>
      <c r="F130" s="1117">
        <v>0.1</v>
      </c>
      <c r="G130" s="1109">
        <v>0.0</v>
      </c>
      <c r="H130" s="1116"/>
      <c r="I130" s="1118" t="str">
        <f t="shared" si="1"/>
        <v/>
      </c>
      <c r="J130" s="1110"/>
    </row>
    <row r="131" ht="18.75" customHeight="1">
      <c r="A131" s="1110"/>
      <c r="B131" s="1108" t="s">
        <v>4459</v>
      </c>
      <c r="C131" s="1108" t="s">
        <v>7516</v>
      </c>
      <c r="D131" s="1116" t="s">
        <v>7773</v>
      </c>
      <c r="E131" s="1116" t="s">
        <v>7774</v>
      </c>
      <c r="F131" s="1117">
        <v>0.1</v>
      </c>
      <c r="G131" s="1109">
        <v>0.0</v>
      </c>
      <c r="H131" s="1116"/>
      <c r="I131" s="1118" t="str">
        <f t="shared" si="1"/>
        <v/>
      </c>
      <c r="J131" s="1110"/>
    </row>
    <row r="132" ht="18.75" customHeight="1">
      <c r="A132" s="1110"/>
      <c r="B132" s="1108" t="s">
        <v>4459</v>
      </c>
      <c r="C132" s="1108" t="s">
        <v>7516</v>
      </c>
      <c r="D132" s="1116" t="s">
        <v>7775</v>
      </c>
      <c r="E132" s="1116" t="s">
        <v>7776</v>
      </c>
      <c r="F132" s="1117">
        <v>0.1</v>
      </c>
      <c r="G132" s="1109">
        <v>0.0</v>
      </c>
      <c r="H132" s="1116"/>
      <c r="I132" s="1118" t="str">
        <f t="shared" si="1"/>
        <v/>
      </c>
      <c r="J132" s="1110"/>
    </row>
    <row r="133" ht="18.75" customHeight="1">
      <c r="A133" s="1110"/>
      <c r="B133" s="1108" t="s">
        <v>4459</v>
      </c>
      <c r="C133" s="1108" t="s">
        <v>7516</v>
      </c>
      <c r="D133" s="1116" t="s">
        <v>7777</v>
      </c>
      <c r="E133" s="1116" t="s">
        <v>7778</v>
      </c>
      <c r="F133" s="1117">
        <v>0.1</v>
      </c>
      <c r="G133" s="1109">
        <v>0.0</v>
      </c>
      <c r="H133" s="1116"/>
      <c r="I133" s="1118" t="str">
        <f t="shared" si="1"/>
        <v/>
      </c>
      <c r="J133" s="1110"/>
    </row>
    <row r="134" ht="18.75" customHeight="1">
      <c r="A134" s="1110"/>
      <c r="B134" s="1108" t="s">
        <v>4997</v>
      </c>
      <c r="C134" s="1108" t="s">
        <v>7516</v>
      </c>
      <c r="D134" s="1116" t="s">
        <v>7779</v>
      </c>
      <c r="E134" s="1116" t="s">
        <v>7518</v>
      </c>
      <c r="F134" s="1117">
        <v>0.1</v>
      </c>
      <c r="G134" s="1109">
        <v>0.0</v>
      </c>
      <c r="H134" s="1118">
        <v>1929300.0</v>
      </c>
      <c r="I134" s="1118">
        <f t="shared" si="1"/>
        <v>1753910</v>
      </c>
      <c r="J134" s="1110"/>
    </row>
    <row r="135" ht="18.75" customHeight="1">
      <c r="A135" s="1110"/>
      <c r="B135" s="1108" t="s">
        <v>4997</v>
      </c>
      <c r="C135" s="1108" t="s">
        <v>7516</v>
      </c>
      <c r="D135" s="1116" t="s">
        <v>7780</v>
      </c>
      <c r="E135" s="1116" t="s">
        <v>7520</v>
      </c>
      <c r="F135" s="1117">
        <v>0.1</v>
      </c>
      <c r="G135" s="1109">
        <v>0.0</v>
      </c>
      <c r="H135" s="1118">
        <v>4183900.0</v>
      </c>
      <c r="I135" s="1118">
        <f t="shared" si="1"/>
        <v>3803550</v>
      </c>
      <c r="J135" s="1110"/>
    </row>
    <row r="136" ht="18.75" customHeight="1">
      <c r="A136" s="1110"/>
      <c r="B136" s="1108" t="s">
        <v>4997</v>
      </c>
      <c r="C136" s="1108" t="s">
        <v>7516</v>
      </c>
      <c r="D136" s="1116" t="s">
        <v>7781</v>
      </c>
      <c r="E136" s="1116" t="s">
        <v>7522</v>
      </c>
      <c r="F136" s="1117">
        <v>0.1</v>
      </c>
      <c r="G136" s="1109">
        <v>0.0</v>
      </c>
      <c r="H136" s="1118">
        <v>3153200.0</v>
      </c>
      <c r="I136" s="1118">
        <f t="shared" si="1"/>
        <v>2866550</v>
      </c>
      <c r="J136" s="1110"/>
    </row>
    <row r="137" ht="18.75" customHeight="1">
      <c r="A137" s="1110"/>
      <c r="B137" s="1108" t="s">
        <v>4997</v>
      </c>
      <c r="C137" s="1108" t="s">
        <v>7516</v>
      </c>
      <c r="D137" s="1116" t="s">
        <v>7782</v>
      </c>
      <c r="E137" s="1116" t="s">
        <v>7524</v>
      </c>
      <c r="F137" s="1117">
        <v>0.1</v>
      </c>
      <c r="G137" s="1109">
        <v>0.0</v>
      </c>
      <c r="H137" s="1118">
        <v>5407700.0</v>
      </c>
      <c r="I137" s="1118">
        <f t="shared" si="1"/>
        <v>4916090</v>
      </c>
      <c r="J137" s="1110"/>
    </row>
    <row r="138" ht="18.75" customHeight="1">
      <c r="A138" s="1110"/>
      <c r="B138" s="1108" t="s">
        <v>4997</v>
      </c>
      <c r="C138" s="1108" t="s">
        <v>7516</v>
      </c>
      <c r="D138" s="1116" t="s">
        <v>7783</v>
      </c>
      <c r="E138" s="1116" t="s">
        <v>7526</v>
      </c>
      <c r="F138" s="1117">
        <v>0.1</v>
      </c>
      <c r="G138" s="1109">
        <v>0.0</v>
      </c>
      <c r="H138" s="1118">
        <v>4377100.0</v>
      </c>
      <c r="I138" s="1118">
        <f t="shared" si="1"/>
        <v>3979180</v>
      </c>
      <c r="J138" s="1110"/>
    </row>
    <row r="139" ht="18.75" customHeight="1">
      <c r="A139" s="1110"/>
      <c r="B139" s="1108" t="s">
        <v>4997</v>
      </c>
      <c r="C139" s="1108" t="s">
        <v>7527</v>
      </c>
      <c r="D139" s="1116" t="s">
        <v>7784</v>
      </c>
      <c r="E139" s="1116" t="s">
        <v>7529</v>
      </c>
      <c r="F139" s="1117">
        <v>0.1</v>
      </c>
      <c r="G139" s="1109">
        <v>0.0</v>
      </c>
      <c r="H139" s="1118">
        <v>2268600.0</v>
      </c>
      <c r="I139" s="1118">
        <f t="shared" si="1"/>
        <v>2062360</v>
      </c>
      <c r="J139" s="1110"/>
    </row>
    <row r="140" ht="18.75" customHeight="1">
      <c r="A140" s="1110"/>
      <c r="B140" s="1108" t="s">
        <v>4997</v>
      </c>
      <c r="C140" s="1108" t="s">
        <v>7516</v>
      </c>
      <c r="D140" s="1116" t="s">
        <v>7785</v>
      </c>
      <c r="E140" s="1116" t="s">
        <v>7531</v>
      </c>
      <c r="F140" s="1117">
        <v>0.1</v>
      </c>
      <c r="G140" s="1109">
        <v>0.0</v>
      </c>
      <c r="H140" s="1118">
        <v>4241400.0</v>
      </c>
      <c r="I140" s="1118">
        <f t="shared" si="1"/>
        <v>3855820</v>
      </c>
      <c r="J140" s="1110"/>
    </row>
    <row r="141" ht="18.75" customHeight="1">
      <c r="A141" s="1110"/>
      <c r="B141" s="1108" t="s">
        <v>4997</v>
      </c>
      <c r="C141" s="1108" t="s">
        <v>7527</v>
      </c>
      <c r="D141" s="1116" t="s">
        <v>7786</v>
      </c>
      <c r="E141" s="1116" t="s">
        <v>7533</v>
      </c>
      <c r="F141" s="1117">
        <v>0.1</v>
      </c>
      <c r="G141" s="1109">
        <v>0.0</v>
      </c>
      <c r="H141" s="1118">
        <v>3339600.0</v>
      </c>
      <c r="I141" s="1118">
        <f t="shared" si="1"/>
        <v>3036000</v>
      </c>
      <c r="J141" s="1110"/>
    </row>
    <row r="142" ht="18.75" customHeight="1">
      <c r="A142" s="1110"/>
      <c r="B142" s="1108" t="s">
        <v>4997</v>
      </c>
      <c r="C142" s="1108" t="s">
        <v>7516</v>
      </c>
      <c r="D142" s="1116" t="s">
        <v>7787</v>
      </c>
      <c r="E142" s="1116" t="s">
        <v>7535</v>
      </c>
      <c r="F142" s="1117">
        <v>0.1</v>
      </c>
      <c r="G142" s="1109">
        <v>0.0</v>
      </c>
      <c r="H142" s="1118">
        <v>5312300.0</v>
      </c>
      <c r="I142" s="1118">
        <f t="shared" si="1"/>
        <v>4829360</v>
      </c>
      <c r="J142" s="1110"/>
    </row>
    <row r="143" ht="18.75" customHeight="1">
      <c r="A143" s="1110"/>
      <c r="B143" s="1108" t="s">
        <v>4997</v>
      </c>
      <c r="C143" s="1108" t="s">
        <v>7516</v>
      </c>
      <c r="D143" s="1116" t="s">
        <v>7788</v>
      </c>
      <c r="E143" s="1116" t="s">
        <v>7537</v>
      </c>
      <c r="F143" s="1117">
        <v>0.1</v>
      </c>
      <c r="G143" s="1109">
        <v>0.0</v>
      </c>
      <c r="H143" s="1118">
        <v>4410500.0</v>
      </c>
      <c r="I143" s="1118">
        <f t="shared" si="1"/>
        <v>4009550</v>
      </c>
      <c r="J143" s="1110"/>
    </row>
    <row r="144" ht="18.75" customHeight="1">
      <c r="A144" s="1110"/>
      <c r="B144" s="1108" t="s">
        <v>4997</v>
      </c>
      <c r="C144" s="1108" t="s">
        <v>7527</v>
      </c>
      <c r="D144" s="1116" t="s">
        <v>7789</v>
      </c>
      <c r="E144" s="1116" t="s">
        <v>7539</v>
      </c>
      <c r="F144" s="1117">
        <v>0.1</v>
      </c>
      <c r="G144" s="1109">
        <v>0.0</v>
      </c>
      <c r="H144" s="1118">
        <v>2019100.0</v>
      </c>
      <c r="I144" s="1118">
        <f t="shared" si="1"/>
        <v>1835550</v>
      </c>
      <c r="J144" s="1110"/>
    </row>
    <row r="145" ht="18.75" customHeight="1">
      <c r="A145" s="1110"/>
      <c r="B145" s="1108" t="s">
        <v>4997</v>
      </c>
      <c r="C145" s="1108" t="s">
        <v>7540</v>
      </c>
      <c r="D145" s="1116" t="s">
        <v>7790</v>
      </c>
      <c r="E145" s="1116" t="s">
        <v>7542</v>
      </c>
      <c r="F145" s="1117">
        <v>0.1</v>
      </c>
      <c r="G145" s="1109">
        <v>0.0</v>
      </c>
      <c r="H145" s="1118">
        <v>3428200.0</v>
      </c>
      <c r="I145" s="1118">
        <f t="shared" si="1"/>
        <v>3116550</v>
      </c>
      <c r="J145" s="1110"/>
    </row>
    <row r="146" ht="18.75" customHeight="1">
      <c r="A146" s="1110"/>
      <c r="B146" s="1108" t="s">
        <v>4997</v>
      </c>
      <c r="C146" s="1108" t="s">
        <v>7527</v>
      </c>
      <c r="D146" s="1116" t="s">
        <v>7791</v>
      </c>
      <c r="E146" s="1116" t="s">
        <v>7544</v>
      </c>
      <c r="F146" s="1117">
        <v>0.1</v>
      </c>
      <c r="G146" s="1109">
        <v>0.0</v>
      </c>
      <c r="H146" s="1118">
        <v>2784000.0</v>
      </c>
      <c r="I146" s="1118">
        <f t="shared" si="1"/>
        <v>2530910</v>
      </c>
      <c r="J146" s="1110"/>
    </row>
    <row r="147" ht="18.75" customHeight="1">
      <c r="A147" s="1110"/>
      <c r="B147" s="1108" t="s">
        <v>4997</v>
      </c>
      <c r="C147" s="1108" t="s">
        <v>7516</v>
      </c>
      <c r="D147" s="1116" t="s">
        <v>7792</v>
      </c>
      <c r="E147" s="1116" t="s">
        <v>7546</v>
      </c>
      <c r="F147" s="1117">
        <v>0.1</v>
      </c>
      <c r="G147" s="1109">
        <v>0.0</v>
      </c>
      <c r="H147" s="1118">
        <v>4193100.0</v>
      </c>
      <c r="I147" s="1118">
        <f t="shared" si="1"/>
        <v>3811910</v>
      </c>
      <c r="J147" s="1110"/>
    </row>
    <row r="148" ht="18.75" customHeight="1">
      <c r="A148" s="1110"/>
      <c r="B148" s="1108" t="s">
        <v>4997</v>
      </c>
      <c r="C148" s="1108" t="s">
        <v>7516</v>
      </c>
      <c r="D148" s="1116" t="s">
        <v>7793</v>
      </c>
      <c r="E148" s="1116" t="s">
        <v>7548</v>
      </c>
      <c r="F148" s="1117">
        <v>0.1</v>
      </c>
      <c r="G148" s="1109">
        <v>0.0</v>
      </c>
      <c r="H148" s="1118">
        <v>3548900.0</v>
      </c>
      <c r="I148" s="1118">
        <f t="shared" si="1"/>
        <v>3226270</v>
      </c>
      <c r="J148" s="1110"/>
    </row>
    <row r="149" ht="18.75" customHeight="1">
      <c r="A149" s="1110"/>
      <c r="B149" s="1108" t="s">
        <v>4997</v>
      </c>
      <c r="C149" s="1108" t="s">
        <v>7527</v>
      </c>
      <c r="D149" s="1116" t="s">
        <v>7794</v>
      </c>
      <c r="E149" s="1116" t="s">
        <v>7550</v>
      </c>
      <c r="F149" s="1117">
        <v>0.1</v>
      </c>
      <c r="G149" s="1109">
        <v>0.0</v>
      </c>
      <c r="H149" s="1118">
        <v>2356000.0</v>
      </c>
      <c r="I149" s="1118">
        <f t="shared" si="1"/>
        <v>2141820</v>
      </c>
      <c r="J149" s="1110"/>
    </row>
    <row r="150" ht="18.75" customHeight="1">
      <c r="A150" s="1110"/>
      <c r="B150" s="1108" t="s">
        <v>4997</v>
      </c>
      <c r="C150" s="1108" t="s">
        <v>7516</v>
      </c>
      <c r="D150" s="1116" t="s">
        <v>7795</v>
      </c>
      <c r="E150" s="1116" t="s">
        <v>7552</v>
      </c>
      <c r="F150" s="1117">
        <v>0.1</v>
      </c>
      <c r="G150" s="1109">
        <v>0.0</v>
      </c>
      <c r="H150" s="1118">
        <v>3671100.0</v>
      </c>
      <c r="I150" s="1118">
        <f t="shared" si="1"/>
        <v>3337360</v>
      </c>
      <c r="J150" s="1110"/>
    </row>
    <row r="151" ht="18.75" customHeight="1">
      <c r="A151" s="1110"/>
      <c r="B151" s="1108" t="s">
        <v>4997</v>
      </c>
      <c r="C151" s="1108" t="s">
        <v>7527</v>
      </c>
      <c r="D151" s="1116" t="s">
        <v>7796</v>
      </c>
      <c r="E151" s="1116" t="s">
        <v>7554</v>
      </c>
      <c r="F151" s="1117">
        <v>0.1</v>
      </c>
      <c r="G151" s="1109">
        <v>0.0</v>
      </c>
      <c r="H151" s="1118">
        <v>3070000.0</v>
      </c>
      <c r="I151" s="1118">
        <f t="shared" si="1"/>
        <v>2790910</v>
      </c>
      <c r="J151" s="1110"/>
    </row>
    <row r="152" ht="18.75" customHeight="1">
      <c r="A152" s="1110"/>
      <c r="B152" s="1108" t="s">
        <v>4997</v>
      </c>
      <c r="C152" s="1108" t="s">
        <v>7516</v>
      </c>
      <c r="D152" s="1116" t="s">
        <v>7797</v>
      </c>
      <c r="E152" s="1116" t="s">
        <v>7556</v>
      </c>
      <c r="F152" s="1117">
        <v>0.1</v>
      </c>
      <c r="G152" s="1109">
        <v>0.0</v>
      </c>
      <c r="H152" s="1118">
        <v>4385200.0</v>
      </c>
      <c r="I152" s="1118">
        <f t="shared" si="1"/>
        <v>3986550</v>
      </c>
      <c r="J152" s="1110"/>
    </row>
    <row r="153" ht="18.75" customHeight="1">
      <c r="A153" s="1110"/>
      <c r="B153" s="1108" t="s">
        <v>4997</v>
      </c>
      <c r="C153" s="1108" t="s">
        <v>7516</v>
      </c>
      <c r="D153" s="1116" t="s">
        <v>7798</v>
      </c>
      <c r="E153" s="1116" t="s">
        <v>7558</v>
      </c>
      <c r="F153" s="1117">
        <v>0.1</v>
      </c>
      <c r="G153" s="1109">
        <v>0.0</v>
      </c>
      <c r="H153" s="1118">
        <v>3783900.0</v>
      </c>
      <c r="I153" s="1118">
        <f t="shared" si="1"/>
        <v>3439910</v>
      </c>
      <c r="J153" s="1110"/>
    </row>
    <row r="154" ht="18.75" customHeight="1">
      <c r="A154" s="1110"/>
      <c r="B154" s="1108" t="s">
        <v>4997</v>
      </c>
      <c r="C154" s="1108" t="s">
        <v>7527</v>
      </c>
      <c r="D154" s="1116" t="s">
        <v>7799</v>
      </c>
      <c r="E154" s="1116" t="s">
        <v>7560</v>
      </c>
      <c r="F154" s="1117">
        <v>0.1</v>
      </c>
      <c r="G154" s="1109">
        <v>0.0</v>
      </c>
      <c r="H154" s="1118">
        <v>1796000.0</v>
      </c>
      <c r="I154" s="1118">
        <f t="shared" si="1"/>
        <v>1632730</v>
      </c>
      <c r="J154" s="1110"/>
    </row>
    <row r="155" ht="18.75" customHeight="1">
      <c r="A155" s="1110"/>
      <c r="B155" s="1108" t="s">
        <v>4997</v>
      </c>
      <c r="C155" s="1108" t="s">
        <v>7516</v>
      </c>
      <c r="D155" s="1116" t="s">
        <v>7800</v>
      </c>
      <c r="E155" s="1116" t="s">
        <v>7562</v>
      </c>
      <c r="F155" s="1117">
        <v>0.1</v>
      </c>
      <c r="G155" s="1109">
        <v>0.0</v>
      </c>
      <c r="H155" s="1118">
        <v>2641400.0</v>
      </c>
      <c r="I155" s="1118">
        <f t="shared" si="1"/>
        <v>2401270</v>
      </c>
      <c r="J155" s="1110"/>
    </row>
    <row r="156" ht="18.75" customHeight="1">
      <c r="A156" s="1110"/>
      <c r="B156" s="1108" t="s">
        <v>4997</v>
      </c>
      <c r="C156" s="1108" t="s">
        <v>7527</v>
      </c>
      <c r="D156" s="1116" t="s">
        <v>7801</v>
      </c>
      <c r="E156" s="1116" t="s">
        <v>7564</v>
      </c>
      <c r="F156" s="1117">
        <v>0.1</v>
      </c>
      <c r="G156" s="1109">
        <v>0.0</v>
      </c>
      <c r="H156" s="1118">
        <v>2255000.0</v>
      </c>
      <c r="I156" s="1118">
        <f t="shared" si="1"/>
        <v>2050000</v>
      </c>
      <c r="J156" s="1110"/>
    </row>
    <row r="157" ht="18.75" customHeight="1">
      <c r="A157" s="1110"/>
      <c r="B157" s="1108" t="s">
        <v>4997</v>
      </c>
      <c r="C157" s="1108" t="s">
        <v>7516</v>
      </c>
      <c r="D157" s="1116" t="s">
        <v>7802</v>
      </c>
      <c r="E157" s="1116" t="s">
        <v>7566</v>
      </c>
      <c r="F157" s="1117">
        <v>0.1</v>
      </c>
      <c r="G157" s="1109">
        <v>0.0</v>
      </c>
      <c r="H157" s="1118">
        <v>3100500.0</v>
      </c>
      <c r="I157" s="1118">
        <f t="shared" si="1"/>
        <v>2818640</v>
      </c>
      <c r="J157" s="1110"/>
    </row>
    <row r="158" ht="18.75" customHeight="1">
      <c r="A158" s="1110"/>
      <c r="B158" s="1108" t="s">
        <v>4997</v>
      </c>
      <c r="C158" s="1108" t="s">
        <v>7516</v>
      </c>
      <c r="D158" s="1116" t="s">
        <v>7803</v>
      </c>
      <c r="E158" s="1116" t="s">
        <v>7568</v>
      </c>
      <c r="F158" s="1117">
        <v>0.1</v>
      </c>
      <c r="G158" s="1109">
        <v>0.0</v>
      </c>
      <c r="H158" s="1118">
        <v>2713900.0</v>
      </c>
      <c r="I158" s="1118">
        <f t="shared" si="1"/>
        <v>2467180</v>
      </c>
      <c r="J158" s="1110"/>
    </row>
    <row r="159" ht="18.75" customHeight="1">
      <c r="A159" s="1110"/>
      <c r="B159" s="1108" t="s">
        <v>4997</v>
      </c>
      <c r="C159" s="1108" t="s">
        <v>7527</v>
      </c>
      <c r="D159" s="1116" t="s">
        <v>7804</v>
      </c>
      <c r="E159" s="1116" t="s">
        <v>7570</v>
      </c>
      <c r="F159" s="1117">
        <v>0.1</v>
      </c>
      <c r="G159" s="1109">
        <v>0.0</v>
      </c>
      <c r="H159" s="1118">
        <v>1991600.0</v>
      </c>
      <c r="I159" s="1118">
        <f t="shared" si="1"/>
        <v>1810550</v>
      </c>
      <c r="J159" s="1110"/>
    </row>
    <row r="160" ht="18.75" customHeight="1">
      <c r="A160" s="1110"/>
      <c r="B160" s="1108" t="s">
        <v>4997</v>
      </c>
      <c r="C160" s="1108" t="s">
        <v>7540</v>
      </c>
      <c r="D160" s="1116" t="s">
        <v>7805</v>
      </c>
      <c r="E160" s="1116" t="s">
        <v>7572</v>
      </c>
      <c r="F160" s="1117">
        <v>0.1</v>
      </c>
      <c r="G160" s="1109">
        <v>0.0</v>
      </c>
      <c r="H160" s="1118">
        <v>2743100.0</v>
      </c>
      <c r="I160" s="1118">
        <f t="shared" si="1"/>
        <v>2493730</v>
      </c>
      <c r="J160" s="1110"/>
    </row>
    <row r="161" ht="18.75" customHeight="1">
      <c r="A161" s="1110"/>
      <c r="B161" s="1108" t="s">
        <v>4997</v>
      </c>
      <c r="C161" s="1108" t="s">
        <v>7527</v>
      </c>
      <c r="D161" s="1116" t="s">
        <v>7806</v>
      </c>
      <c r="E161" s="1116" t="s">
        <v>7574</v>
      </c>
      <c r="F161" s="1117">
        <v>0.1</v>
      </c>
      <c r="G161" s="1109">
        <v>0.0</v>
      </c>
      <c r="H161" s="1118">
        <v>2399500.0</v>
      </c>
      <c r="I161" s="1118">
        <f t="shared" si="1"/>
        <v>2181360</v>
      </c>
      <c r="J161" s="1110"/>
    </row>
    <row r="162" ht="18.75" customHeight="1">
      <c r="A162" s="1110"/>
      <c r="B162" s="1108" t="s">
        <v>4997</v>
      </c>
      <c r="C162" s="1108" t="s">
        <v>7516</v>
      </c>
      <c r="D162" s="1116" t="s">
        <v>7807</v>
      </c>
      <c r="E162" s="1116" t="s">
        <v>7576</v>
      </c>
      <c r="F162" s="1117">
        <v>0.1</v>
      </c>
      <c r="G162" s="1109">
        <v>0.0</v>
      </c>
      <c r="H162" s="1118">
        <v>3151100.0</v>
      </c>
      <c r="I162" s="1118">
        <f t="shared" si="1"/>
        <v>2864640</v>
      </c>
      <c r="J162" s="1110"/>
    </row>
    <row r="163" ht="18.75" customHeight="1">
      <c r="A163" s="1110"/>
      <c r="B163" s="1108" t="s">
        <v>4997</v>
      </c>
      <c r="C163" s="1108" t="s">
        <v>7516</v>
      </c>
      <c r="D163" s="1116" t="s">
        <v>7808</v>
      </c>
      <c r="E163" s="1116" t="s">
        <v>7578</v>
      </c>
      <c r="F163" s="1117">
        <v>0.1</v>
      </c>
      <c r="G163" s="1109">
        <v>0.0</v>
      </c>
      <c r="H163" s="1118">
        <v>2807400.0</v>
      </c>
      <c r="I163" s="1118">
        <f t="shared" si="1"/>
        <v>2552180</v>
      </c>
      <c r="J163" s="1110"/>
    </row>
    <row r="164" ht="18.75" customHeight="1">
      <c r="A164" s="1110"/>
      <c r="B164" s="1108" t="s">
        <v>4997</v>
      </c>
      <c r="C164" s="1108" t="s">
        <v>7527</v>
      </c>
      <c r="D164" s="1116" t="s">
        <v>7809</v>
      </c>
      <c r="E164" s="1116" t="s">
        <v>7580</v>
      </c>
      <c r="F164" s="1117">
        <v>0.1</v>
      </c>
      <c r="G164" s="1109">
        <v>0.0</v>
      </c>
      <c r="H164" s="1118">
        <v>2063700.0</v>
      </c>
      <c r="I164" s="1118">
        <f t="shared" si="1"/>
        <v>1876090</v>
      </c>
      <c r="J164" s="1110"/>
    </row>
    <row r="165" ht="18.75" customHeight="1">
      <c r="A165" s="1110"/>
      <c r="B165" s="1108" t="s">
        <v>4997</v>
      </c>
      <c r="C165" s="1108" t="s">
        <v>7516</v>
      </c>
      <c r="D165" s="1116" t="s">
        <v>7810</v>
      </c>
      <c r="E165" s="1116" t="s">
        <v>7582</v>
      </c>
      <c r="F165" s="1117">
        <v>0.1</v>
      </c>
      <c r="G165" s="1109">
        <v>0.0</v>
      </c>
      <c r="H165" s="1118">
        <v>2627400.0</v>
      </c>
      <c r="I165" s="1118">
        <f t="shared" si="1"/>
        <v>2388550</v>
      </c>
      <c r="J165" s="1110"/>
    </row>
    <row r="166" ht="18.75" customHeight="1">
      <c r="A166" s="1110"/>
      <c r="B166" s="1108" t="s">
        <v>4997</v>
      </c>
      <c r="C166" s="1108" t="s">
        <v>7516</v>
      </c>
      <c r="D166" s="1116" t="s">
        <v>7811</v>
      </c>
      <c r="E166" s="1116" t="s">
        <v>7584</v>
      </c>
      <c r="F166" s="1117">
        <v>0.1</v>
      </c>
      <c r="G166" s="1109">
        <v>0.0</v>
      </c>
      <c r="H166" s="1118">
        <v>2369700.0</v>
      </c>
      <c r="I166" s="1118">
        <f t="shared" si="1"/>
        <v>2154270</v>
      </c>
      <c r="J166" s="1110"/>
    </row>
    <row r="167" ht="18.75" customHeight="1">
      <c r="A167" s="1110"/>
      <c r="B167" s="1108" t="s">
        <v>4997</v>
      </c>
      <c r="C167" s="1108" t="s">
        <v>7516</v>
      </c>
      <c r="D167" s="1116" t="s">
        <v>7812</v>
      </c>
      <c r="E167" s="1116" t="s">
        <v>7586</v>
      </c>
      <c r="F167" s="1117">
        <v>0.1</v>
      </c>
      <c r="G167" s="1109">
        <v>0.0</v>
      </c>
      <c r="H167" s="1118">
        <v>2933400.0</v>
      </c>
      <c r="I167" s="1118">
        <f t="shared" si="1"/>
        <v>2666730</v>
      </c>
      <c r="J167" s="1110"/>
    </row>
    <row r="168" ht="18.75" customHeight="1">
      <c r="A168" s="1110"/>
      <c r="B168" s="1108" t="s">
        <v>4997</v>
      </c>
      <c r="C168" s="1108" t="s">
        <v>7516</v>
      </c>
      <c r="D168" s="1116" t="s">
        <v>7813</v>
      </c>
      <c r="E168" s="1116" t="s">
        <v>7588</v>
      </c>
      <c r="F168" s="1117">
        <v>0.1</v>
      </c>
      <c r="G168" s="1109">
        <v>0.0</v>
      </c>
      <c r="H168" s="1118">
        <v>2675600.0</v>
      </c>
      <c r="I168" s="1118">
        <f t="shared" si="1"/>
        <v>2432360</v>
      </c>
      <c r="J168" s="1110"/>
    </row>
    <row r="169" ht="18.75" customHeight="1">
      <c r="A169" s="1110"/>
      <c r="B169" s="1108" t="s">
        <v>4997</v>
      </c>
      <c r="C169" s="1108" t="s">
        <v>7527</v>
      </c>
      <c r="D169" s="1116" t="s">
        <v>7814</v>
      </c>
      <c r="E169" s="1116" t="s">
        <v>7590</v>
      </c>
      <c r="F169" s="1117">
        <v>0.1</v>
      </c>
      <c r="G169" s="1109">
        <v>0.0</v>
      </c>
      <c r="H169" s="1118">
        <v>2219000.0</v>
      </c>
      <c r="I169" s="1118">
        <f t="shared" si="1"/>
        <v>2017270</v>
      </c>
      <c r="J169" s="1110"/>
    </row>
    <row r="170" ht="18.75" customHeight="1">
      <c r="A170" s="1110"/>
      <c r="B170" s="1108" t="s">
        <v>4997</v>
      </c>
      <c r="C170" s="1108" t="s">
        <v>7516</v>
      </c>
      <c r="D170" s="1116" t="s">
        <v>7815</v>
      </c>
      <c r="E170" s="1116" t="s">
        <v>7592</v>
      </c>
      <c r="F170" s="1117">
        <v>0.1</v>
      </c>
      <c r="G170" s="1109">
        <v>0.0</v>
      </c>
      <c r="H170" s="1118">
        <v>2688700.0</v>
      </c>
      <c r="I170" s="1118">
        <f t="shared" si="1"/>
        <v>2444270</v>
      </c>
      <c r="J170" s="1110"/>
    </row>
    <row r="171" ht="18.75" customHeight="1">
      <c r="A171" s="1110"/>
      <c r="B171" s="1108" t="s">
        <v>4997</v>
      </c>
      <c r="C171" s="1108" t="s">
        <v>7516</v>
      </c>
      <c r="D171" s="1116" t="s">
        <v>7816</v>
      </c>
      <c r="E171" s="1116" t="s">
        <v>7594</v>
      </c>
      <c r="F171" s="1117">
        <v>0.1</v>
      </c>
      <c r="G171" s="1109">
        <v>0.0</v>
      </c>
      <c r="H171" s="1118">
        <v>2474000.0</v>
      </c>
      <c r="I171" s="1118">
        <f t="shared" si="1"/>
        <v>2249090</v>
      </c>
      <c r="J171" s="1110"/>
    </row>
    <row r="172" ht="18.75" customHeight="1">
      <c r="A172" s="1110"/>
      <c r="B172" s="1108" t="s">
        <v>4997</v>
      </c>
      <c r="C172" s="1108" t="s">
        <v>7516</v>
      </c>
      <c r="D172" s="1116" t="s">
        <v>7817</v>
      </c>
      <c r="E172" s="1116" t="s">
        <v>7596</v>
      </c>
      <c r="F172" s="1117">
        <v>0.1</v>
      </c>
      <c r="G172" s="1109">
        <v>0.0</v>
      </c>
      <c r="H172" s="1118">
        <v>2943700.0</v>
      </c>
      <c r="I172" s="1118">
        <f t="shared" si="1"/>
        <v>2676090</v>
      </c>
      <c r="J172" s="1110"/>
    </row>
    <row r="173" ht="18.75" customHeight="1">
      <c r="A173" s="1110"/>
      <c r="B173" s="1108" t="s">
        <v>4997</v>
      </c>
      <c r="C173" s="1108" t="s">
        <v>7516</v>
      </c>
      <c r="D173" s="1116" t="s">
        <v>7818</v>
      </c>
      <c r="E173" s="1116" t="s">
        <v>7598</v>
      </c>
      <c r="F173" s="1117">
        <v>0.1</v>
      </c>
      <c r="G173" s="1109">
        <v>0.0</v>
      </c>
      <c r="H173" s="1118">
        <v>2729000.0</v>
      </c>
      <c r="I173" s="1118">
        <f t="shared" si="1"/>
        <v>2480910</v>
      </c>
      <c r="J173" s="1110"/>
    </row>
    <row r="174" ht="18.75" customHeight="1">
      <c r="A174" s="1110"/>
      <c r="B174" s="1108" t="s">
        <v>4997</v>
      </c>
      <c r="C174" s="1108" t="s">
        <v>7527</v>
      </c>
      <c r="D174" s="1116" t="s">
        <v>7819</v>
      </c>
      <c r="E174" s="1116" t="s">
        <v>7600</v>
      </c>
      <c r="F174" s="1117">
        <v>0.1</v>
      </c>
      <c r="G174" s="1109">
        <v>0.0</v>
      </c>
      <c r="H174" s="1118">
        <v>2247100.0</v>
      </c>
      <c r="I174" s="1118">
        <f t="shared" si="1"/>
        <v>2042820</v>
      </c>
      <c r="J174" s="1110"/>
    </row>
    <row r="175" ht="18.75" customHeight="1">
      <c r="A175" s="1110"/>
      <c r="B175" s="1108" t="s">
        <v>4997</v>
      </c>
      <c r="C175" s="1108" t="s">
        <v>7516</v>
      </c>
      <c r="D175" s="1116" t="s">
        <v>7820</v>
      </c>
      <c r="E175" s="1116" t="s">
        <v>7602</v>
      </c>
      <c r="F175" s="1117">
        <v>0.1</v>
      </c>
      <c r="G175" s="1109">
        <v>0.0</v>
      </c>
      <c r="H175" s="1118">
        <v>2622800.0</v>
      </c>
      <c r="I175" s="1118">
        <f t="shared" si="1"/>
        <v>2384360</v>
      </c>
      <c r="J175" s="1110"/>
    </row>
    <row r="176" ht="18.75" customHeight="1">
      <c r="A176" s="1110"/>
      <c r="B176" s="1108" t="s">
        <v>4997</v>
      </c>
      <c r="C176" s="1108" t="s">
        <v>7516</v>
      </c>
      <c r="D176" s="1116" t="s">
        <v>7821</v>
      </c>
      <c r="E176" s="1116" t="s">
        <v>7604</v>
      </c>
      <c r="F176" s="1117">
        <v>0.1</v>
      </c>
      <c r="G176" s="1109">
        <v>0.0</v>
      </c>
      <c r="H176" s="1118">
        <v>2451000.0</v>
      </c>
      <c r="I176" s="1118">
        <f t="shared" si="1"/>
        <v>2228180</v>
      </c>
      <c r="J176" s="1110"/>
    </row>
    <row r="177" ht="18.75" customHeight="1">
      <c r="A177" s="1110"/>
      <c r="B177" s="1108" t="s">
        <v>4997</v>
      </c>
      <c r="C177" s="1108" t="s">
        <v>7516</v>
      </c>
      <c r="D177" s="1116" t="s">
        <v>7822</v>
      </c>
      <c r="E177" s="1116" t="s">
        <v>7606</v>
      </c>
      <c r="F177" s="1117">
        <v>0.1</v>
      </c>
      <c r="G177" s="1109">
        <v>0.0</v>
      </c>
      <c r="H177" s="1118">
        <v>2826800.0</v>
      </c>
      <c r="I177" s="1118">
        <f t="shared" si="1"/>
        <v>2569820</v>
      </c>
      <c r="J177" s="1110"/>
    </row>
    <row r="178" ht="18.75" customHeight="1">
      <c r="A178" s="1110"/>
      <c r="B178" s="1108" t="s">
        <v>4997</v>
      </c>
      <c r="C178" s="1108" t="s">
        <v>7516</v>
      </c>
      <c r="D178" s="1116" t="s">
        <v>7823</v>
      </c>
      <c r="E178" s="1116" t="s">
        <v>7608</v>
      </c>
      <c r="F178" s="1117">
        <v>0.1</v>
      </c>
      <c r="G178" s="1109">
        <v>0.0</v>
      </c>
      <c r="H178" s="1118">
        <v>2655000.0</v>
      </c>
      <c r="I178" s="1118">
        <f t="shared" si="1"/>
        <v>2413640</v>
      </c>
      <c r="J178" s="1110"/>
    </row>
    <row r="179" ht="18.75" customHeight="1">
      <c r="A179" s="1110"/>
      <c r="B179" s="1108" t="s">
        <v>4997</v>
      </c>
      <c r="C179" s="1108" t="s">
        <v>7516</v>
      </c>
      <c r="D179" s="1116" t="s">
        <v>7824</v>
      </c>
      <c r="E179" s="1116" t="s">
        <v>7701</v>
      </c>
      <c r="F179" s="1117">
        <v>0.1</v>
      </c>
      <c r="G179" s="1109">
        <v>0.0</v>
      </c>
      <c r="H179" s="1118">
        <v>1844900.0</v>
      </c>
      <c r="I179" s="1118">
        <f t="shared" si="1"/>
        <v>1677180</v>
      </c>
      <c r="J179" s="1110"/>
    </row>
    <row r="180" ht="18.75" customHeight="1">
      <c r="A180" s="1110"/>
      <c r="B180" s="1108" t="s">
        <v>4997</v>
      </c>
      <c r="C180" s="1108" t="s">
        <v>7704</v>
      </c>
      <c r="D180" s="1116" t="s">
        <v>7825</v>
      </c>
      <c r="E180" s="1116" t="s">
        <v>7712</v>
      </c>
      <c r="F180" s="1117">
        <v>0.1</v>
      </c>
      <c r="G180" s="1109">
        <v>0.0</v>
      </c>
      <c r="H180" s="1118">
        <v>2737400.0</v>
      </c>
      <c r="I180" s="1118">
        <f t="shared" si="1"/>
        <v>2488550</v>
      </c>
      <c r="J180" s="1110"/>
    </row>
    <row r="181" ht="18.75" customHeight="1">
      <c r="A181" s="1110"/>
      <c r="B181" s="1108" t="s">
        <v>4997</v>
      </c>
      <c r="C181" s="1108" t="s">
        <v>7516</v>
      </c>
      <c r="D181" s="1116" t="s">
        <v>7826</v>
      </c>
      <c r="E181" s="1116" t="s">
        <v>7718</v>
      </c>
      <c r="F181" s="1117">
        <v>0.1</v>
      </c>
      <c r="G181" s="1109">
        <v>0.0</v>
      </c>
      <c r="H181" s="1118">
        <v>278100.0</v>
      </c>
      <c r="I181" s="1118">
        <f t="shared" si="1"/>
        <v>252820</v>
      </c>
      <c r="J181" s="1110"/>
    </row>
    <row r="182" ht="18.75" customHeight="1">
      <c r="A182" s="1110"/>
      <c r="B182" s="1108" t="s">
        <v>4997</v>
      </c>
      <c r="C182" s="1108" t="s">
        <v>7516</v>
      </c>
      <c r="D182" s="1116" t="s">
        <v>7827</v>
      </c>
      <c r="E182" s="1116" t="s">
        <v>7720</v>
      </c>
      <c r="F182" s="1117">
        <v>0.1</v>
      </c>
      <c r="G182" s="1109">
        <v>0.0</v>
      </c>
      <c r="H182" s="1118">
        <v>1230200.0</v>
      </c>
      <c r="I182" s="1118">
        <f t="shared" si="1"/>
        <v>1118360</v>
      </c>
      <c r="J182" s="1110"/>
    </row>
    <row r="183" ht="18.75" customHeight="1">
      <c r="A183" s="1110"/>
      <c r="B183" s="1108" t="s">
        <v>4997</v>
      </c>
      <c r="C183" s="1108" t="s">
        <v>7704</v>
      </c>
      <c r="D183" s="1116" t="s">
        <v>7828</v>
      </c>
      <c r="E183" s="1116" t="s">
        <v>7722</v>
      </c>
      <c r="F183" s="1117">
        <v>0.1</v>
      </c>
      <c r="G183" s="1109">
        <v>0.0</v>
      </c>
      <c r="H183" s="1118">
        <v>2316900.0</v>
      </c>
      <c r="I183" s="1118">
        <f t="shared" si="1"/>
        <v>2106270</v>
      </c>
      <c r="J183" s="1110"/>
    </row>
    <row r="184" ht="18.75" customHeight="1">
      <c r="A184" s="1110"/>
      <c r="B184" s="1108" t="s">
        <v>4997</v>
      </c>
      <c r="C184" s="1108" t="s">
        <v>7516</v>
      </c>
      <c r="D184" s="1116" t="s">
        <v>7829</v>
      </c>
      <c r="E184" s="1116" t="s">
        <v>7724</v>
      </c>
      <c r="F184" s="1117">
        <v>0.1</v>
      </c>
      <c r="G184" s="1109">
        <v>0.0</v>
      </c>
      <c r="H184" s="1118">
        <v>3933900.0</v>
      </c>
      <c r="I184" s="1118">
        <f t="shared" si="1"/>
        <v>3576270</v>
      </c>
      <c r="J184" s="1110"/>
    </row>
    <row r="185" ht="18.75" customHeight="1">
      <c r="A185" s="1110"/>
      <c r="B185" s="1108" t="s">
        <v>4997</v>
      </c>
      <c r="C185" s="1108" t="s">
        <v>7516</v>
      </c>
      <c r="D185" s="1116" t="s">
        <v>7830</v>
      </c>
      <c r="E185" s="1116" t="s">
        <v>7726</v>
      </c>
      <c r="F185" s="1117">
        <v>0.1</v>
      </c>
      <c r="G185" s="1109">
        <v>0.0</v>
      </c>
      <c r="H185" s="1118">
        <v>3194700.0</v>
      </c>
      <c r="I185" s="1118">
        <f t="shared" si="1"/>
        <v>2904270</v>
      </c>
      <c r="J185" s="1110"/>
    </row>
    <row r="186" ht="18.75" customHeight="1">
      <c r="A186" s="1110"/>
      <c r="B186" s="1108" t="s">
        <v>4997</v>
      </c>
      <c r="C186" s="1108" t="s">
        <v>7516</v>
      </c>
      <c r="D186" s="1116" t="s">
        <v>7831</v>
      </c>
      <c r="E186" s="1116" t="s">
        <v>7728</v>
      </c>
      <c r="F186" s="1117">
        <v>0.1</v>
      </c>
      <c r="G186" s="1109">
        <v>0.0</v>
      </c>
      <c r="H186" s="1118">
        <v>4811700.0</v>
      </c>
      <c r="I186" s="1118">
        <f t="shared" si="1"/>
        <v>4374270</v>
      </c>
      <c r="J186" s="1110"/>
    </row>
    <row r="187" ht="18.75" customHeight="1">
      <c r="A187" s="1110"/>
      <c r="B187" s="1108" t="s">
        <v>4997</v>
      </c>
      <c r="C187" s="1108" t="s">
        <v>7516</v>
      </c>
      <c r="D187" s="1116" t="s">
        <v>7832</v>
      </c>
      <c r="E187" s="1116" t="s">
        <v>7730</v>
      </c>
      <c r="F187" s="1117">
        <v>0.1</v>
      </c>
      <c r="G187" s="1109">
        <v>0.0</v>
      </c>
      <c r="H187" s="1118">
        <v>4072500.0</v>
      </c>
      <c r="I187" s="1118">
        <f t="shared" si="1"/>
        <v>3702270</v>
      </c>
      <c r="J187" s="1110"/>
    </row>
    <row r="188" ht="18.75" customHeight="1">
      <c r="A188" s="1110"/>
      <c r="B188" s="1108" t="s">
        <v>4997</v>
      </c>
      <c r="C188" s="1108" t="s">
        <v>7704</v>
      </c>
      <c r="D188" s="1116" t="s">
        <v>7833</v>
      </c>
      <c r="E188" s="1116" t="s">
        <v>7834</v>
      </c>
      <c r="F188" s="1117">
        <v>0.1</v>
      </c>
      <c r="G188" s="1109">
        <v>0.0</v>
      </c>
      <c r="H188" s="1118">
        <v>1823900.0</v>
      </c>
      <c r="I188" s="1118">
        <f t="shared" si="1"/>
        <v>1658090</v>
      </c>
      <c r="J188" s="1110"/>
    </row>
    <row r="189" ht="18.75" customHeight="1">
      <c r="A189" s="1110"/>
      <c r="B189" s="1108" t="s">
        <v>4997</v>
      </c>
      <c r="C189" s="1108" t="s">
        <v>7704</v>
      </c>
      <c r="D189" s="1116" t="s">
        <v>7835</v>
      </c>
      <c r="E189" s="1116" t="s">
        <v>7836</v>
      </c>
      <c r="F189" s="1117">
        <v>0.1</v>
      </c>
      <c r="G189" s="1109">
        <v>0.0</v>
      </c>
      <c r="H189" s="1118">
        <v>2290100.0</v>
      </c>
      <c r="I189" s="1118">
        <f t="shared" si="1"/>
        <v>2081910</v>
      </c>
      <c r="J189" s="1110"/>
    </row>
    <row r="190" ht="18.75" customHeight="1">
      <c r="A190" s="1110"/>
      <c r="B190" s="1108" t="s">
        <v>4997</v>
      </c>
      <c r="C190" s="1108" t="s">
        <v>7704</v>
      </c>
      <c r="D190" s="1116" t="s">
        <v>7837</v>
      </c>
      <c r="E190" s="1116" t="s">
        <v>7838</v>
      </c>
      <c r="F190" s="1117">
        <v>0.1</v>
      </c>
      <c r="G190" s="1109">
        <v>0.0</v>
      </c>
      <c r="H190" s="1118">
        <v>2290100.0</v>
      </c>
      <c r="I190" s="1118">
        <f t="shared" si="1"/>
        <v>2081910</v>
      </c>
      <c r="J190" s="1110"/>
    </row>
    <row r="191" ht="18.75" customHeight="1">
      <c r="A191" s="1110"/>
      <c r="B191" s="1108" t="s">
        <v>4997</v>
      </c>
      <c r="C191" s="1108" t="s">
        <v>7704</v>
      </c>
      <c r="D191" s="1116" t="s">
        <v>7839</v>
      </c>
      <c r="E191" s="1116" t="s">
        <v>7840</v>
      </c>
      <c r="F191" s="1117">
        <v>0.1</v>
      </c>
      <c r="G191" s="1109">
        <v>0.0</v>
      </c>
      <c r="H191" s="1118">
        <v>3148600.0</v>
      </c>
      <c r="I191" s="1118">
        <f t="shared" si="1"/>
        <v>2862360</v>
      </c>
      <c r="J191" s="1110"/>
    </row>
    <row r="192" ht="18.75" customHeight="1">
      <c r="A192" s="1110"/>
      <c r="B192" s="1108" t="s">
        <v>4997</v>
      </c>
      <c r="C192" s="1108" t="s">
        <v>7516</v>
      </c>
      <c r="D192" s="1116" t="s">
        <v>7841</v>
      </c>
      <c r="E192" s="1116" t="s">
        <v>7732</v>
      </c>
      <c r="F192" s="1117">
        <v>0.1</v>
      </c>
      <c r="G192" s="1109">
        <v>0.0</v>
      </c>
      <c r="H192" s="1118">
        <v>2290000.0</v>
      </c>
      <c r="I192" s="1118">
        <f t="shared" si="1"/>
        <v>2081820</v>
      </c>
      <c r="J192" s="1110"/>
    </row>
    <row r="193" ht="18.75" customHeight="1">
      <c r="A193" s="1110"/>
      <c r="B193" s="1108" t="s">
        <v>4997</v>
      </c>
      <c r="C193" s="1108" t="s">
        <v>7516</v>
      </c>
      <c r="D193" s="1116" t="s">
        <v>7842</v>
      </c>
      <c r="E193" s="1116" t="s">
        <v>7736</v>
      </c>
      <c r="F193" s="1117">
        <v>0.1</v>
      </c>
      <c r="G193" s="1109">
        <v>0.0</v>
      </c>
      <c r="H193" s="1118">
        <v>2875200.0</v>
      </c>
      <c r="I193" s="1118">
        <f t="shared" si="1"/>
        <v>2613820</v>
      </c>
      <c r="J193" s="1110"/>
    </row>
    <row r="194" ht="18.75" customHeight="1">
      <c r="A194" s="1110"/>
      <c r="B194" s="1108" t="s">
        <v>4997</v>
      </c>
      <c r="C194" s="1108" t="s">
        <v>7516</v>
      </c>
      <c r="D194" s="1116" t="s">
        <v>7843</v>
      </c>
      <c r="E194" s="1116" t="s">
        <v>7844</v>
      </c>
      <c r="F194" s="1117">
        <v>0.1</v>
      </c>
      <c r="G194" s="1109">
        <v>0.0</v>
      </c>
      <c r="H194" s="1118">
        <v>2093100.0</v>
      </c>
      <c r="I194" s="1118">
        <f t="shared" si="1"/>
        <v>1902820</v>
      </c>
      <c r="J194" s="1110"/>
    </row>
    <row r="195" ht="18.75" customHeight="1">
      <c r="A195" s="1110"/>
      <c r="B195" s="1108" t="s">
        <v>4997</v>
      </c>
      <c r="C195" s="1108" t="s">
        <v>7516</v>
      </c>
      <c r="D195" s="1116" t="s">
        <v>7845</v>
      </c>
      <c r="E195" s="1116" t="s">
        <v>7846</v>
      </c>
      <c r="F195" s="1117">
        <v>0.1</v>
      </c>
      <c r="G195" s="1109">
        <v>0.0</v>
      </c>
      <c r="H195" s="1118">
        <v>2627900.0</v>
      </c>
      <c r="I195" s="1118">
        <f t="shared" si="1"/>
        <v>2389000</v>
      </c>
      <c r="J195" s="1110"/>
    </row>
    <row r="196" ht="18.75" customHeight="1">
      <c r="A196" s="1110"/>
      <c r="B196" s="1108" t="s">
        <v>4997</v>
      </c>
      <c r="C196" s="1108" t="s">
        <v>7516</v>
      </c>
      <c r="D196" s="1116" t="s">
        <v>7847</v>
      </c>
      <c r="E196" s="1116" t="s">
        <v>7742</v>
      </c>
      <c r="F196" s="1117">
        <v>0.1</v>
      </c>
      <c r="G196" s="1109">
        <v>0.0</v>
      </c>
      <c r="H196" s="1118">
        <v>2275400.0</v>
      </c>
      <c r="I196" s="1118">
        <f t="shared" si="1"/>
        <v>2068550</v>
      </c>
      <c r="J196" s="1110"/>
    </row>
    <row r="197" ht="18.75" customHeight="1">
      <c r="A197" s="1110"/>
      <c r="B197" s="1108" t="s">
        <v>4997</v>
      </c>
      <c r="C197" s="1108" t="s">
        <v>7516</v>
      </c>
      <c r="D197" s="1116" t="s">
        <v>7848</v>
      </c>
      <c r="E197" s="1116" t="s">
        <v>7746</v>
      </c>
      <c r="F197" s="1117">
        <v>0.1</v>
      </c>
      <c r="G197" s="1109">
        <v>0.0</v>
      </c>
      <c r="H197" s="1118">
        <v>2856700.0</v>
      </c>
      <c r="I197" s="1118">
        <f t="shared" si="1"/>
        <v>2597000</v>
      </c>
      <c r="J197" s="1110"/>
    </row>
    <row r="198" ht="18.75" customHeight="1">
      <c r="A198" s="1110"/>
      <c r="B198" s="1108" t="s">
        <v>4997</v>
      </c>
      <c r="C198" s="1108" t="s">
        <v>7516</v>
      </c>
      <c r="D198" s="1116" t="s">
        <v>7849</v>
      </c>
      <c r="E198" s="1116" t="s">
        <v>7750</v>
      </c>
      <c r="F198" s="1117">
        <v>0.1</v>
      </c>
      <c r="G198" s="1109">
        <v>0.0</v>
      </c>
      <c r="H198" s="1119">
        <v>3441900.0</v>
      </c>
      <c r="I198" s="1118">
        <f t="shared" si="1"/>
        <v>3129000</v>
      </c>
      <c r="J198" s="1110"/>
    </row>
    <row r="199" ht="18.75" customHeight="1">
      <c r="A199" s="1110"/>
      <c r="B199" s="1108" t="s">
        <v>4997</v>
      </c>
      <c r="C199" s="1108" t="s">
        <v>7516</v>
      </c>
      <c r="D199" s="1116" t="s">
        <v>7850</v>
      </c>
      <c r="E199" s="1116" t="s">
        <v>7752</v>
      </c>
      <c r="F199" s="1117">
        <v>0.1</v>
      </c>
      <c r="G199" s="1109">
        <v>0.0</v>
      </c>
      <c r="H199" s="1118">
        <v>4519900.0</v>
      </c>
      <c r="I199" s="1118">
        <f t="shared" si="1"/>
        <v>4109000</v>
      </c>
      <c r="J199" s="1110"/>
    </row>
    <row r="200" ht="18.75" customHeight="1">
      <c r="A200" s="1110"/>
      <c r="B200" s="1108" t="s">
        <v>4997</v>
      </c>
      <c r="C200" s="1108" t="s">
        <v>7516</v>
      </c>
      <c r="D200" s="1116" t="s">
        <v>7851</v>
      </c>
      <c r="E200" s="1116" t="s">
        <v>7754</v>
      </c>
      <c r="F200" s="1117">
        <v>0.1</v>
      </c>
      <c r="G200" s="1109">
        <v>0.0</v>
      </c>
      <c r="H200" s="1118">
        <v>4027100.0</v>
      </c>
      <c r="I200" s="1118">
        <f t="shared" si="1"/>
        <v>3661000</v>
      </c>
      <c r="J200" s="1110"/>
    </row>
    <row r="201" ht="18.75" customHeight="1">
      <c r="A201" s="1110"/>
      <c r="B201" s="1108" t="s">
        <v>4997</v>
      </c>
      <c r="C201" s="1108" t="s">
        <v>7516</v>
      </c>
      <c r="D201" s="1116" t="s">
        <v>7852</v>
      </c>
      <c r="E201" s="1116" t="s">
        <v>7756</v>
      </c>
      <c r="F201" s="1117">
        <v>0.1</v>
      </c>
      <c r="G201" s="1109">
        <v>0.0</v>
      </c>
      <c r="H201" s="1118">
        <v>3324900.0</v>
      </c>
      <c r="I201" s="1118">
        <f t="shared" si="1"/>
        <v>3022640</v>
      </c>
      <c r="J201" s="1110"/>
    </row>
    <row r="202" ht="18.75" customHeight="1">
      <c r="A202" s="1110"/>
      <c r="B202" s="1108" t="s">
        <v>4997</v>
      </c>
      <c r="C202" s="1108" t="s">
        <v>7516</v>
      </c>
      <c r="D202" s="1116" t="s">
        <v>7853</v>
      </c>
      <c r="E202" s="1116" t="s">
        <v>7758</v>
      </c>
      <c r="F202" s="1117">
        <v>0.1</v>
      </c>
      <c r="G202" s="1109">
        <v>0.0</v>
      </c>
      <c r="H202" s="1118">
        <v>4056400.0</v>
      </c>
      <c r="I202" s="1118">
        <f t="shared" si="1"/>
        <v>3687640</v>
      </c>
      <c r="J202" s="1110"/>
    </row>
    <row r="203" ht="18.75" customHeight="1">
      <c r="A203" s="1110"/>
      <c r="B203" s="1108" t="s">
        <v>4997</v>
      </c>
      <c r="C203" s="1108" t="s">
        <v>7704</v>
      </c>
      <c r="D203" s="1116" t="s">
        <v>7854</v>
      </c>
      <c r="E203" s="1116" t="s">
        <v>7764</v>
      </c>
      <c r="F203" s="1117">
        <v>0.1</v>
      </c>
      <c r="G203" s="1109">
        <v>0.0</v>
      </c>
      <c r="H203" s="1118">
        <v>5678000.0</v>
      </c>
      <c r="I203" s="1118">
        <f t="shared" si="1"/>
        <v>5161820</v>
      </c>
      <c r="J203" s="1110"/>
    </row>
    <row r="204" ht="18.75" customHeight="1">
      <c r="A204" s="1110"/>
      <c r="B204" s="1108" t="s">
        <v>4997</v>
      </c>
      <c r="C204" s="1108" t="s">
        <v>7516</v>
      </c>
      <c r="D204" s="1116" t="s">
        <v>7855</v>
      </c>
      <c r="E204" s="1116" t="s">
        <v>7760</v>
      </c>
      <c r="F204" s="1117">
        <v>0.1</v>
      </c>
      <c r="G204" s="1109">
        <v>0.0</v>
      </c>
      <c r="H204" s="1118">
        <v>5092800.0</v>
      </c>
      <c r="I204" s="1118">
        <f t="shared" si="1"/>
        <v>4629820</v>
      </c>
      <c r="J204" s="1110"/>
    </row>
    <row r="205" ht="18.75" customHeight="1">
      <c r="A205" s="1110"/>
      <c r="B205" s="1108" t="s">
        <v>4997</v>
      </c>
      <c r="C205" s="1108" t="s">
        <v>7516</v>
      </c>
      <c r="D205" s="1116" t="s">
        <v>7856</v>
      </c>
      <c r="E205" s="1116" t="s">
        <v>7857</v>
      </c>
      <c r="F205" s="1117">
        <v>0.1</v>
      </c>
      <c r="G205" s="1109">
        <v>0.0</v>
      </c>
      <c r="H205" s="1116"/>
      <c r="I205" s="1118" t="str">
        <f t="shared" si="1"/>
        <v/>
      </c>
      <c r="J205" s="1110"/>
    </row>
    <row r="206" ht="18.75" customHeight="1">
      <c r="A206" s="1110"/>
      <c r="B206" s="1108" t="s">
        <v>4997</v>
      </c>
      <c r="C206" s="1108" t="s">
        <v>7516</v>
      </c>
      <c r="D206" s="1116" t="s">
        <v>7858</v>
      </c>
      <c r="E206" s="1116" t="s">
        <v>7859</v>
      </c>
      <c r="F206" s="1117">
        <v>0.1</v>
      </c>
      <c r="G206" s="1109">
        <v>0.0</v>
      </c>
      <c r="H206" s="1116"/>
      <c r="I206" s="1118" t="str">
        <f t="shared" si="1"/>
        <v/>
      </c>
      <c r="J206" s="1110"/>
    </row>
    <row r="207" ht="18.75" customHeight="1">
      <c r="A207" s="1110"/>
      <c r="B207" s="1108" t="s">
        <v>6336</v>
      </c>
      <c r="C207" s="1108" t="s">
        <v>7860</v>
      </c>
      <c r="D207" s="1116" t="s">
        <v>1276</v>
      </c>
      <c r="E207" s="1116" t="s">
        <v>7861</v>
      </c>
      <c r="F207" s="1117">
        <v>0.1</v>
      </c>
      <c r="G207" s="1109">
        <v>0.0</v>
      </c>
      <c r="H207" s="1118">
        <v>921900.0</v>
      </c>
      <c r="I207" s="1118">
        <f t="shared" si="1"/>
        <v>838090</v>
      </c>
      <c r="J207" s="1110"/>
    </row>
    <row r="208" ht="18.75" customHeight="1">
      <c r="A208" s="1110"/>
      <c r="B208" s="1108" t="s">
        <v>6030</v>
      </c>
      <c r="C208" s="1108" t="s">
        <v>7860</v>
      </c>
      <c r="D208" s="1116" t="s">
        <v>7862</v>
      </c>
      <c r="E208" s="1120" t="s">
        <v>7863</v>
      </c>
      <c r="F208" s="1117">
        <v>0.1</v>
      </c>
      <c r="G208" s="1109">
        <v>0.0</v>
      </c>
      <c r="H208" s="1118">
        <v>1217000.0</v>
      </c>
      <c r="I208" s="1118">
        <f t="shared" si="1"/>
        <v>1106360</v>
      </c>
      <c r="J208" s="1110"/>
    </row>
    <row r="209" ht="18.75" customHeight="1">
      <c r="A209" s="1110"/>
      <c r="B209" s="1108" t="s">
        <v>6030</v>
      </c>
      <c r="C209" s="1108" t="s">
        <v>7860</v>
      </c>
      <c r="D209" s="1116" t="s">
        <v>1270</v>
      </c>
      <c r="E209" s="1116" t="s">
        <v>1271</v>
      </c>
      <c r="F209" s="1117">
        <v>0.1</v>
      </c>
      <c r="G209" s="1109">
        <v>0.0</v>
      </c>
      <c r="H209" s="1118">
        <v>600200.0</v>
      </c>
      <c r="I209" s="1118">
        <f t="shared" si="1"/>
        <v>545640</v>
      </c>
      <c r="J209" s="1110"/>
    </row>
    <row r="210" ht="18.75" customHeight="1">
      <c r="A210" s="1110"/>
      <c r="B210" s="1108" t="s">
        <v>7864</v>
      </c>
      <c r="C210" s="1108" t="s">
        <v>7860</v>
      </c>
      <c r="D210" s="1116" t="s">
        <v>1268</v>
      </c>
      <c r="E210" s="1116" t="s">
        <v>7865</v>
      </c>
      <c r="F210" s="1117">
        <v>0.1</v>
      </c>
      <c r="G210" s="1109">
        <v>0.0</v>
      </c>
      <c r="H210" s="1118">
        <v>997000.0</v>
      </c>
      <c r="I210" s="1118">
        <f t="shared" si="1"/>
        <v>906360</v>
      </c>
      <c r="J210" s="1110"/>
    </row>
    <row r="211" ht="18.75" customHeight="1">
      <c r="A211" s="1110"/>
      <c r="B211" s="1108" t="s">
        <v>7864</v>
      </c>
      <c r="C211" s="1108" t="s">
        <v>7860</v>
      </c>
      <c r="D211" s="1116" t="s">
        <v>7866</v>
      </c>
      <c r="E211" s="1116" t="s">
        <v>7867</v>
      </c>
      <c r="F211" s="1117">
        <v>0.1</v>
      </c>
      <c r="G211" s="1109">
        <v>0.0</v>
      </c>
      <c r="H211" s="1118">
        <v>1009700.0</v>
      </c>
      <c r="I211" s="1118">
        <f t="shared" si="1"/>
        <v>917910</v>
      </c>
      <c r="J211" s="1110"/>
    </row>
    <row r="212" ht="18.75" customHeight="1">
      <c r="A212" s="1110"/>
      <c r="B212" s="1108" t="s">
        <v>7864</v>
      </c>
      <c r="C212" s="1108" t="s">
        <v>7860</v>
      </c>
      <c r="D212" s="1116" t="s">
        <v>1272</v>
      </c>
      <c r="E212" s="1116" t="s">
        <v>7868</v>
      </c>
      <c r="F212" s="1117">
        <v>0.1</v>
      </c>
      <c r="G212" s="1109">
        <v>0.0</v>
      </c>
      <c r="H212" s="1118">
        <v>1294700.0</v>
      </c>
      <c r="I212" s="1118">
        <f t="shared" si="1"/>
        <v>1177000</v>
      </c>
      <c r="J212" s="1110"/>
    </row>
    <row r="213" ht="18.75" customHeight="1">
      <c r="A213" s="1110"/>
      <c r="B213" s="1108" t="s">
        <v>7864</v>
      </c>
      <c r="C213" s="1108" t="s">
        <v>7860</v>
      </c>
      <c r="D213" s="1116" t="s">
        <v>1274</v>
      </c>
      <c r="E213" s="1116" t="s">
        <v>7869</v>
      </c>
      <c r="F213" s="1117">
        <v>0.1</v>
      </c>
      <c r="G213" s="1109">
        <v>0.0</v>
      </c>
      <c r="H213" s="1118">
        <v>1067300.0</v>
      </c>
      <c r="I213" s="1118">
        <f t="shared" si="1"/>
        <v>970270</v>
      </c>
      <c r="J213" s="1110"/>
    </row>
    <row r="214" ht="18.75" customHeight="1">
      <c r="A214" s="1110"/>
      <c r="B214" s="1108" t="s">
        <v>7864</v>
      </c>
      <c r="C214" s="1108" t="s">
        <v>7860</v>
      </c>
      <c r="D214" s="1116" t="s">
        <v>7870</v>
      </c>
      <c r="E214" s="1116" t="s">
        <v>7871</v>
      </c>
      <c r="F214" s="1117">
        <v>0.1</v>
      </c>
      <c r="G214" s="1109">
        <v>0.0</v>
      </c>
      <c r="H214" s="1118">
        <v>1987300.0</v>
      </c>
      <c r="I214" s="1118">
        <f t="shared" si="1"/>
        <v>1806640</v>
      </c>
      <c r="J214" s="1110"/>
    </row>
    <row r="215" ht="18.75" customHeight="1">
      <c r="A215" s="1110"/>
      <c r="B215" s="1108" t="s">
        <v>7055</v>
      </c>
      <c r="C215" s="1108" t="s">
        <v>7872</v>
      </c>
      <c r="D215" s="1116" t="s">
        <v>7873</v>
      </c>
      <c r="E215" s="1116" t="s">
        <v>7874</v>
      </c>
      <c r="F215" s="1117">
        <v>0.1</v>
      </c>
      <c r="G215" s="1109">
        <v>0.0</v>
      </c>
      <c r="H215" s="1118">
        <v>2339800.0</v>
      </c>
      <c r="I215" s="1118">
        <f t="shared" si="1"/>
        <v>2127090</v>
      </c>
      <c r="J215" s="1110"/>
    </row>
    <row r="216" ht="18.75" customHeight="1">
      <c r="A216" s="1110"/>
      <c r="B216" s="1108" t="s">
        <v>7055</v>
      </c>
      <c r="C216" s="1108" t="s">
        <v>7872</v>
      </c>
      <c r="D216" s="1116" t="s">
        <v>7875</v>
      </c>
      <c r="E216" s="1116" t="s">
        <v>7876</v>
      </c>
      <c r="F216" s="1117">
        <v>0.1</v>
      </c>
      <c r="G216" s="1109">
        <v>0.0</v>
      </c>
      <c r="H216" s="1118">
        <v>3457900.0</v>
      </c>
      <c r="I216" s="1118">
        <f t="shared" si="1"/>
        <v>3143550</v>
      </c>
      <c r="J216" s="1110"/>
    </row>
    <row r="217" ht="18.75" customHeight="1">
      <c r="A217" s="1110"/>
      <c r="B217" s="1108" t="s">
        <v>7055</v>
      </c>
      <c r="C217" s="1108" t="s">
        <v>7872</v>
      </c>
      <c r="D217" s="1116" t="s">
        <v>7877</v>
      </c>
      <c r="E217" s="1116" t="s">
        <v>7878</v>
      </c>
      <c r="F217" s="1117">
        <v>0.1</v>
      </c>
      <c r="G217" s="1109">
        <v>0.0</v>
      </c>
      <c r="H217" s="1118">
        <v>3841200.0</v>
      </c>
      <c r="I217" s="1118">
        <f t="shared" si="1"/>
        <v>3492000</v>
      </c>
      <c r="J217" s="1110"/>
    </row>
    <row r="218" ht="18.75" customHeight="1">
      <c r="A218" s="1110"/>
      <c r="B218" s="1108" t="s">
        <v>7055</v>
      </c>
      <c r="C218" s="1108" t="s">
        <v>7872</v>
      </c>
      <c r="D218" s="1116" t="s">
        <v>7879</v>
      </c>
      <c r="E218" s="1116" t="s">
        <v>7880</v>
      </c>
      <c r="F218" s="1117">
        <v>0.1</v>
      </c>
      <c r="G218" s="1109">
        <v>0.0</v>
      </c>
      <c r="H218" s="1118">
        <v>4575900.0</v>
      </c>
      <c r="I218" s="1118">
        <f t="shared" si="1"/>
        <v>4159910</v>
      </c>
      <c r="J218" s="1110"/>
    </row>
    <row r="219" ht="18.75" customHeight="1">
      <c r="A219" s="1110"/>
      <c r="B219" s="1108" t="s">
        <v>7055</v>
      </c>
      <c r="C219" s="1108" t="s">
        <v>7872</v>
      </c>
      <c r="D219" s="1116" t="s">
        <v>7881</v>
      </c>
      <c r="E219" s="1116" t="s">
        <v>7882</v>
      </c>
      <c r="F219" s="1117">
        <v>0.1</v>
      </c>
      <c r="G219" s="1109">
        <v>0.0</v>
      </c>
      <c r="H219" s="1118">
        <v>4959200.0</v>
      </c>
      <c r="I219" s="1118">
        <f t="shared" si="1"/>
        <v>4508360</v>
      </c>
      <c r="J219" s="1110"/>
    </row>
    <row r="220" ht="18.75" customHeight="1">
      <c r="A220" s="1110"/>
      <c r="B220" s="1108" t="s">
        <v>7055</v>
      </c>
      <c r="C220" s="1108" t="s">
        <v>7872</v>
      </c>
      <c r="D220" s="1116" t="s">
        <v>7883</v>
      </c>
      <c r="E220" s="1116" t="s">
        <v>7884</v>
      </c>
      <c r="F220" s="1117">
        <v>0.1</v>
      </c>
      <c r="G220" s="1109">
        <v>0.0</v>
      </c>
      <c r="H220" s="1118">
        <v>2555400.0</v>
      </c>
      <c r="I220" s="1118">
        <f t="shared" si="1"/>
        <v>2323090</v>
      </c>
      <c r="J220" s="1110"/>
    </row>
    <row r="221" ht="18.75" customHeight="1">
      <c r="A221" s="1110"/>
      <c r="B221" s="1108" t="s">
        <v>7055</v>
      </c>
      <c r="C221" s="1108" t="s">
        <v>7872</v>
      </c>
      <c r="D221" s="1116" t="s">
        <v>7885</v>
      </c>
      <c r="E221" s="1116" t="s">
        <v>7886</v>
      </c>
      <c r="F221" s="1117">
        <v>0.1</v>
      </c>
      <c r="G221" s="1109">
        <v>0.0</v>
      </c>
      <c r="H221" s="1118">
        <v>3317700.0</v>
      </c>
      <c r="I221" s="1118">
        <f t="shared" si="1"/>
        <v>3016090</v>
      </c>
      <c r="J221" s="1110"/>
    </row>
    <row r="222" ht="18.75" customHeight="1">
      <c r="A222" s="1110"/>
      <c r="B222" s="1108" t="s">
        <v>7055</v>
      </c>
      <c r="C222" s="1108" t="s">
        <v>7872</v>
      </c>
      <c r="D222" s="1116" t="s">
        <v>7887</v>
      </c>
      <c r="E222" s="1116" t="s">
        <v>7888</v>
      </c>
      <c r="F222" s="1117">
        <v>0.1</v>
      </c>
      <c r="G222" s="1109">
        <v>0.0</v>
      </c>
      <c r="H222" s="1118">
        <v>3579100.0</v>
      </c>
      <c r="I222" s="1118">
        <f t="shared" si="1"/>
        <v>3253730</v>
      </c>
      <c r="J222" s="1110"/>
    </row>
    <row r="223" ht="18.75" customHeight="1">
      <c r="A223" s="1110"/>
      <c r="B223" s="1108" t="s">
        <v>7055</v>
      </c>
      <c r="C223" s="1108" t="s">
        <v>7872</v>
      </c>
      <c r="D223" s="1116" t="s">
        <v>7889</v>
      </c>
      <c r="E223" s="1116" t="s">
        <v>7890</v>
      </c>
      <c r="F223" s="1117">
        <v>0.1</v>
      </c>
      <c r="G223" s="1109">
        <v>0.0</v>
      </c>
      <c r="H223" s="1118">
        <v>4080000.0</v>
      </c>
      <c r="I223" s="1118">
        <f t="shared" si="1"/>
        <v>3709090</v>
      </c>
      <c r="J223" s="1110"/>
    </row>
    <row r="224" ht="18.75" customHeight="1">
      <c r="A224" s="1110"/>
      <c r="B224" s="1108" t="s">
        <v>7055</v>
      </c>
      <c r="C224" s="1108" t="s">
        <v>7872</v>
      </c>
      <c r="D224" s="1116" t="s">
        <v>7891</v>
      </c>
      <c r="E224" s="1116" t="s">
        <v>7892</v>
      </c>
      <c r="F224" s="1117">
        <v>0.1</v>
      </c>
      <c r="G224" s="1109">
        <v>0.0</v>
      </c>
      <c r="H224" s="1118">
        <v>4341400.0</v>
      </c>
      <c r="I224" s="1118">
        <f t="shared" si="1"/>
        <v>3946730</v>
      </c>
      <c r="J224" s="1110"/>
    </row>
    <row r="225" ht="18.75" customHeight="1">
      <c r="A225" s="1110"/>
      <c r="B225" s="1108" t="s">
        <v>7055</v>
      </c>
      <c r="C225" s="1108" t="s">
        <v>7872</v>
      </c>
      <c r="D225" s="1116" t="s">
        <v>7893</v>
      </c>
      <c r="E225" s="1116" t="s">
        <v>7894</v>
      </c>
      <c r="F225" s="1117">
        <v>0.1</v>
      </c>
      <c r="G225" s="1109">
        <v>0.0</v>
      </c>
      <c r="H225" s="1118">
        <v>2270100.0</v>
      </c>
      <c r="I225" s="1118">
        <f t="shared" si="1"/>
        <v>2063730</v>
      </c>
      <c r="J225" s="1110"/>
    </row>
    <row r="226" ht="18.75" customHeight="1">
      <c r="A226" s="1110"/>
      <c r="B226" s="1108" t="s">
        <v>7055</v>
      </c>
      <c r="C226" s="1108" t="s">
        <v>7872</v>
      </c>
      <c r="D226" s="1116" t="s">
        <v>7895</v>
      </c>
      <c r="E226" s="1116" t="s">
        <v>7896</v>
      </c>
      <c r="F226" s="1117">
        <v>0.1</v>
      </c>
      <c r="G226" s="1109">
        <v>0.0</v>
      </c>
      <c r="H226" s="1118">
        <v>2829100.0</v>
      </c>
      <c r="I226" s="1118">
        <f t="shared" si="1"/>
        <v>2571910</v>
      </c>
      <c r="J226" s="1110"/>
    </row>
    <row r="227" ht="18.75" customHeight="1">
      <c r="A227" s="1110"/>
      <c r="B227" s="1108" t="s">
        <v>7055</v>
      </c>
      <c r="C227" s="1108" t="s">
        <v>7872</v>
      </c>
      <c r="D227" s="1116" t="s">
        <v>7897</v>
      </c>
      <c r="E227" s="1116" t="s">
        <v>7898</v>
      </c>
      <c r="F227" s="1117">
        <v>0.1</v>
      </c>
      <c r="G227" s="1109">
        <v>0.0</v>
      </c>
      <c r="H227" s="1118">
        <v>3020800.0</v>
      </c>
      <c r="I227" s="1118">
        <f t="shared" si="1"/>
        <v>2746180</v>
      </c>
      <c r="J227" s="1110"/>
    </row>
    <row r="228" ht="18.75" customHeight="1">
      <c r="A228" s="1110"/>
      <c r="B228" s="1108" t="s">
        <v>7055</v>
      </c>
      <c r="C228" s="1108" t="s">
        <v>7872</v>
      </c>
      <c r="D228" s="1116" t="s">
        <v>7899</v>
      </c>
      <c r="E228" s="1116" t="s">
        <v>7900</v>
      </c>
      <c r="F228" s="1117">
        <v>0.1</v>
      </c>
      <c r="G228" s="1109">
        <v>0.0</v>
      </c>
      <c r="H228" s="1118">
        <v>3388100.0</v>
      </c>
      <c r="I228" s="1118">
        <f t="shared" si="1"/>
        <v>3080090</v>
      </c>
      <c r="J228" s="1110"/>
    </row>
    <row r="229" ht="18.75" customHeight="1">
      <c r="A229" s="1110"/>
      <c r="B229" s="1108" t="s">
        <v>7055</v>
      </c>
      <c r="C229" s="1108" t="s">
        <v>7872</v>
      </c>
      <c r="D229" s="1116" t="s">
        <v>7901</v>
      </c>
      <c r="E229" s="1116" t="s">
        <v>7902</v>
      </c>
      <c r="F229" s="1117">
        <v>0.1</v>
      </c>
      <c r="G229" s="1109">
        <v>0.0</v>
      </c>
      <c r="H229" s="1118">
        <v>3579800.0</v>
      </c>
      <c r="I229" s="1118">
        <f t="shared" si="1"/>
        <v>3254360</v>
      </c>
      <c r="J229" s="1110"/>
    </row>
    <row r="230" ht="18.75" customHeight="1">
      <c r="A230" s="1110"/>
      <c r="B230" s="1108" t="s">
        <v>7055</v>
      </c>
      <c r="C230" s="1108" t="s">
        <v>7872</v>
      </c>
      <c r="D230" s="1116" t="s">
        <v>7903</v>
      </c>
      <c r="E230" s="1116" t="s">
        <v>7904</v>
      </c>
      <c r="F230" s="1117">
        <v>0.1</v>
      </c>
      <c r="G230" s="1109">
        <v>0.0</v>
      </c>
      <c r="H230" s="1118">
        <v>2716700.0</v>
      </c>
      <c r="I230" s="1118">
        <f t="shared" si="1"/>
        <v>2469730</v>
      </c>
      <c r="J230" s="1110"/>
    </row>
    <row r="231" ht="18.75" customHeight="1">
      <c r="A231" s="1110"/>
      <c r="B231" s="1108" t="s">
        <v>7055</v>
      </c>
      <c r="C231" s="1108" t="s">
        <v>7872</v>
      </c>
      <c r="D231" s="1116" t="s">
        <v>7905</v>
      </c>
      <c r="E231" s="1116" t="s">
        <v>7906</v>
      </c>
      <c r="F231" s="1117">
        <v>0.1</v>
      </c>
      <c r="G231" s="1109">
        <v>0.0</v>
      </c>
      <c r="H231" s="1118">
        <v>3224900.0</v>
      </c>
      <c r="I231" s="1118">
        <f t="shared" si="1"/>
        <v>2931730</v>
      </c>
      <c r="J231" s="1110"/>
    </row>
    <row r="232" ht="18.75" customHeight="1">
      <c r="A232" s="1110"/>
      <c r="B232" s="1108" t="s">
        <v>7055</v>
      </c>
      <c r="C232" s="1108" t="s">
        <v>7872</v>
      </c>
      <c r="D232" s="1116" t="s">
        <v>7907</v>
      </c>
      <c r="E232" s="1116" t="s">
        <v>7908</v>
      </c>
      <c r="F232" s="1117">
        <v>0.1</v>
      </c>
      <c r="G232" s="1109">
        <v>0.0</v>
      </c>
      <c r="H232" s="1118">
        <v>3399100.0</v>
      </c>
      <c r="I232" s="1118">
        <f t="shared" si="1"/>
        <v>3090090</v>
      </c>
      <c r="J232" s="1110"/>
    </row>
    <row r="233" ht="18.75" customHeight="1">
      <c r="A233" s="1110"/>
      <c r="B233" s="1108" t="s">
        <v>7055</v>
      </c>
      <c r="C233" s="1108" t="s">
        <v>7872</v>
      </c>
      <c r="D233" s="1116" t="s">
        <v>7909</v>
      </c>
      <c r="E233" s="1116" t="s">
        <v>7910</v>
      </c>
      <c r="F233" s="1117">
        <v>0.1</v>
      </c>
      <c r="G233" s="1109">
        <v>0.0</v>
      </c>
      <c r="H233" s="1118">
        <v>3733100.0</v>
      </c>
      <c r="I233" s="1118">
        <f t="shared" si="1"/>
        <v>3393730</v>
      </c>
      <c r="J233" s="1110"/>
    </row>
    <row r="234" ht="18.75" customHeight="1">
      <c r="A234" s="1110"/>
      <c r="B234" s="1108" t="s">
        <v>7055</v>
      </c>
      <c r="C234" s="1108" t="s">
        <v>7872</v>
      </c>
      <c r="D234" s="1116" t="s">
        <v>7911</v>
      </c>
      <c r="E234" s="1116" t="s">
        <v>7912</v>
      </c>
      <c r="F234" s="1117">
        <v>0.1</v>
      </c>
      <c r="G234" s="1109">
        <v>0.0</v>
      </c>
      <c r="H234" s="1118">
        <v>3907300.0</v>
      </c>
      <c r="I234" s="1118">
        <f t="shared" si="1"/>
        <v>3552090</v>
      </c>
      <c r="J234" s="1110"/>
    </row>
    <row r="235" ht="18.75" customHeight="1">
      <c r="A235" s="1110"/>
      <c r="B235" s="1108" t="s">
        <v>7055</v>
      </c>
      <c r="C235" s="1108" t="s">
        <v>7872</v>
      </c>
      <c r="D235" s="1116" t="s">
        <v>7913</v>
      </c>
      <c r="E235" s="1116" t="s">
        <v>7914</v>
      </c>
      <c r="F235" s="1117">
        <v>0.1</v>
      </c>
      <c r="G235" s="1109">
        <v>0.0</v>
      </c>
      <c r="H235" s="1118">
        <v>1982900.0</v>
      </c>
      <c r="I235" s="1118">
        <f t="shared" si="1"/>
        <v>1802640</v>
      </c>
      <c r="J235" s="1110"/>
    </row>
    <row r="236" ht="18.75" customHeight="1">
      <c r="A236" s="1110"/>
      <c r="B236" s="1108" t="s">
        <v>7055</v>
      </c>
      <c r="C236" s="1108" t="s">
        <v>7872</v>
      </c>
      <c r="D236" s="1116" t="s">
        <v>7915</v>
      </c>
      <c r="E236" s="1116" t="s">
        <v>7916</v>
      </c>
      <c r="F236" s="1117">
        <v>0.1</v>
      </c>
      <c r="G236" s="1109">
        <v>0.0</v>
      </c>
      <c r="H236" s="1118">
        <v>2338600.0</v>
      </c>
      <c r="I236" s="1118">
        <f t="shared" si="1"/>
        <v>2126000</v>
      </c>
      <c r="J236" s="1110"/>
    </row>
    <row r="237" ht="18.75" customHeight="1">
      <c r="A237" s="1110"/>
      <c r="B237" s="1108" t="s">
        <v>7055</v>
      </c>
      <c r="C237" s="1108" t="s">
        <v>7872</v>
      </c>
      <c r="D237" s="1116" t="s">
        <v>7917</v>
      </c>
      <c r="E237" s="1116" t="s">
        <v>7918</v>
      </c>
      <c r="F237" s="1117">
        <v>0.1</v>
      </c>
      <c r="G237" s="1109">
        <v>0.0</v>
      </c>
      <c r="H237" s="1118">
        <v>2460600.0</v>
      </c>
      <c r="I237" s="1118">
        <f t="shared" si="1"/>
        <v>2236910</v>
      </c>
      <c r="J237" s="1110"/>
    </row>
    <row r="238" ht="18.75" customHeight="1">
      <c r="A238" s="1110"/>
      <c r="B238" s="1108" t="s">
        <v>7055</v>
      </c>
      <c r="C238" s="1108" t="s">
        <v>7872</v>
      </c>
      <c r="D238" s="1116" t="s">
        <v>7919</v>
      </c>
      <c r="E238" s="1116" t="s">
        <v>7920</v>
      </c>
      <c r="F238" s="1117">
        <v>0.1</v>
      </c>
      <c r="G238" s="1109">
        <v>0.0</v>
      </c>
      <c r="H238" s="1118">
        <v>2694300.0</v>
      </c>
      <c r="I238" s="1118">
        <f t="shared" si="1"/>
        <v>2449360</v>
      </c>
      <c r="J238" s="1110"/>
    </row>
    <row r="239" ht="18.75" customHeight="1">
      <c r="A239" s="1110"/>
      <c r="B239" s="1108" t="s">
        <v>7055</v>
      </c>
      <c r="C239" s="1108" t="s">
        <v>7872</v>
      </c>
      <c r="D239" s="1116" t="s">
        <v>7921</v>
      </c>
      <c r="E239" s="1116" t="s">
        <v>7922</v>
      </c>
      <c r="F239" s="1117">
        <v>0.1</v>
      </c>
      <c r="G239" s="1109">
        <v>0.0</v>
      </c>
      <c r="H239" s="1118">
        <v>2816300.0</v>
      </c>
      <c r="I239" s="1118">
        <f t="shared" si="1"/>
        <v>2560270</v>
      </c>
      <c r="J239" s="1110"/>
    </row>
    <row r="240" ht="18.75" customHeight="1">
      <c r="A240" s="1110"/>
      <c r="B240" s="1108" t="s">
        <v>7055</v>
      </c>
      <c r="C240" s="1108" t="s">
        <v>7872</v>
      </c>
      <c r="D240" s="1116" t="s">
        <v>7923</v>
      </c>
      <c r="E240" s="1116" t="s">
        <v>7924</v>
      </c>
      <c r="F240" s="1117">
        <v>0.1</v>
      </c>
      <c r="G240" s="1109">
        <v>0.0</v>
      </c>
      <c r="H240" s="1118">
        <v>1851000.0</v>
      </c>
      <c r="I240" s="1118">
        <f t="shared" si="1"/>
        <v>1682730</v>
      </c>
      <c r="J240" s="1110"/>
    </row>
    <row r="241" ht="18.75" customHeight="1">
      <c r="A241" s="1110"/>
      <c r="B241" s="1108" t="s">
        <v>7055</v>
      </c>
      <c r="C241" s="1108" t="s">
        <v>7872</v>
      </c>
      <c r="D241" s="1116" t="s">
        <v>7925</v>
      </c>
      <c r="E241" s="1116" t="s">
        <v>7926</v>
      </c>
      <c r="F241" s="1117">
        <v>0.1</v>
      </c>
      <c r="G241" s="1109">
        <v>0.0</v>
      </c>
      <c r="H241" s="1118">
        <v>2105100.0</v>
      </c>
      <c r="I241" s="1118">
        <f t="shared" si="1"/>
        <v>1913730</v>
      </c>
      <c r="J241" s="1110"/>
    </row>
    <row r="242" ht="18.75" customHeight="1">
      <c r="A242" s="1110"/>
      <c r="B242" s="1108" t="s">
        <v>7055</v>
      </c>
      <c r="C242" s="1108" t="s">
        <v>7872</v>
      </c>
      <c r="D242" s="1116" t="s">
        <v>7927</v>
      </c>
      <c r="E242" s="1116" t="s">
        <v>7928</v>
      </c>
      <c r="F242" s="1117">
        <v>0.1</v>
      </c>
      <c r="G242" s="1109">
        <v>0.0</v>
      </c>
      <c r="H242" s="1118">
        <v>2192200.0</v>
      </c>
      <c r="I242" s="1118">
        <f t="shared" si="1"/>
        <v>1992910</v>
      </c>
      <c r="J242" s="1110"/>
    </row>
    <row r="243" ht="18.75" customHeight="1">
      <c r="A243" s="1110"/>
      <c r="B243" s="1108" t="s">
        <v>7055</v>
      </c>
      <c r="C243" s="1108" t="s">
        <v>7872</v>
      </c>
      <c r="D243" s="1116" t="s">
        <v>7929</v>
      </c>
      <c r="E243" s="1116" t="s">
        <v>7930</v>
      </c>
      <c r="F243" s="1117">
        <v>0.1</v>
      </c>
      <c r="G243" s="1109">
        <v>0.0</v>
      </c>
      <c r="H243" s="1118">
        <v>2359200.0</v>
      </c>
      <c r="I243" s="1118">
        <f t="shared" si="1"/>
        <v>2144730</v>
      </c>
      <c r="J243" s="1110"/>
    </row>
    <row r="244" ht="18.75" customHeight="1">
      <c r="A244" s="1110"/>
      <c r="B244" s="1108" t="s">
        <v>7055</v>
      </c>
      <c r="C244" s="1108" t="s">
        <v>7872</v>
      </c>
      <c r="D244" s="1116" t="s">
        <v>7931</v>
      </c>
      <c r="E244" s="1116" t="s">
        <v>7932</v>
      </c>
      <c r="F244" s="1117">
        <v>0.1</v>
      </c>
      <c r="G244" s="1109">
        <v>0.0</v>
      </c>
      <c r="H244" s="1118">
        <v>2446300.0</v>
      </c>
      <c r="I244" s="1118">
        <f t="shared" si="1"/>
        <v>2223910</v>
      </c>
      <c r="J244" s="1110"/>
    </row>
    <row r="245" ht="18.75" customHeight="1">
      <c r="A245" s="1110"/>
      <c r="B245" s="1108" t="s">
        <v>7055</v>
      </c>
      <c r="C245" s="1108" t="s">
        <v>7872</v>
      </c>
      <c r="D245" s="1116" t="s">
        <v>7933</v>
      </c>
      <c r="E245" s="1116" t="s">
        <v>7934</v>
      </c>
      <c r="F245" s="1117">
        <v>0.1</v>
      </c>
      <c r="G245" s="1109">
        <v>0.0</v>
      </c>
      <c r="H245" s="1118">
        <v>2190900.0</v>
      </c>
      <c r="I245" s="1118">
        <f t="shared" si="1"/>
        <v>1991730</v>
      </c>
      <c r="J245" s="1110"/>
    </row>
    <row r="246" ht="18.75" customHeight="1">
      <c r="A246" s="1110"/>
      <c r="B246" s="1108" t="s">
        <v>7055</v>
      </c>
      <c r="C246" s="1108" t="s">
        <v>7872</v>
      </c>
      <c r="D246" s="1116" t="s">
        <v>7935</v>
      </c>
      <c r="E246" s="1116" t="s">
        <v>7936</v>
      </c>
      <c r="F246" s="1117">
        <v>0.1</v>
      </c>
      <c r="G246" s="1109">
        <v>0.0</v>
      </c>
      <c r="H246" s="1118">
        <v>2394200.0</v>
      </c>
      <c r="I246" s="1118">
        <f t="shared" si="1"/>
        <v>2176550</v>
      </c>
      <c r="J246" s="1110"/>
    </row>
    <row r="247" ht="18.75" customHeight="1">
      <c r="A247" s="1110"/>
      <c r="B247" s="1108" t="s">
        <v>7055</v>
      </c>
      <c r="C247" s="1108" t="s">
        <v>7872</v>
      </c>
      <c r="D247" s="1116" t="s">
        <v>7937</v>
      </c>
      <c r="E247" s="1116" t="s">
        <v>7938</v>
      </c>
      <c r="F247" s="1117">
        <v>0.1</v>
      </c>
      <c r="G247" s="1109">
        <v>0.0</v>
      </c>
      <c r="H247" s="1118">
        <v>2463800.0</v>
      </c>
      <c r="I247" s="1118">
        <f t="shared" si="1"/>
        <v>2239820</v>
      </c>
      <c r="J247" s="1110"/>
    </row>
    <row r="248" ht="18.75" customHeight="1">
      <c r="A248" s="1110"/>
      <c r="B248" s="1108" t="s">
        <v>7055</v>
      </c>
      <c r="C248" s="1108" t="s">
        <v>7872</v>
      </c>
      <c r="D248" s="1116" t="s">
        <v>7939</v>
      </c>
      <c r="E248" s="1116" t="s">
        <v>7940</v>
      </c>
      <c r="F248" s="1117">
        <v>0.1</v>
      </c>
      <c r="G248" s="1109">
        <v>0.0</v>
      </c>
      <c r="H248" s="1118">
        <v>2597400.0</v>
      </c>
      <c r="I248" s="1118">
        <f t="shared" si="1"/>
        <v>2361270</v>
      </c>
      <c r="J248" s="1110"/>
    </row>
    <row r="249" ht="18.75" customHeight="1">
      <c r="A249" s="1110"/>
      <c r="B249" s="1108" t="s">
        <v>7055</v>
      </c>
      <c r="C249" s="1108" t="s">
        <v>7872</v>
      </c>
      <c r="D249" s="1116" t="s">
        <v>7941</v>
      </c>
      <c r="E249" s="1116" t="s">
        <v>7942</v>
      </c>
      <c r="F249" s="1117">
        <v>0.1</v>
      </c>
      <c r="G249" s="1109">
        <v>0.0</v>
      </c>
      <c r="H249" s="1118">
        <v>2667100.0</v>
      </c>
      <c r="I249" s="1118">
        <f t="shared" si="1"/>
        <v>2424640</v>
      </c>
      <c r="J249" s="1110"/>
    </row>
    <row r="250" ht="18.75" customHeight="1">
      <c r="A250" s="1110"/>
      <c r="B250" s="1108" t="s">
        <v>7055</v>
      </c>
      <c r="C250" s="1108" t="s">
        <v>7872</v>
      </c>
      <c r="D250" s="1116" t="s">
        <v>7943</v>
      </c>
      <c r="E250" s="1116" t="s">
        <v>7944</v>
      </c>
      <c r="F250" s="1117">
        <v>0.1</v>
      </c>
      <c r="G250" s="1109">
        <v>0.0</v>
      </c>
      <c r="H250" s="1118">
        <v>1916300.0</v>
      </c>
      <c r="I250" s="1118">
        <f t="shared" si="1"/>
        <v>1742090</v>
      </c>
      <c r="J250" s="1110"/>
    </row>
    <row r="251" ht="18.75" customHeight="1">
      <c r="A251" s="1110"/>
      <c r="B251" s="1108" t="s">
        <v>7055</v>
      </c>
      <c r="C251" s="1108" t="s">
        <v>7872</v>
      </c>
      <c r="D251" s="1116" t="s">
        <v>7945</v>
      </c>
      <c r="E251" s="1116" t="s">
        <v>7946</v>
      </c>
      <c r="F251" s="1117">
        <v>0.1</v>
      </c>
      <c r="G251" s="1109">
        <v>0.0</v>
      </c>
      <c r="H251" s="1118">
        <v>2068800.0</v>
      </c>
      <c r="I251" s="1118">
        <f t="shared" si="1"/>
        <v>1880730</v>
      </c>
      <c r="J251" s="1110"/>
    </row>
    <row r="252" ht="18.75" customHeight="1">
      <c r="A252" s="1110"/>
      <c r="B252" s="1108" t="s">
        <v>7055</v>
      </c>
      <c r="C252" s="1108" t="s">
        <v>7872</v>
      </c>
      <c r="D252" s="1116" t="s">
        <v>7947</v>
      </c>
      <c r="E252" s="1116" t="s">
        <v>7948</v>
      </c>
      <c r="F252" s="1117">
        <v>0.1</v>
      </c>
      <c r="G252" s="1109">
        <v>0.0</v>
      </c>
      <c r="H252" s="1118">
        <v>2121000.0</v>
      </c>
      <c r="I252" s="1118">
        <f t="shared" si="1"/>
        <v>1928180</v>
      </c>
      <c r="J252" s="1110"/>
    </row>
    <row r="253" ht="18.75" customHeight="1">
      <c r="A253" s="1110"/>
      <c r="B253" s="1108" t="s">
        <v>7055</v>
      </c>
      <c r="C253" s="1108" t="s">
        <v>7872</v>
      </c>
      <c r="D253" s="1116" t="s">
        <v>7949</v>
      </c>
      <c r="E253" s="1116" t="s">
        <v>7950</v>
      </c>
      <c r="F253" s="1117">
        <v>0.1</v>
      </c>
      <c r="G253" s="1109">
        <v>0.0</v>
      </c>
      <c r="H253" s="1118">
        <v>2221200.0</v>
      </c>
      <c r="I253" s="1118">
        <f t="shared" si="1"/>
        <v>2019270</v>
      </c>
      <c r="J253" s="1110"/>
    </row>
    <row r="254" ht="18.75" customHeight="1">
      <c r="A254" s="1110"/>
      <c r="B254" s="1108" t="s">
        <v>7055</v>
      </c>
      <c r="C254" s="1108" t="s">
        <v>7872</v>
      </c>
      <c r="D254" s="1116" t="s">
        <v>7951</v>
      </c>
      <c r="E254" s="1116" t="s">
        <v>7952</v>
      </c>
      <c r="F254" s="1117">
        <v>0.1</v>
      </c>
      <c r="G254" s="1109">
        <v>0.0</v>
      </c>
      <c r="H254" s="1118">
        <v>2273500.0</v>
      </c>
      <c r="I254" s="1118">
        <f t="shared" si="1"/>
        <v>2066820</v>
      </c>
      <c r="J254" s="1110"/>
    </row>
    <row r="255" ht="18.75" customHeight="1">
      <c r="A255" s="1110"/>
      <c r="B255" s="1108" t="s">
        <v>7055</v>
      </c>
      <c r="C255" s="1108" t="s">
        <v>7872</v>
      </c>
      <c r="D255" s="1116" t="s">
        <v>7953</v>
      </c>
      <c r="E255" s="1116" t="s">
        <v>7954</v>
      </c>
      <c r="F255" s="1117">
        <v>0.1</v>
      </c>
      <c r="G255" s="1109">
        <v>0.0</v>
      </c>
      <c r="H255" s="1118">
        <v>1567100.0</v>
      </c>
      <c r="I255" s="1118">
        <f t="shared" si="1"/>
        <v>1424640</v>
      </c>
      <c r="J255" s="1110"/>
    </row>
    <row r="256" ht="18.75" customHeight="1">
      <c r="A256" s="1110"/>
      <c r="B256" s="1108" t="s">
        <v>7055</v>
      </c>
      <c r="C256" s="1108" t="s">
        <v>7872</v>
      </c>
      <c r="D256" s="1116" t="s">
        <v>7955</v>
      </c>
      <c r="E256" s="1116" t="s">
        <v>7956</v>
      </c>
      <c r="F256" s="1117">
        <v>0.1</v>
      </c>
      <c r="G256" s="1109">
        <v>0.0</v>
      </c>
      <c r="H256" s="1118">
        <v>1668700.0</v>
      </c>
      <c r="I256" s="1118">
        <f t="shared" si="1"/>
        <v>1517000</v>
      </c>
      <c r="J256" s="1110"/>
    </row>
    <row r="257" ht="18.75" customHeight="1">
      <c r="A257" s="1110"/>
      <c r="B257" s="1108" t="s">
        <v>7055</v>
      </c>
      <c r="C257" s="1108" t="s">
        <v>7872</v>
      </c>
      <c r="D257" s="1116" t="s">
        <v>7957</v>
      </c>
      <c r="E257" s="1116" t="s">
        <v>7958</v>
      </c>
      <c r="F257" s="1117">
        <v>0.1</v>
      </c>
      <c r="G257" s="1109">
        <v>0.0</v>
      </c>
      <c r="H257" s="1118">
        <v>1703600.0</v>
      </c>
      <c r="I257" s="1118">
        <f t="shared" si="1"/>
        <v>1548730</v>
      </c>
      <c r="J257" s="1110"/>
    </row>
    <row r="258" ht="18.75" customHeight="1">
      <c r="A258" s="1110"/>
      <c r="B258" s="1108" t="s">
        <v>7055</v>
      </c>
      <c r="C258" s="1108" t="s">
        <v>7872</v>
      </c>
      <c r="D258" s="1116" t="s">
        <v>7959</v>
      </c>
      <c r="E258" s="1116" t="s">
        <v>7960</v>
      </c>
      <c r="F258" s="1117">
        <v>0.1</v>
      </c>
      <c r="G258" s="1109">
        <v>0.0</v>
      </c>
      <c r="H258" s="1118">
        <v>1770300.0</v>
      </c>
      <c r="I258" s="1118">
        <f t="shared" si="1"/>
        <v>1609360</v>
      </c>
      <c r="J258" s="1110"/>
    </row>
    <row r="259" ht="18.75" customHeight="1">
      <c r="A259" s="1110"/>
      <c r="B259" s="1108" t="s">
        <v>7055</v>
      </c>
      <c r="C259" s="1108" t="s">
        <v>7872</v>
      </c>
      <c r="D259" s="1116" t="s">
        <v>7961</v>
      </c>
      <c r="E259" s="1116" t="s">
        <v>7962</v>
      </c>
      <c r="F259" s="1117">
        <v>0.1</v>
      </c>
      <c r="G259" s="1109">
        <v>0.0</v>
      </c>
      <c r="H259" s="1118">
        <v>1805200.0</v>
      </c>
      <c r="I259" s="1118">
        <f t="shared" si="1"/>
        <v>1641090</v>
      </c>
      <c r="J259" s="1110"/>
    </row>
    <row r="260" ht="18.75" customHeight="1">
      <c r="A260" s="1110"/>
      <c r="B260" s="1108" t="s">
        <v>7963</v>
      </c>
      <c r="C260" s="1108" t="s">
        <v>7872</v>
      </c>
      <c r="D260" s="1116" t="s">
        <v>7964</v>
      </c>
      <c r="E260" s="1116" t="s">
        <v>7965</v>
      </c>
      <c r="F260" s="1117">
        <v>0.1</v>
      </c>
      <c r="G260" s="1109">
        <v>0.0</v>
      </c>
      <c r="H260" s="1118">
        <v>2127400.0</v>
      </c>
      <c r="I260" s="1118">
        <f t="shared" si="1"/>
        <v>1934000</v>
      </c>
      <c r="J260" s="1110"/>
    </row>
    <row r="261" ht="18.75" customHeight="1">
      <c r="A261" s="1110"/>
      <c r="B261" s="1108" t="s">
        <v>7963</v>
      </c>
      <c r="C261" s="1108" t="s">
        <v>7872</v>
      </c>
      <c r="D261" s="1116" t="s">
        <v>7966</v>
      </c>
      <c r="E261" s="1116" t="s">
        <v>7967</v>
      </c>
      <c r="F261" s="1117">
        <v>0.1</v>
      </c>
      <c r="G261" s="1109">
        <v>0.0</v>
      </c>
      <c r="H261" s="1118">
        <v>3085700.0</v>
      </c>
      <c r="I261" s="1118">
        <f t="shared" si="1"/>
        <v>2805180</v>
      </c>
      <c r="J261" s="1110"/>
    </row>
    <row r="262" ht="18.75" customHeight="1">
      <c r="A262" s="1110"/>
      <c r="B262" s="1108" t="s">
        <v>7963</v>
      </c>
      <c r="C262" s="1108" t="s">
        <v>7872</v>
      </c>
      <c r="D262" s="1116" t="s">
        <v>7968</v>
      </c>
      <c r="E262" s="1116" t="s">
        <v>7969</v>
      </c>
      <c r="F262" s="1117">
        <v>0.1</v>
      </c>
      <c r="G262" s="1109">
        <v>0.0</v>
      </c>
      <c r="H262" s="1118">
        <v>3405200.0</v>
      </c>
      <c r="I262" s="1118">
        <f t="shared" si="1"/>
        <v>3095640</v>
      </c>
      <c r="J262" s="1110"/>
    </row>
    <row r="263" ht="18.75" customHeight="1">
      <c r="A263" s="1110"/>
      <c r="B263" s="1108" t="s">
        <v>7963</v>
      </c>
      <c r="C263" s="1108" t="s">
        <v>7872</v>
      </c>
      <c r="D263" s="1116" t="s">
        <v>7970</v>
      </c>
      <c r="E263" s="1116" t="s">
        <v>7971</v>
      </c>
      <c r="F263" s="1117">
        <v>0.1</v>
      </c>
      <c r="G263" s="1109">
        <v>0.0</v>
      </c>
      <c r="H263" s="1118">
        <v>4044000.0</v>
      </c>
      <c r="I263" s="1118">
        <f t="shared" si="1"/>
        <v>3676360</v>
      </c>
      <c r="J263" s="1110"/>
    </row>
    <row r="264" ht="18.75" customHeight="1">
      <c r="A264" s="1110"/>
      <c r="B264" s="1108" t="s">
        <v>7963</v>
      </c>
      <c r="C264" s="1108" t="s">
        <v>7872</v>
      </c>
      <c r="D264" s="1116" t="s">
        <v>7972</v>
      </c>
      <c r="E264" s="1116" t="s">
        <v>7973</v>
      </c>
      <c r="F264" s="1117">
        <v>0.1</v>
      </c>
      <c r="G264" s="1109">
        <v>0.0</v>
      </c>
      <c r="H264" s="1118">
        <v>4363500.0</v>
      </c>
      <c r="I264" s="1118">
        <f t="shared" si="1"/>
        <v>3966820</v>
      </c>
      <c r="J264" s="1110"/>
    </row>
    <row r="265" ht="18.75" customHeight="1">
      <c r="A265" s="1110"/>
      <c r="B265" s="1108" t="s">
        <v>7963</v>
      </c>
      <c r="C265" s="1108" t="s">
        <v>7872</v>
      </c>
      <c r="D265" s="1116" t="s">
        <v>7974</v>
      </c>
      <c r="E265" s="1116" t="s">
        <v>7975</v>
      </c>
      <c r="F265" s="1117">
        <v>0.1</v>
      </c>
      <c r="G265" s="1109">
        <v>0.0</v>
      </c>
      <c r="H265" s="1118">
        <v>2321800.0</v>
      </c>
      <c r="I265" s="1118">
        <f t="shared" si="1"/>
        <v>2110730</v>
      </c>
      <c r="J265" s="1110"/>
    </row>
    <row r="266" ht="18.75" customHeight="1">
      <c r="A266" s="1110"/>
      <c r="B266" s="1108" t="s">
        <v>7963</v>
      </c>
      <c r="C266" s="1108" t="s">
        <v>7872</v>
      </c>
      <c r="D266" s="1116" t="s">
        <v>7976</v>
      </c>
      <c r="E266" s="1116" t="s">
        <v>7977</v>
      </c>
      <c r="F266" s="1117">
        <v>0.1</v>
      </c>
      <c r="G266" s="1109">
        <v>0.0</v>
      </c>
      <c r="H266" s="1118">
        <v>2975200.0</v>
      </c>
      <c r="I266" s="1118">
        <f t="shared" si="1"/>
        <v>2704730</v>
      </c>
      <c r="J266" s="1110"/>
    </row>
    <row r="267" ht="18.75" customHeight="1">
      <c r="A267" s="1110"/>
      <c r="B267" s="1108" t="s">
        <v>7963</v>
      </c>
      <c r="C267" s="1108" t="s">
        <v>7872</v>
      </c>
      <c r="D267" s="1116" t="s">
        <v>7978</v>
      </c>
      <c r="E267" s="1116" t="s">
        <v>7979</v>
      </c>
      <c r="F267" s="1117">
        <v>0.1</v>
      </c>
      <c r="G267" s="1109">
        <v>0.0</v>
      </c>
      <c r="H267" s="1118">
        <v>3193000.0</v>
      </c>
      <c r="I267" s="1118">
        <f t="shared" si="1"/>
        <v>2902730</v>
      </c>
      <c r="J267" s="1110"/>
    </row>
    <row r="268" ht="18.75" customHeight="1">
      <c r="A268" s="1110"/>
      <c r="B268" s="1108" t="s">
        <v>7963</v>
      </c>
      <c r="C268" s="1108" t="s">
        <v>7872</v>
      </c>
      <c r="D268" s="1116" t="s">
        <v>7980</v>
      </c>
      <c r="E268" s="1116" t="s">
        <v>7981</v>
      </c>
      <c r="F268" s="1117">
        <v>0.1</v>
      </c>
      <c r="G268" s="1109">
        <v>0.0</v>
      </c>
      <c r="H268" s="1118">
        <v>3628600.0</v>
      </c>
      <c r="I268" s="1118">
        <f t="shared" si="1"/>
        <v>3298730</v>
      </c>
      <c r="J268" s="1110"/>
    </row>
    <row r="269" ht="18.75" customHeight="1">
      <c r="A269" s="1110"/>
      <c r="B269" s="1108" t="s">
        <v>7963</v>
      </c>
      <c r="C269" s="1108" t="s">
        <v>7872</v>
      </c>
      <c r="D269" s="1116" t="s">
        <v>7982</v>
      </c>
      <c r="E269" s="1116" t="s">
        <v>7983</v>
      </c>
      <c r="F269" s="1117">
        <v>0.1</v>
      </c>
      <c r="G269" s="1109">
        <v>0.0</v>
      </c>
      <c r="H269" s="1118">
        <v>3846400.0</v>
      </c>
      <c r="I269" s="1118">
        <f t="shared" si="1"/>
        <v>3496730</v>
      </c>
      <c r="J269" s="1110"/>
    </row>
    <row r="270" ht="18.75" customHeight="1">
      <c r="A270" s="1110"/>
      <c r="B270" s="1108" t="s">
        <v>7963</v>
      </c>
      <c r="C270" s="1108" t="s">
        <v>7872</v>
      </c>
      <c r="D270" s="1116" t="s">
        <v>7984</v>
      </c>
      <c r="E270" s="1116" t="s">
        <v>7985</v>
      </c>
      <c r="F270" s="1117">
        <v>0.1</v>
      </c>
      <c r="G270" s="1109">
        <v>0.0</v>
      </c>
      <c r="H270" s="1118">
        <v>2063500.0</v>
      </c>
      <c r="I270" s="1118">
        <f t="shared" si="1"/>
        <v>1875910</v>
      </c>
      <c r="J270" s="1110"/>
    </row>
    <row r="271" ht="18.75" customHeight="1">
      <c r="A271" s="1110"/>
      <c r="B271" s="1108" t="s">
        <v>7963</v>
      </c>
      <c r="C271" s="1108" t="s">
        <v>7872</v>
      </c>
      <c r="D271" s="1116" t="s">
        <v>7986</v>
      </c>
      <c r="E271" s="1116" t="s">
        <v>7987</v>
      </c>
      <c r="F271" s="1117">
        <v>0.1</v>
      </c>
      <c r="G271" s="1109">
        <v>0.0</v>
      </c>
      <c r="H271" s="1118">
        <v>2542700.0</v>
      </c>
      <c r="I271" s="1118">
        <f t="shared" si="1"/>
        <v>2311550</v>
      </c>
      <c r="J271" s="1110"/>
    </row>
    <row r="272" ht="18.75" customHeight="1">
      <c r="A272" s="1110"/>
      <c r="B272" s="1108" t="s">
        <v>7963</v>
      </c>
      <c r="C272" s="1108" t="s">
        <v>7872</v>
      </c>
      <c r="D272" s="1116" t="s">
        <v>7988</v>
      </c>
      <c r="E272" s="1116" t="s">
        <v>7989</v>
      </c>
      <c r="F272" s="1117">
        <v>0.1</v>
      </c>
      <c r="G272" s="1109">
        <v>0.0</v>
      </c>
      <c r="H272" s="1118">
        <v>2702400.0</v>
      </c>
      <c r="I272" s="1118">
        <f t="shared" si="1"/>
        <v>2456730</v>
      </c>
      <c r="J272" s="1110"/>
    </row>
    <row r="273" ht="18.75" customHeight="1">
      <c r="A273" s="1110"/>
      <c r="B273" s="1108" t="s">
        <v>7963</v>
      </c>
      <c r="C273" s="1108" t="s">
        <v>7872</v>
      </c>
      <c r="D273" s="1116" t="s">
        <v>7990</v>
      </c>
      <c r="E273" s="1116" t="s">
        <v>7991</v>
      </c>
      <c r="F273" s="1117">
        <v>0.1</v>
      </c>
      <c r="G273" s="1109">
        <v>0.0</v>
      </c>
      <c r="H273" s="1118">
        <v>3021800.0</v>
      </c>
      <c r="I273" s="1118">
        <f t="shared" si="1"/>
        <v>2747090</v>
      </c>
      <c r="J273" s="1110"/>
    </row>
    <row r="274" ht="18.75" customHeight="1">
      <c r="A274" s="1110"/>
      <c r="B274" s="1108" t="s">
        <v>7963</v>
      </c>
      <c r="C274" s="1108" t="s">
        <v>7872</v>
      </c>
      <c r="D274" s="1116" t="s">
        <v>7992</v>
      </c>
      <c r="E274" s="1116" t="s">
        <v>7993</v>
      </c>
      <c r="F274" s="1117">
        <v>0.1</v>
      </c>
      <c r="G274" s="1109">
        <v>0.0</v>
      </c>
      <c r="H274" s="1118">
        <v>3181500.0</v>
      </c>
      <c r="I274" s="1118">
        <f t="shared" si="1"/>
        <v>2892270</v>
      </c>
      <c r="J274" s="1110"/>
    </row>
    <row r="275" ht="18.75" customHeight="1">
      <c r="A275" s="1110"/>
      <c r="B275" s="1108" t="s">
        <v>7963</v>
      </c>
      <c r="C275" s="1108" t="s">
        <v>7872</v>
      </c>
      <c r="D275" s="1116" t="s">
        <v>7994</v>
      </c>
      <c r="E275" s="1116" t="s">
        <v>7995</v>
      </c>
      <c r="F275" s="1117">
        <v>0.1</v>
      </c>
      <c r="G275" s="1109">
        <v>0.0</v>
      </c>
      <c r="H275" s="1118">
        <v>2467000.0</v>
      </c>
      <c r="I275" s="1118">
        <f t="shared" si="1"/>
        <v>2242730</v>
      </c>
      <c r="J275" s="1110"/>
    </row>
    <row r="276" ht="18.75" customHeight="1">
      <c r="A276" s="1110"/>
      <c r="B276" s="1108" t="s">
        <v>7963</v>
      </c>
      <c r="C276" s="1108" t="s">
        <v>7872</v>
      </c>
      <c r="D276" s="1116" t="s">
        <v>7996</v>
      </c>
      <c r="E276" s="1116" t="s">
        <v>7997</v>
      </c>
      <c r="F276" s="1117">
        <v>0.1</v>
      </c>
      <c r="G276" s="1109">
        <v>0.0</v>
      </c>
      <c r="H276" s="1118">
        <v>2902600.0</v>
      </c>
      <c r="I276" s="1118">
        <f t="shared" si="1"/>
        <v>2638730</v>
      </c>
      <c r="J276" s="1110"/>
    </row>
    <row r="277" ht="18.75" customHeight="1">
      <c r="A277" s="1110"/>
      <c r="B277" s="1108" t="s">
        <v>7963</v>
      </c>
      <c r="C277" s="1108" t="s">
        <v>7872</v>
      </c>
      <c r="D277" s="1116" t="s">
        <v>7998</v>
      </c>
      <c r="E277" s="1116" t="s">
        <v>7999</v>
      </c>
      <c r="F277" s="1117">
        <v>0.1</v>
      </c>
      <c r="G277" s="1109">
        <v>0.0</v>
      </c>
      <c r="H277" s="1118">
        <v>3047800.0</v>
      </c>
      <c r="I277" s="1118">
        <f t="shared" si="1"/>
        <v>2770730</v>
      </c>
      <c r="J277" s="1110"/>
    </row>
    <row r="278" ht="18.75" customHeight="1">
      <c r="A278" s="1110"/>
      <c r="B278" s="1108" t="s">
        <v>7963</v>
      </c>
      <c r="C278" s="1108" t="s">
        <v>7872</v>
      </c>
      <c r="D278" s="1116" t="s">
        <v>8000</v>
      </c>
      <c r="E278" s="1116" t="s">
        <v>8001</v>
      </c>
      <c r="F278" s="1117">
        <v>0.1</v>
      </c>
      <c r="G278" s="1109">
        <v>0.0</v>
      </c>
      <c r="H278" s="1118">
        <v>3338200.0</v>
      </c>
      <c r="I278" s="1118">
        <f t="shared" si="1"/>
        <v>3034730</v>
      </c>
      <c r="J278" s="1110"/>
    </row>
    <row r="279" ht="18.75" customHeight="1">
      <c r="A279" s="1110"/>
      <c r="B279" s="1108" t="s">
        <v>7963</v>
      </c>
      <c r="C279" s="1108" t="s">
        <v>7872</v>
      </c>
      <c r="D279" s="1116" t="s">
        <v>8002</v>
      </c>
      <c r="E279" s="1116" t="s">
        <v>8003</v>
      </c>
      <c r="F279" s="1117">
        <v>0.1</v>
      </c>
      <c r="G279" s="1109">
        <v>0.0</v>
      </c>
      <c r="H279" s="1118">
        <v>3483400.0</v>
      </c>
      <c r="I279" s="1118">
        <f t="shared" si="1"/>
        <v>3166730</v>
      </c>
      <c r="J279" s="1110"/>
    </row>
    <row r="280" ht="18.75" customHeight="1">
      <c r="A280" s="1110"/>
      <c r="B280" s="1108" t="s">
        <v>7963</v>
      </c>
      <c r="C280" s="1108" t="s">
        <v>7872</v>
      </c>
      <c r="D280" s="1116" t="s">
        <v>8004</v>
      </c>
      <c r="E280" s="1116" t="s">
        <v>8005</v>
      </c>
      <c r="F280" s="1117">
        <v>0.1</v>
      </c>
      <c r="G280" s="1109">
        <v>0.0</v>
      </c>
      <c r="H280" s="1118">
        <v>1807200.0</v>
      </c>
      <c r="I280" s="1118">
        <f t="shared" si="1"/>
        <v>1642910</v>
      </c>
      <c r="J280" s="1110"/>
    </row>
    <row r="281" ht="18.75" customHeight="1">
      <c r="A281" s="1110"/>
      <c r="B281" s="1108" t="s">
        <v>7963</v>
      </c>
      <c r="C281" s="1108" t="s">
        <v>7872</v>
      </c>
      <c r="D281" s="1116" t="s">
        <v>8006</v>
      </c>
      <c r="E281" s="1116" t="s">
        <v>8007</v>
      </c>
      <c r="F281" s="1117">
        <v>0.1</v>
      </c>
      <c r="G281" s="1109">
        <v>0.0</v>
      </c>
      <c r="H281" s="1118">
        <v>2112100.0</v>
      </c>
      <c r="I281" s="1118">
        <f t="shared" si="1"/>
        <v>1920090</v>
      </c>
      <c r="J281" s="1110"/>
    </row>
    <row r="282" ht="18.75" customHeight="1">
      <c r="A282" s="1110"/>
      <c r="B282" s="1108" t="s">
        <v>7963</v>
      </c>
      <c r="C282" s="1108" t="s">
        <v>7872</v>
      </c>
      <c r="D282" s="1116" t="s">
        <v>8008</v>
      </c>
      <c r="E282" s="1116" t="s">
        <v>8009</v>
      </c>
      <c r="F282" s="1117">
        <v>0.1</v>
      </c>
      <c r="G282" s="1109">
        <v>0.0</v>
      </c>
      <c r="H282" s="1118">
        <v>2213800.0</v>
      </c>
      <c r="I282" s="1118">
        <f t="shared" si="1"/>
        <v>2012550</v>
      </c>
      <c r="J282" s="1110"/>
    </row>
    <row r="283" ht="18.75" customHeight="1">
      <c r="A283" s="1110"/>
      <c r="B283" s="1108" t="s">
        <v>7963</v>
      </c>
      <c r="C283" s="1108" t="s">
        <v>7872</v>
      </c>
      <c r="D283" s="1116" t="s">
        <v>8010</v>
      </c>
      <c r="E283" s="1116" t="s">
        <v>8011</v>
      </c>
      <c r="F283" s="1117">
        <v>0.1</v>
      </c>
      <c r="G283" s="1109">
        <v>0.0</v>
      </c>
      <c r="H283" s="1118">
        <v>2417000.0</v>
      </c>
      <c r="I283" s="1118">
        <f t="shared" si="1"/>
        <v>2197270</v>
      </c>
      <c r="J283" s="1110"/>
    </row>
    <row r="284" ht="18.75" customHeight="1">
      <c r="A284" s="1110"/>
      <c r="B284" s="1108" t="s">
        <v>7963</v>
      </c>
      <c r="C284" s="1108" t="s">
        <v>7872</v>
      </c>
      <c r="D284" s="1116" t="s">
        <v>8012</v>
      </c>
      <c r="E284" s="1116" t="s">
        <v>8013</v>
      </c>
      <c r="F284" s="1117">
        <v>0.1</v>
      </c>
      <c r="G284" s="1109">
        <v>0.0</v>
      </c>
      <c r="H284" s="1118">
        <v>2518700.0</v>
      </c>
      <c r="I284" s="1118">
        <f t="shared" si="1"/>
        <v>2289730</v>
      </c>
      <c r="J284" s="1110"/>
    </row>
    <row r="285" ht="18.75" customHeight="1">
      <c r="A285" s="1110"/>
      <c r="B285" s="1108" t="s">
        <v>7963</v>
      </c>
      <c r="C285" s="1108" t="s">
        <v>7872</v>
      </c>
      <c r="D285" s="1116" t="s">
        <v>8014</v>
      </c>
      <c r="E285" s="1116" t="s">
        <v>8015</v>
      </c>
      <c r="F285" s="1117">
        <v>0.1</v>
      </c>
      <c r="G285" s="1109">
        <v>0.0</v>
      </c>
      <c r="H285" s="1118">
        <v>1687200.0</v>
      </c>
      <c r="I285" s="1118">
        <f t="shared" si="1"/>
        <v>1533820</v>
      </c>
      <c r="J285" s="1110"/>
    </row>
    <row r="286" ht="18.75" customHeight="1">
      <c r="A286" s="1110"/>
      <c r="B286" s="1108" t="s">
        <v>7963</v>
      </c>
      <c r="C286" s="1108" t="s">
        <v>7872</v>
      </c>
      <c r="D286" s="1116" t="s">
        <v>8016</v>
      </c>
      <c r="E286" s="1116" t="s">
        <v>8017</v>
      </c>
      <c r="F286" s="1117">
        <v>0.1</v>
      </c>
      <c r="G286" s="1109">
        <v>0.0</v>
      </c>
      <c r="H286" s="1118">
        <v>1905000.0</v>
      </c>
      <c r="I286" s="1118">
        <f t="shared" si="1"/>
        <v>1731820</v>
      </c>
      <c r="J286" s="1110"/>
    </row>
    <row r="287" ht="18.75" customHeight="1">
      <c r="A287" s="1110"/>
      <c r="B287" s="1108" t="s">
        <v>7963</v>
      </c>
      <c r="C287" s="1108" t="s">
        <v>7872</v>
      </c>
      <c r="D287" s="1116" t="s">
        <v>8018</v>
      </c>
      <c r="E287" s="1116" t="s">
        <v>8019</v>
      </c>
      <c r="F287" s="1117">
        <v>0.1</v>
      </c>
      <c r="G287" s="1109">
        <v>0.0</v>
      </c>
      <c r="H287" s="1118">
        <v>1977600.0</v>
      </c>
      <c r="I287" s="1118">
        <f t="shared" si="1"/>
        <v>1797820</v>
      </c>
      <c r="J287" s="1110"/>
    </row>
    <row r="288" ht="18.75" customHeight="1">
      <c r="A288" s="1110"/>
      <c r="B288" s="1108" t="s">
        <v>7963</v>
      </c>
      <c r="C288" s="1108" t="s">
        <v>7872</v>
      </c>
      <c r="D288" s="1116" t="s">
        <v>8020</v>
      </c>
      <c r="E288" s="1116" t="s">
        <v>8021</v>
      </c>
      <c r="F288" s="1117">
        <v>0.1</v>
      </c>
      <c r="G288" s="1109">
        <v>0.0</v>
      </c>
      <c r="H288" s="1118">
        <v>2122800.0</v>
      </c>
      <c r="I288" s="1118">
        <f t="shared" si="1"/>
        <v>1929820</v>
      </c>
      <c r="J288" s="1110"/>
    </row>
    <row r="289" ht="18.75" customHeight="1">
      <c r="A289" s="1110"/>
      <c r="B289" s="1108" t="s">
        <v>7963</v>
      </c>
      <c r="C289" s="1108" t="s">
        <v>7872</v>
      </c>
      <c r="D289" s="1116" t="s">
        <v>8022</v>
      </c>
      <c r="E289" s="1116" t="s">
        <v>8023</v>
      </c>
      <c r="F289" s="1117">
        <v>0.1</v>
      </c>
      <c r="G289" s="1109">
        <v>0.0</v>
      </c>
      <c r="H289" s="1118">
        <v>2195400.0</v>
      </c>
      <c r="I289" s="1118">
        <f t="shared" si="1"/>
        <v>1995820</v>
      </c>
      <c r="J289" s="1110"/>
    </row>
    <row r="290" ht="18.75" customHeight="1">
      <c r="A290" s="1110"/>
      <c r="B290" s="1108" t="s">
        <v>7963</v>
      </c>
      <c r="C290" s="1108" t="s">
        <v>8024</v>
      </c>
      <c r="D290" s="1116" t="s">
        <v>8025</v>
      </c>
      <c r="E290" s="1116" t="s">
        <v>8026</v>
      </c>
      <c r="F290" s="1117">
        <v>0.1</v>
      </c>
      <c r="G290" s="1109">
        <v>0.0</v>
      </c>
      <c r="H290" s="1118">
        <v>1993300.0</v>
      </c>
      <c r="I290" s="1118">
        <f t="shared" si="1"/>
        <v>1812090</v>
      </c>
      <c r="J290" s="1110"/>
    </row>
    <row r="291" ht="18.75" customHeight="1">
      <c r="A291" s="1110"/>
      <c r="B291" s="1108" t="s">
        <v>7963</v>
      </c>
      <c r="C291" s="1108" t="s">
        <v>7872</v>
      </c>
      <c r="D291" s="1116" t="s">
        <v>8027</v>
      </c>
      <c r="E291" s="1116" t="s">
        <v>8028</v>
      </c>
      <c r="F291" s="1117">
        <v>0.1</v>
      </c>
      <c r="G291" s="1109">
        <v>0.0</v>
      </c>
      <c r="H291" s="1118">
        <v>2167600.0</v>
      </c>
      <c r="I291" s="1118">
        <f t="shared" si="1"/>
        <v>1970550</v>
      </c>
      <c r="J291" s="1110"/>
    </row>
    <row r="292" ht="18.75" customHeight="1">
      <c r="A292" s="1110"/>
      <c r="B292" s="1108" t="s">
        <v>7963</v>
      </c>
      <c r="C292" s="1108" t="s">
        <v>7872</v>
      </c>
      <c r="D292" s="1116" t="s">
        <v>8029</v>
      </c>
      <c r="E292" s="1116" t="s">
        <v>8030</v>
      </c>
      <c r="F292" s="1117">
        <v>0.1</v>
      </c>
      <c r="G292" s="1109">
        <v>0.0</v>
      </c>
      <c r="H292" s="1118">
        <v>2225600.0</v>
      </c>
      <c r="I292" s="1118">
        <f t="shared" si="1"/>
        <v>2023270</v>
      </c>
      <c r="J292" s="1110"/>
    </row>
    <row r="293" ht="18.75" customHeight="1">
      <c r="A293" s="1110"/>
      <c r="B293" s="1108" t="s">
        <v>7963</v>
      </c>
      <c r="C293" s="1108" t="s">
        <v>7872</v>
      </c>
      <c r="D293" s="1116" t="s">
        <v>8031</v>
      </c>
      <c r="E293" s="1116" t="s">
        <v>8032</v>
      </c>
      <c r="F293" s="1117">
        <v>0.1</v>
      </c>
      <c r="G293" s="1109">
        <v>0.0</v>
      </c>
      <c r="H293" s="1118">
        <v>2341800.0</v>
      </c>
      <c r="I293" s="1118">
        <f t="shared" si="1"/>
        <v>2128910</v>
      </c>
      <c r="J293" s="1110"/>
    </row>
    <row r="294" ht="18.75" customHeight="1">
      <c r="A294" s="1110"/>
      <c r="B294" s="1108" t="s">
        <v>7963</v>
      </c>
      <c r="C294" s="1108" t="s">
        <v>7872</v>
      </c>
      <c r="D294" s="1116" t="s">
        <v>8033</v>
      </c>
      <c r="E294" s="1116" t="s">
        <v>8034</v>
      </c>
      <c r="F294" s="1117">
        <v>0.1</v>
      </c>
      <c r="G294" s="1109">
        <v>0.0</v>
      </c>
      <c r="H294" s="1118">
        <v>2399900.0</v>
      </c>
      <c r="I294" s="1118">
        <f t="shared" si="1"/>
        <v>2181730</v>
      </c>
      <c r="J294" s="1110"/>
    </row>
    <row r="295" ht="18.75" customHeight="1">
      <c r="A295" s="1110"/>
      <c r="B295" s="1108" t="s">
        <v>7963</v>
      </c>
      <c r="C295" s="1108" t="s">
        <v>7872</v>
      </c>
      <c r="D295" s="1116" t="s">
        <v>8035</v>
      </c>
      <c r="E295" s="1116" t="s">
        <v>8036</v>
      </c>
      <c r="F295" s="1117">
        <v>0.1</v>
      </c>
      <c r="G295" s="1109">
        <v>0.0</v>
      </c>
      <c r="H295" s="1118">
        <v>1745500.0</v>
      </c>
      <c r="I295" s="1118">
        <f t="shared" si="1"/>
        <v>1586820</v>
      </c>
      <c r="J295" s="1110"/>
    </row>
    <row r="296" ht="18.75" customHeight="1">
      <c r="A296" s="1110"/>
      <c r="B296" s="1108" t="s">
        <v>7963</v>
      </c>
      <c r="C296" s="1108" t="s">
        <v>7872</v>
      </c>
      <c r="D296" s="1116" t="s">
        <v>8037</v>
      </c>
      <c r="E296" s="1116" t="s">
        <v>8038</v>
      </c>
      <c r="F296" s="1117">
        <v>0.1</v>
      </c>
      <c r="G296" s="1109">
        <v>0.0</v>
      </c>
      <c r="H296" s="1118">
        <v>1876200.0</v>
      </c>
      <c r="I296" s="1118">
        <f t="shared" si="1"/>
        <v>1705640</v>
      </c>
      <c r="J296" s="1110"/>
    </row>
    <row r="297" ht="18.75" customHeight="1">
      <c r="A297" s="1110"/>
      <c r="B297" s="1108" t="s">
        <v>7963</v>
      </c>
      <c r="C297" s="1108" t="s">
        <v>7872</v>
      </c>
      <c r="D297" s="1116" t="s">
        <v>8039</v>
      </c>
      <c r="E297" s="1116" t="s">
        <v>8040</v>
      </c>
      <c r="F297" s="1117">
        <v>0.1</v>
      </c>
      <c r="G297" s="1109">
        <v>0.0</v>
      </c>
      <c r="H297" s="1118">
        <v>1919700.0</v>
      </c>
      <c r="I297" s="1118">
        <f t="shared" si="1"/>
        <v>1745180</v>
      </c>
      <c r="J297" s="1110"/>
    </row>
    <row r="298" ht="18.75" customHeight="1">
      <c r="A298" s="1110"/>
      <c r="B298" s="1108" t="s">
        <v>7963</v>
      </c>
      <c r="C298" s="1108" t="s">
        <v>7872</v>
      </c>
      <c r="D298" s="1116" t="s">
        <v>8041</v>
      </c>
      <c r="E298" s="1116" t="s">
        <v>8042</v>
      </c>
      <c r="F298" s="1117">
        <v>0.1</v>
      </c>
      <c r="G298" s="1109">
        <v>0.0</v>
      </c>
      <c r="H298" s="1118">
        <v>2006800.0</v>
      </c>
      <c r="I298" s="1118">
        <f t="shared" si="1"/>
        <v>1824360</v>
      </c>
      <c r="J298" s="1110"/>
    </row>
    <row r="299" ht="18.75" customHeight="1">
      <c r="A299" s="1110"/>
      <c r="B299" s="1108" t="s">
        <v>7963</v>
      </c>
      <c r="C299" s="1108" t="s">
        <v>7872</v>
      </c>
      <c r="D299" s="1116" t="s">
        <v>8043</v>
      </c>
      <c r="E299" s="1116" t="s">
        <v>8044</v>
      </c>
      <c r="F299" s="1117">
        <v>0.1</v>
      </c>
      <c r="G299" s="1109">
        <v>0.0</v>
      </c>
      <c r="H299" s="1118">
        <v>2050400.0</v>
      </c>
      <c r="I299" s="1118">
        <f t="shared" si="1"/>
        <v>1864000</v>
      </c>
      <c r="J299" s="1110"/>
    </row>
    <row r="300" ht="18.75" customHeight="1">
      <c r="A300" s="1110"/>
      <c r="B300" s="1108" t="s">
        <v>7963</v>
      </c>
      <c r="C300" s="1108" t="s">
        <v>8024</v>
      </c>
      <c r="D300" s="1116" t="s">
        <v>8045</v>
      </c>
      <c r="E300" s="1116" t="s">
        <v>8046</v>
      </c>
      <c r="F300" s="1117">
        <v>0.1</v>
      </c>
      <c r="G300" s="1109">
        <v>0.0</v>
      </c>
      <c r="H300" s="1118">
        <v>1431100.0</v>
      </c>
      <c r="I300" s="1118">
        <f t="shared" si="1"/>
        <v>1301000</v>
      </c>
      <c r="J300" s="1110"/>
    </row>
    <row r="301" ht="18.75" customHeight="1">
      <c r="A301" s="1110"/>
      <c r="B301" s="1108" t="s">
        <v>7963</v>
      </c>
      <c r="C301" s="1108" t="s">
        <v>8024</v>
      </c>
      <c r="D301" s="1116" t="s">
        <v>8047</v>
      </c>
      <c r="E301" s="1116" t="s">
        <v>8048</v>
      </c>
      <c r="F301" s="1117">
        <v>0.1</v>
      </c>
      <c r="G301" s="1109">
        <v>0.0</v>
      </c>
      <c r="H301" s="1118">
        <v>1518200.0</v>
      </c>
      <c r="I301" s="1118">
        <f t="shared" si="1"/>
        <v>1380180</v>
      </c>
      <c r="J301" s="1110"/>
    </row>
    <row r="302" ht="18.75" customHeight="1">
      <c r="A302" s="1110"/>
      <c r="B302" s="1108" t="s">
        <v>7963</v>
      </c>
      <c r="C302" s="1108" t="s">
        <v>7872</v>
      </c>
      <c r="D302" s="1116" t="s">
        <v>8049</v>
      </c>
      <c r="E302" s="1116" t="s">
        <v>8050</v>
      </c>
      <c r="F302" s="1117">
        <v>0.1</v>
      </c>
      <c r="G302" s="1109">
        <v>0.0</v>
      </c>
      <c r="H302" s="1118">
        <v>1547300.0</v>
      </c>
      <c r="I302" s="1118">
        <f t="shared" si="1"/>
        <v>1406640</v>
      </c>
      <c r="J302" s="1110"/>
    </row>
    <row r="303" ht="18.75" customHeight="1">
      <c r="A303" s="1110"/>
      <c r="B303" s="1108" t="s">
        <v>7963</v>
      </c>
      <c r="C303" s="1108" t="s">
        <v>7872</v>
      </c>
      <c r="D303" s="1116" t="s">
        <v>8051</v>
      </c>
      <c r="E303" s="1116" t="s">
        <v>8052</v>
      </c>
      <c r="F303" s="1117">
        <v>0.1</v>
      </c>
      <c r="G303" s="1109">
        <v>0.0</v>
      </c>
      <c r="H303" s="1118">
        <v>1605300.0</v>
      </c>
      <c r="I303" s="1118">
        <f t="shared" si="1"/>
        <v>1459360</v>
      </c>
      <c r="J303" s="1110"/>
    </row>
    <row r="304" ht="18.75" customHeight="1">
      <c r="A304" s="1110"/>
      <c r="B304" s="1108" t="s">
        <v>7963</v>
      </c>
      <c r="C304" s="1108" t="s">
        <v>7872</v>
      </c>
      <c r="D304" s="1116" t="s">
        <v>8053</v>
      </c>
      <c r="E304" s="1116" t="s">
        <v>8054</v>
      </c>
      <c r="F304" s="1117">
        <v>0.1</v>
      </c>
      <c r="G304" s="1109">
        <v>0.0</v>
      </c>
      <c r="H304" s="1118">
        <v>1634400.0</v>
      </c>
      <c r="I304" s="1118">
        <f t="shared" si="1"/>
        <v>1485820</v>
      </c>
      <c r="J304" s="1110"/>
    </row>
    <row r="305" ht="18.75" customHeight="1">
      <c r="A305" s="1110"/>
      <c r="B305" s="1108" t="s">
        <v>8055</v>
      </c>
      <c r="C305" s="1108" t="s">
        <v>7872</v>
      </c>
      <c r="D305" s="1116" t="s">
        <v>8056</v>
      </c>
      <c r="E305" s="1116" t="s">
        <v>8057</v>
      </c>
      <c r="F305" s="1117">
        <v>0.1</v>
      </c>
      <c r="G305" s="1109">
        <v>0.0</v>
      </c>
      <c r="H305" s="1118">
        <v>2110000.0</v>
      </c>
      <c r="I305" s="1118">
        <f t="shared" si="1"/>
        <v>1918180</v>
      </c>
      <c r="J305" s="1110"/>
    </row>
    <row r="306" ht="18.75" customHeight="1">
      <c r="A306" s="1110"/>
      <c r="B306" s="1108" t="s">
        <v>8055</v>
      </c>
      <c r="C306" s="1108" t="s">
        <v>7872</v>
      </c>
      <c r="D306" s="1116" t="s">
        <v>8058</v>
      </c>
      <c r="E306" s="1116" t="s">
        <v>8059</v>
      </c>
      <c r="F306" s="1117">
        <v>0.1</v>
      </c>
      <c r="G306" s="1109">
        <v>0.0</v>
      </c>
      <c r="H306" s="1118">
        <v>2763400.0</v>
      </c>
      <c r="I306" s="1118">
        <f t="shared" si="1"/>
        <v>2512180</v>
      </c>
      <c r="J306" s="1110"/>
    </row>
    <row r="307" ht="18.75" customHeight="1">
      <c r="A307" s="1110"/>
      <c r="B307" s="1108" t="s">
        <v>8055</v>
      </c>
      <c r="C307" s="1108" t="s">
        <v>7872</v>
      </c>
      <c r="D307" s="1116" t="s">
        <v>8060</v>
      </c>
      <c r="E307" s="1116" t="s">
        <v>8061</v>
      </c>
      <c r="F307" s="1117">
        <v>0.1</v>
      </c>
      <c r="G307" s="1109">
        <v>0.0</v>
      </c>
      <c r="H307" s="1118">
        <v>2981200.0</v>
      </c>
      <c r="I307" s="1118">
        <f t="shared" si="1"/>
        <v>2710180</v>
      </c>
      <c r="J307" s="1110"/>
    </row>
    <row r="308" ht="18.75" customHeight="1">
      <c r="A308" s="1110"/>
      <c r="B308" s="1108" t="s">
        <v>8055</v>
      </c>
      <c r="C308" s="1108" t="s">
        <v>7872</v>
      </c>
      <c r="D308" s="1116" t="s">
        <v>8062</v>
      </c>
      <c r="E308" s="1116" t="s">
        <v>8063</v>
      </c>
      <c r="F308" s="1117">
        <v>0.1</v>
      </c>
      <c r="G308" s="1109">
        <v>0.0</v>
      </c>
      <c r="H308" s="1118">
        <v>3416800.0</v>
      </c>
      <c r="I308" s="1118">
        <f t="shared" si="1"/>
        <v>3106180</v>
      </c>
      <c r="J308" s="1110"/>
    </row>
    <row r="309" ht="18.75" customHeight="1">
      <c r="A309" s="1110"/>
      <c r="B309" s="1108" t="s">
        <v>8055</v>
      </c>
      <c r="C309" s="1108" t="s">
        <v>7872</v>
      </c>
      <c r="D309" s="1116" t="s">
        <v>8064</v>
      </c>
      <c r="E309" s="1116" t="s">
        <v>8065</v>
      </c>
      <c r="F309" s="1117">
        <v>0.1</v>
      </c>
      <c r="G309" s="1109">
        <v>0.0</v>
      </c>
      <c r="H309" s="1118">
        <v>3634600.0</v>
      </c>
      <c r="I309" s="1118">
        <f t="shared" si="1"/>
        <v>3304180</v>
      </c>
      <c r="J309" s="1110"/>
    </row>
    <row r="310" ht="18.75" customHeight="1">
      <c r="A310" s="1110"/>
      <c r="B310" s="1108" t="s">
        <v>8055</v>
      </c>
      <c r="C310" s="1108" t="s">
        <v>7872</v>
      </c>
      <c r="D310" s="1116" t="s">
        <v>8066</v>
      </c>
      <c r="E310" s="1116" t="s">
        <v>8067</v>
      </c>
      <c r="F310" s="1117">
        <v>0.1</v>
      </c>
      <c r="G310" s="1109">
        <v>0.0</v>
      </c>
      <c r="H310" s="1118">
        <v>1878300.0</v>
      </c>
      <c r="I310" s="1118">
        <f t="shared" si="1"/>
        <v>1707550</v>
      </c>
      <c r="J310" s="1110"/>
    </row>
    <row r="311" ht="18.75" customHeight="1">
      <c r="A311" s="1110"/>
      <c r="B311" s="1108" t="s">
        <v>8055</v>
      </c>
      <c r="C311" s="1108" t="s">
        <v>8024</v>
      </c>
      <c r="D311" s="1116" t="s">
        <v>8068</v>
      </c>
      <c r="E311" s="1116" t="s">
        <v>8069</v>
      </c>
      <c r="F311" s="1117">
        <v>0.1</v>
      </c>
      <c r="G311" s="1109">
        <v>0.0</v>
      </c>
      <c r="H311" s="1118">
        <v>2357400.0</v>
      </c>
      <c r="I311" s="1118">
        <f t="shared" si="1"/>
        <v>2143090</v>
      </c>
      <c r="J311" s="1110"/>
    </row>
    <row r="312" ht="18.75" customHeight="1">
      <c r="A312" s="1110"/>
      <c r="B312" s="1108" t="s">
        <v>8055</v>
      </c>
      <c r="C312" s="1108" t="s">
        <v>7872</v>
      </c>
      <c r="D312" s="1116" t="s">
        <v>8070</v>
      </c>
      <c r="E312" s="1116" t="s">
        <v>8071</v>
      </c>
      <c r="F312" s="1117">
        <v>0.1</v>
      </c>
      <c r="G312" s="1109">
        <v>0.0</v>
      </c>
      <c r="H312" s="1118">
        <v>2517100.0</v>
      </c>
      <c r="I312" s="1118">
        <f t="shared" si="1"/>
        <v>2288270</v>
      </c>
      <c r="J312" s="1110"/>
    </row>
    <row r="313" ht="18.75" customHeight="1">
      <c r="A313" s="1110"/>
      <c r="B313" s="1108" t="s">
        <v>8055</v>
      </c>
      <c r="C313" s="1108" t="s">
        <v>7872</v>
      </c>
      <c r="D313" s="1116" t="s">
        <v>8072</v>
      </c>
      <c r="E313" s="1116" t="s">
        <v>8073</v>
      </c>
      <c r="F313" s="1117">
        <v>0.1</v>
      </c>
      <c r="G313" s="1109">
        <v>0.0</v>
      </c>
      <c r="H313" s="1118">
        <v>2836600.0</v>
      </c>
      <c r="I313" s="1118">
        <f t="shared" si="1"/>
        <v>2578730</v>
      </c>
      <c r="J313" s="1110"/>
    </row>
    <row r="314" ht="18.75" customHeight="1">
      <c r="A314" s="1110"/>
      <c r="B314" s="1108" t="s">
        <v>8055</v>
      </c>
      <c r="C314" s="1108" t="s">
        <v>7872</v>
      </c>
      <c r="D314" s="1116" t="s">
        <v>8074</v>
      </c>
      <c r="E314" s="1116" t="s">
        <v>8075</v>
      </c>
      <c r="F314" s="1117">
        <v>0.1</v>
      </c>
      <c r="G314" s="1109">
        <v>0.0</v>
      </c>
      <c r="H314" s="1118">
        <v>2996300.0</v>
      </c>
      <c r="I314" s="1118">
        <f t="shared" si="1"/>
        <v>2723910</v>
      </c>
      <c r="J314" s="1110"/>
    </row>
    <row r="315" ht="18.75" customHeight="1">
      <c r="A315" s="1110"/>
      <c r="B315" s="1108" t="s">
        <v>8055</v>
      </c>
      <c r="C315" s="1108" t="s">
        <v>8024</v>
      </c>
      <c r="D315" s="1116" t="s">
        <v>8076</v>
      </c>
      <c r="E315" s="1116" t="s">
        <v>8077</v>
      </c>
      <c r="F315" s="1117">
        <v>0.1</v>
      </c>
      <c r="G315" s="1109">
        <v>0.0</v>
      </c>
      <c r="H315" s="1118">
        <v>2205100.0</v>
      </c>
      <c r="I315" s="1118">
        <f t="shared" si="1"/>
        <v>2004640</v>
      </c>
      <c r="J315" s="1110"/>
    </row>
    <row r="316" ht="18.75" customHeight="1">
      <c r="A316" s="1110"/>
      <c r="B316" s="1108" t="s">
        <v>8055</v>
      </c>
      <c r="C316" s="1108" t="s">
        <v>8078</v>
      </c>
      <c r="D316" s="1116" t="s">
        <v>8079</v>
      </c>
      <c r="E316" s="1116" t="s">
        <v>8080</v>
      </c>
      <c r="F316" s="1117">
        <v>0.1</v>
      </c>
      <c r="G316" s="1109">
        <v>0.0</v>
      </c>
      <c r="H316" s="1118">
        <v>2640700.0</v>
      </c>
      <c r="I316" s="1118">
        <f t="shared" si="1"/>
        <v>2400640</v>
      </c>
      <c r="J316" s="1110"/>
    </row>
    <row r="317" ht="18.75" customHeight="1">
      <c r="A317" s="1110"/>
      <c r="B317" s="1108" t="s">
        <v>8055</v>
      </c>
      <c r="C317" s="1108" t="s">
        <v>7872</v>
      </c>
      <c r="D317" s="1116" t="s">
        <v>8081</v>
      </c>
      <c r="E317" s="1116" t="s">
        <v>8082</v>
      </c>
      <c r="F317" s="1117">
        <v>0.1</v>
      </c>
      <c r="G317" s="1109">
        <v>0.0</v>
      </c>
      <c r="H317" s="1118">
        <v>2785900.0</v>
      </c>
      <c r="I317" s="1118">
        <f t="shared" si="1"/>
        <v>2532640</v>
      </c>
      <c r="J317" s="1110"/>
    </row>
    <row r="318" ht="18.75" customHeight="1">
      <c r="A318" s="1110"/>
      <c r="B318" s="1108" t="s">
        <v>8055</v>
      </c>
      <c r="C318" s="1108" t="s">
        <v>7872</v>
      </c>
      <c r="D318" s="1116" t="s">
        <v>8083</v>
      </c>
      <c r="E318" s="1116" t="s">
        <v>8084</v>
      </c>
      <c r="F318" s="1117">
        <v>0.1</v>
      </c>
      <c r="G318" s="1109">
        <v>0.0</v>
      </c>
      <c r="H318" s="1118">
        <v>3076300.0</v>
      </c>
      <c r="I318" s="1118">
        <f t="shared" si="1"/>
        <v>2796640</v>
      </c>
      <c r="J318" s="1110"/>
    </row>
    <row r="319" ht="18.75" customHeight="1">
      <c r="A319" s="1110"/>
      <c r="B319" s="1108" t="s">
        <v>8055</v>
      </c>
      <c r="C319" s="1108" t="s">
        <v>7872</v>
      </c>
      <c r="D319" s="1116" t="s">
        <v>8085</v>
      </c>
      <c r="E319" s="1116" t="s">
        <v>8086</v>
      </c>
      <c r="F319" s="1117">
        <v>0.1</v>
      </c>
      <c r="G319" s="1109">
        <v>0.0</v>
      </c>
      <c r="H319" s="1118">
        <v>3221500.0</v>
      </c>
      <c r="I319" s="1118">
        <f t="shared" si="1"/>
        <v>2928640</v>
      </c>
      <c r="J319" s="1110"/>
    </row>
    <row r="320" ht="18.75" customHeight="1">
      <c r="A320" s="1110"/>
      <c r="B320" s="1108" t="s">
        <v>8055</v>
      </c>
      <c r="C320" s="1108" t="s">
        <v>8078</v>
      </c>
      <c r="D320" s="1116" t="s">
        <v>8087</v>
      </c>
      <c r="E320" s="1116" t="s">
        <v>8088</v>
      </c>
      <c r="F320" s="1117">
        <v>0.1</v>
      </c>
      <c r="G320" s="1109">
        <v>0.0</v>
      </c>
      <c r="H320" s="1118">
        <v>1648000.0</v>
      </c>
      <c r="I320" s="1118">
        <f t="shared" si="1"/>
        <v>1498180</v>
      </c>
      <c r="J320" s="1110"/>
    </row>
    <row r="321" ht="18.75" customHeight="1">
      <c r="A321" s="1110"/>
      <c r="B321" s="1108" t="s">
        <v>8055</v>
      </c>
      <c r="C321" s="1108" t="s">
        <v>8078</v>
      </c>
      <c r="D321" s="1116" t="s">
        <v>8089</v>
      </c>
      <c r="E321" s="1116" t="s">
        <v>8090</v>
      </c>
      <c r="F321" s="1117">
        <v>0.1</v>
      </c>
      <c r="G321" s="1109">
        <v>0.0</v>
      </c>
      <c r="H321" s="1118">
        <v>1952900.0</v>
      </c>
      <c r="I321" s="1118">
        <f t="shared" si="1"/>
        <v>1775360</v>
      </c>
      <c r="J321" s="1110"/>
    </row>
    <row r="322" ht="18.75" customHeight="1">
      <c r="A322" s="1110"/>
      <c r="B322" s="1108" t="s">
        <v>8055</v>
      </c>
      <c r="C322" s="1108" t="s">
        <v>7872</v>
      </c>
      <c r="D322" s="1116" t="s">
        <v>8091</v>
      </c>
      <c r="E322" s="1116" t="s">
        <v>8092</v>
      </c>
      <c r="F322" s="1117">
        <v>0.1</v>
      </c>
      <c r="G322" s="1109">
        <v>0.0</v>
      </c>
      <c r="H322" s="1118">
        <v>2054600.0</v>
      </c>
      <c r="I322" s="1118">
        <f t="shared" si="1"/>
        <v>1867820</v>
      </c>
      <c r="J322" s="1110"/>
    </row>
    <row r="323" ht="18.75" customHeight="1">
      <c r="A323" s="1110"/>
      <c r="B323" s="1108" t="s">
        <v>8055</v>
      </c>
      <c r="C323" s="1108" t="s">
        <v>7872</v>
      </c>
      <c r="D323" s="1116" t="s">
        <v>8093</v>
      </c>
      <c r="E323" s="1116" t="s">
        <v>8094</v>
      </c>
      <c r="F323" s="1117">
        <v>0.1</v>
      </c>
      <c r="G323" s="1109">
        <v>0.0</v>
      </c>
      <c r="H323" s="1118">
        <v>2257900.0</v>
      </c>
      <c r="I323" s="1118">
        <f t="shared" si="1"/>
        <v>2052640</v>
      </c>
      <c r="J323" s="1110"/>
    </row>
    <row r="324" ht="18.75" customHeight="1">
      <c r="A324" s="1110"/>
      <c r="B324" s="1108" t="s">
        <v>8055</v>
      </c>
      <c r="C324" s="1108" t="s">
        <v>7872</v>
      </c>
      <c r="D324" s="1116" t="s">
        <v>8095</v>
      </c>
      <c r="E324" s="1116" t="s">
        <v>8096</v>
      </c>
      <c r="F324" s="1117">
        <v>0.1</v>
      </c>
      <c r="G324" s="1109">
        <v>0.0</v>
      </c>
      <c r="H324" s="1118">
        <v>2359500.0</v>
      </c>
      <c r="I324" s="1118">
        <f t="shared" si="1"/>
        <v>2145000</v>
      </c>
      <c r="J324" s="1110"/>
    </row>
    <row r="325" ht="18.75" customHeight="1">
      <c r="A325" s="1110"/>
      <c r="B325" s="1108" t="s">
        <v>8055</v>
      </c>
      <c r="C325" s="1108" t="s">
        <v>8078</v>
      </c>
      <c r="D325" s="1116" t="s">
        <v>8097</v>
      </c>
      <c r="E325" s="1116" t="s">
        <v>8098</v>
      </c>
      <c r="F325" s="1117">
        <v>0.1</v>
      </c>
      <c r="G325" s="1109">
        <v>0.0</v>
      </c>
      <c r="H325" s="1118">
        <v>1505100.0</v>
      </c>
      <c r="I325" s="1118">
        <f t="shared" si="1"/>
        <v>1368270</v>
      </c>
      <c r="J325" s="1110"/>
    </row>
    <row r="326" ht="18.75" customHeight="1">
      <c r="A326" s="1110"/>
      <c r="B326" s="1108" t="s">
        <v>8055</v>
      </c>
      <c r="C326" s="1108" t="s">
        <v>8078</v>
      </c>
      <c r="D326" s="1116" t="s">
        <v>8099</v>
      </c>
      <c r="E326" s="1116" t="s">
        <v>8100</v>
      </c>
      <c r="F326" s="1117">
        <v>0.1</v>
      </c>
      <c r="G326" s="1109">
        <v>0.0</v>
      </c>
      <c r="H326" s="1118">
        <v>1722900.0</v>
      </c>
      <c r="I326" s="1118">
        <f t="shared" si="1"/>
        <v>1566270</v>
      </c>
      <c r="J326" s="1110"/>
    </row>
    <row r="327" ht="18.75" customHeight="1">
      <c r="A327" s="1110"/>
      <c r="B327" s="1108" t="s">
        <v>8055</v>
      </c>
      <c r="C327" s="1108" t="s">
        <v>7872</v>
      </c>
      <c r="D327" s="1116" t="s">
        <v>8101</v>
      </c>
      <c r="E327" s="1116" t="s">
        <v>8102</v>
      </c>
      <c r="F327" s="1117">
        <v>0.1</v>
      </c>
      <c r="G327" s="1109">
        <v>0.0</v>
      </c>
      <c r="H327" s="1118">
        <v>1795500.0</v>
      </c>
      <c r="I327" s="1118">
        <f t="shared" si="1"/>
        <v>1632270</v>
      </c>
      <c r="J327" s="1110"/>
    </row>
    <row r="328" ht="18.75" customHeight="1">
      <c r="A328" s="1110"/>
      <c r="B328" s="1108" t="s">
        <v>8055</v>
      </c>
      <c r="C328" s="1108" t="s">
        <v>7872</v>
      </c>
      <c r="D328" s="1116" t="s">
        <v>8103</v>
      </c>
      <c r="E328" s="1116" t="s">
        <v>8104</v>
      </c>
      <c r="F328" s="1117">
        <v>0.1</v>
      </c>
      <c r="G328" s="1109">
        <v>0.0</v>
      </c>
      <c r="H328" s="1118">
        <v>1940700.0</v>
      </c>
      <c r="I328" s="1118">
        <f t="shared" si="1"/>
        <v>1764270</v>
      </c>
      <c r="J328" s="1110"/>
    </row>
    <row r="329" ht="18.75" customHeight="1">
      <c r="A329" s="1110"/>
      <c r="B329" s="1108" t="s">
        <v>8055</v>
      </c>
      <c r="C329" s="1108" t="s">
        <v>7872</v>
      </c>
      <c r="D329" s="1116" t="s">
        <v>8105</v>
      </c>
      <c r="E329" s="1116" t="s">
        <v>8106</v>
      </c>
      <c r="F329" s="1117">
        <v>0.1</v>
      </c>
      <c r="G329" s="1109">
        <v>0.0</v>
      </c>
      <c r="H329" s="1118">
        <v>2013300.0</v>
      </c>
      <c r="I329" s="1118">
        <f t="shared" si="1"/>
        <v>1830270</v>
      </c>
      <c r="J329" s="1110"/>
    </row>
  </sheetData>
  <mergeCells count="1">
    <mergeCell ref="A1:J2"/>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0"/>
    <col customWidth="1" min="2" max="2" width="19.0"/>
    <col customWidth="1" min="3" max="3" width="16.5"/>
    <col customWidth="1" min="4" max="4" width="22.5"/>
    <col customWidth="1" min="5" max="5" width="51.5"/>
    <col customWidth="1" min="6" max="7" width="17.13"/>
    <col customWidth="1" min="8" max="8" width="16.0"/>
    <col customWidth="1" min="9" max="9" width="11.38"/>
    <col customWidth="1" min="10" max="12" width="14.13"/>
    <col customWidth="1" min="13" max="13" width="4.75"/>
  </cols>
  <sheetData>
    <row r="1" ht="12.75" customHeight="1">
      <c r="A1" s="1104" t="s">
        <v>8107</v>
      </c>
      <c r="B1" s="456"/>
      <c r="C1" s="456"/>
      <c r="D1" s="456"/>
      <c r="E1" s="456"/>
      <c r="F1" s="456"/>
      <c r="G1" s="456"/>
      <c r="H1" s="456"/>
      <c r="I1" s="456"/>
      <c r="J1" s="456"/>
      <c r="K1" s="456"/>
      <c r="L1" s="456"/>
      <c r="M1" s="457"/>
    </row>
    <row r="2" ht="12.75" customHeight="1">
      <c r="A2" s="435"/>
      <c r="B2" s="418"/>
      <c r="C2" s="418"/>
      <c r="D2" s="418"/>
      <c r="E2" s="418"/>
      <c r="F2" s="418"/>
      <c r="G2" s="418"/>
      <c r="H2" s="418"/>
      <c r="I2" s="418"/>
      <c r="J2" s="418"/>
      <c r="K2" s="418"/>
      <c r="L2" s="418"/>
      <c r="M2" s="419"/>
    </row>
    <row r="3" ht="12.75" customHeight="1">
      <c r="A3" s="1110"/>
      <c r="B3" s="1110"/>
      <c r="C3" s="1110"/>
      <c r="D3" s="1110"/>
      <c r="E3" s="1110"/>
      <c r="F3" s="1110"/>
      <c r="G3" s="1110"/>
      <c r="H3" s="1110"/>
      <c r="I3" s="1110"/>
      <c r="J3" s="1110"/>
      <c r="K3" s="1110"/>
      <c r="L3" s="1110"/>
      <c r="M3" s="1110"/>
    </row>
    <row r="4" ht="21.0" customHeight="1">
      <c r="A4" s="1110"/>
      <c r="B4" s="1106" t="s">
        <v>1279</v>
      </c>
      <c r="C4" s="1106" t="s">
        <v>1280</v>
      </c>
      <c r="D4" s="1113" t="s">
        <v>1281</v>
      </c>
      <c r="E4" s="1113" t="s">
        <v>1282</v>
      </c>
      <c r="F4" s="1113" t="s">
        <v>8108</v>
      </c>
      <c r="G4" s="1113" t="s">
        <v>8109</v>
      </c>
      <c r="H4" s="1106" t="s">
        <v>1283</v>
      </c>
      <c r="I4" s="1106" t="s">
        <v>1284</v>
      </c>
      <c r="J4" s="1114" t="s">
        <v>68</v>
      </c>
      <c r="K4" s="1114" t="s">
        <v>70</v>
      </c>
      <c r="L4" s="1114" t="s">
        <v>71</v>
      </c>
      <c r="M4" s="1110"/>
    </row>
    <row r="5" ht="18.75" customHeight="1">
      <c r="A5" s="1110"/>
      <c r="B5" s="1108" t="s">
        <v>8110</v>
      </c>
      <c r="C5" s="1108" t="s">
        <v>8111</v>
      </c>
      <c r="D5" s="1116" t="s">
        <v>8112</v>
      </c>
      <c r="E5" s="1116" t="s">
        <v>8113</v>
      </c>
      <c r="F5" s="1116" t="s">
        <v>8114</v>
      </c>
      <c r="G5" s="1116" t="s">
        <v>8115</v>
      </c>
      <c r="H5" s="1109">
        <v>0.1</v>
      </c>
      <c r="I5" s="1109">
        <v>0.0</v>
      </c>
      <c r="J5" s="1116"/>
      <c r="K5" s="1116" t="str">
        <f t="shared" ref="K5:K45" si="1">IF(ISBLANK(J5),,ROUND(J5/(1+H5),-1))</f>
        <v/>
      </c>
      <c r="L5" s="1116" t="str">
        <f t="shared" ref="L5:L45" si="2">IF(ISBLANK(J5),,ROUND(J5*(1-I5),-1))</f>
        <v/>
      </c>
      <c r="M5" s="1110"/>
    </row>
    <row r="6" ht="18.75" customHeight="1">
      <c r="A6" s="1110"/>
      <c r="B6" s="1108" t="s">
        <v>8110</v>
      </c>
      <c r="C6" s="1108" t="s">
        <v>8116</v>
      </c>
      <c r="D6" s="1116" t="s">
        <v>127</v>
      </c>
      <c r="E6" s="1116" t="s">
        <v>8117</v>
      </c>
      <c r="F6" s="1116" t="s">
        <v>94</v>
      </c>
      <c r="G6" s="1116" t="s">
        <v>8115</v>
      </c>
      <c r="H6" s="1109">
        <v>0.1</v>
      </c>
      <c r="I6" s="1109">
        <v>0.0</v>
      </c>
      <c r="J6" s="1118">
        <v>2650000.0</v>
      </c>
      <c r="K6" s="1118">
        <f t="shared" si="1"/>
        <v>2409090</v>
      </c>
      <c r="L6" s="1118">
        <f t="shared" si="2"/>
        <v>2650000</v>
      </c>
      <c r="M6" s="1110"/>
    </row>
    <row r="7" ht="18.75" customHeight="1">
      <c r="A7" s="1110"/>
      <c r="B7" s="1108" t="s">
        <v>8110</v>
      </c>
      <c r="C7" s="1108" t="s">
        <v>8118</v>
      </c>
      <c r="D7" s="1116" t="s">
        <v>184</v>
      </c>
      <c r="E7" s="1116" t="s">
        <v>8119</v>
      </c>
      <c r="F7" s="1116" t="s">
        <v>102</v>
      </c>
      <c r="G7" s="1116" t="s">
        <v>8115</v>
      </c>
      <c r="H7" s="1109">
        <v>0.1</v>
      </c>
      <c r="I7" s="1109">
        <v>0.0</v>
      </c>
      <c r="J7" s="1118"/>
      <c r="K7" s="1118" t="str">
        <f t="shared" si="1"/>
        <v/>
      </c>
      <c r="L7" s="1118" t="str">
        <f t="shared" si="2"/>
        <v/>
      </c>
      <c r="M7" s="1110"/>
    </row>
    <row r="8" ht="18.75" customHeight="1">
      <c r="A8" s="1110"/>
      <c r="B8" s="1108" t="s">
        <v>8110</v>
      </c>
      <c r="C8" s="1108" t="s">
        <v>8118</v>
      </c>
      <c r="D8" s="1116" t="s">
        <v>171</v>
      </c>
      <c r="E8" s="1116" t="s">
        <v>8120</v>
      </c>
      <c r="F8" s="1116" t="s">
        <v>102</v>
      </c>
      <c r="G8" s="1116" t="s">
        <v>8115</v>
      </c>
      <c r="H8" s="1109">
        <v>0.1</v>
      </c>
      <c r="I8" s="1109">
        <v>0.0</v>
      </c>
      <c r="J8" s="1118">
        <v>3310000.0</v>
      </c>
      <c r="K8" s="1118">
        <f t="shared" si="1"/>
        <v>3009090</v>
      </c>
      <c r="L8" s="1118">
        <f t="shared" si="2"/>
        <v>3310000</v>
      </c>
      <c r="M8" s="1110"/>
    </row>
    <row r="9" ht="18.75" customHeight="1">
      <c r="A9" s="1110"/>
      <c r="B9" s="1108" t="s">
        <v>8110</v>
      </c>
      <c r="C9" s="1108" t="s">
        <v>8121</v>
      </c>
      <c r="D9" s="1116" t="s">
        <v>185</v>
      </c>
      <c r="E9" s="1116" t="s">
        <v>8122</v>
      </c>
      <c r="F9" s="1116" t="s">
        <v>107</v>
      </c>
      <c r="G9" s="1116" t="s">
        <v>8115</v>
      </c>
      <c r="H9" s="1109">
        <v>0.1</v>
      </c>
      <c r="I9" s="1109">
        <v>0.0</v>
      </c>
      <c r="J9" s="1118">
        <v>3300000.0</v>
      </c>
      <c r="K9" s="1118">
        <f t="shared" si="1"/>
        <v>3000000</v>
      </c>
      <c r="L9" s="1118">
        <f t="shared" si="2"/>
        <v>3300000</v>
      </c>
      <c r="M9" s="1110"/>
    </row>
    <row r="10" ht="18.75" customHeight="1">
      <c r="A10" s="1110"/>
      <c r="B10" s="1108" t="s">
        <v>8110</v>
      </c>
      <c r="C10" s="1108" t="s">
        <v>8123</v>
      </c>
      <c r="D10" s="1116" t="s">
        <v>130</v>
      </c>
      <c r="E10" s="1116" t="s">
        <v>8124</v>
      </c>
      <c r="F10" s="1116" t="s">
        <v>97</v>
      </c>
      <c r="G10" s="1116" t="s">
        <v>8115</v>
      </c>
      <c r="H10" s="1109">
        <v>0.1</v>
      </c>
      <c r="I10" s="1109">
        <v>0.0</v>
      </c>
      <c r="J10" s="1118">
        <v>2320000.0</v>
      </c>
      <c r="K10" s="1118">
        <f t="shared" si="1"/>
        <v>2109090</v>
      </c>
      <c r="L10" s="1118">
        <f t="shared" si="2"/>
        <v>2320000</v>
      </c>
      <c r="M10" s="1110"/>
    </row>
    <row r="11" ht="18.75" customHeight="1">
      <c r="A11" s="1110"/>
      <c r="B11" s="1108" t="s">
        <v>8110</v>
      </c>
      <c r="C11" s="1108" t="s">
        <v>8123</v>
      </c>
      <c r="D11" s="1116" t="s">
        <v>170</v>
      </c>
      <c r="E11" s="1116" t="s">
        <v>8125</v>
      </c>
      <c r="F11" s="1116" t="s">
        <v>97</v>
      </c>
      <c r="G11" s="1116" t="s">
        <v>8115</v>
      </c>
      <c r="H11" s="1109">
        <v>0.1</v>
      </c>
      <c r="I11" s="1109">
        <v>0.0</v>
      </c>
      <c r="J11" s="1118">
        <v>3310000.0</v>
      </c>
      <c r="K11" s="1118">
        <f t="shared" si="1"/>
        <v>3009090</v>
      </c>
      <c r="L11" s="1118">
        <f t="shared" si="2"/>
        <v>3310000</v>
      </c>
      <c r="M11" s="1110"/>
    </row>
    <row r="12" ht="18.75" customHeight="1">
      <c r="A12" s="1110"/>
      <c r="B12" s="1108" t="s">
        <v>8126</v>
      </c>
      <c r="C12" s="1108" t="s">
        <v>8127</v>
      </c>
      <c r="D12" s="1116" t="s">
        <v>8128</v>
      </c>
      <c r="E12" s="1116" t="s">
        <v>8129</v>
      </c>
      <c r="F12" s="1116" t="s">
        <v>80</v>
      </c>
      <c r="G12" s="1116" t="s">
        <v>8115</v>
      </c>
      <c r="H12" s="1109">
        <v>0.1</v>
      </c>
      <c r="I12" s="1109">
        <v>0.0</v>
      </c>
      <c r="J12" s="1116"/>
      <c r="K12" s="1116" t="str">
        <f t="shared" si="1"/>
        <v/>
      </c>
      <c r="L12" s="1116" t="str">
        <f t="shared" si="2"/>
        <v/>
      </c>
      <c r="M12" s="1110"/>
    </row>
    <row r="13" ht="18.75" customHeight="1">
      <c r="A13" s="1110"/>
      <c r="B13" s="1108" t="s">
        <v>8126</v>
      </c>
      <c r="C13" s="1108" t="s">
        <v>8130</v>
      </c>
      <c r="D13" s="1116" t="s">
        <v>164</v>
      </c>
      <c r="E13" s="1116" t="s">
        <v>8131</v>
      </c>
      <c r="F13" s="1116" t="s">
        <v>94</v>
      </c>
      <c r="G13" s="1116" t="s">
        <v>8115</v>
      </c>
      <c r="H13" s="1109">
        <v>0.1</v>
      </c>
      <c r="I13" s="1109">
        <v>0.0</v>
      </c>
      <c r="J13" s="1118">
        <v>1960000.0</v>
      </c>
      <c r="K13" s="1118">
        <f t="shared" si="1"/>
        <v>1781820</v>
      </c>
      <c r="L13" s="1118">
        <f t="shared" si="2"/>
        <v>1960000</v>
      </c>
      <c r="M13" s="1110"/>
    </row>
    <row r="14" ht="18.75" customHeight="1">
      <c r="A14" s="1110"/>
      <c r="B14" s="1108" t="s">
        <v>8126</v>
      </c>
      <c r="C14" s="1108" t="s">
        <v>8132</v>
      </c>
      <c r="D14" s="1116" t="s">
        <v>198</v>
      </c>
      <c r="E14" s="1116" t="s">
        <v>8133</v>
      </c>
      <c r="F14" s="1116" t="s">
        <v>102</v>
      </c>
      <c r="G14" s="1116" t="s">
        <v>8115</v>
      </c>
      <c r="H14" s="1109">
        <v>0.1</v>
      </c>
      <c r="I14" s="1109">
        <v>0.0</v>
      </c>
      <c r="J14" s="1118"/>
      <c r="K14" s="1118" t="str">
        <f t="shared" si="1"/>
        <v/>
      </c>
      <c r="L14" s="1118" t="str">
        <f t="shared" si="2"/>
        <v/>
      </c>
      <c r="M14" s="1110"/>
    </row>
    <row r="15" ht="18.75" customHeight="1">
      <c r="A15" s="1110"/>
      <c r="B15" s="1108" t="s">
        <v>8126</v>
      </c>
      <c r="C15" s="1108" t="s">
        <v>8132</v>
      </c>
      <c r="D15" s="1116" t="s">
        <v>199</v>
      </c>
      <c r="E15" s="1116" t="s">
        <v>8134</v>
      </c>
      <c r="F15" s="1116" t="s">
        <v>107</v>
      </c>
      <c r="G15" s="1116" t="s">
        <v>8115</v>
      </c>
      <c r="H15" s="1109">
        <v>0.1</v>
      </c>
      <c r="I15" s="1109">
        <v>0.0</v>
      </c>
      <c r="J15" s="1118"/>
      <c r="K15" s="1118" t="str">
        <f t="shared" si="1"/>
        <v/>
      </c>
      <c r="L15" s="1118" t="str">
        <f t="shared" si="2"/>
        <v/>
      </c>
      <c r="M15" s="1110"/>
    </row>
    <row r="16" ht="18.75" customHeight="1">
      <c r="A16" s="1110"/>
      <c r="B16" s="1108" t="s">
        <v>8126</v>
      </c>
      <c r="C16" s="1108" t="s">
        <v>8132</v>
      </c>
      <c r="D16" s="1116" t="s">
        <v>8135</v>
      </c>
      <c r="E16" s="1116" t="s">
        <v>8136</v>
      </c>
      <c r="F16" s="1116" t="s">
        <v>97</v>
      </c>
      <c r="G16" s="1116" t="s">
        <v>8115</v>
      </c>
      <c r="H16" s="1109">
        <v>0.1</v>
      </c>
      <c r="I16" s="1109">
        <v>0.0</v>
      </c>
      <c r="J16" s="1116"/>
      <c r="K16" s="1116" t="str">
        <f t="shared" si="1"/>
        <v/>
      </c>
      <c r="L16" s="1116" t="str">
        <f t="shared" si="2"/>
        <v/>
      </c>
      <c r="M16" s="1110"/>
    </row>
    <row r="17" ht="18.75" customHeight="1">
      <c r="A17" s="1110"/>
      <c r="B17" s="1108" t="s">
        <v>8137</v>
      </c>
      <c r="C17" s="1108" t="s">
        <v>8138</v>
      </c>
      <c r="D17" s="1116" t="s">
        <v>120</v>
      </c>
      <c r="E17" s="1116" t="s">
        <v>8139</v>
      </c>
      <c r="F17" s="1116" t="s">
        <v>8140</v>
      </c>
      <c r="G17" s="1116" t="s">
        <v>8115</v>
      </c>
      <c r="H17" s="1109">
        <v>0.1</v>
      </c>
      <c r="I17" s="1109">
        <v>0.0</v>
      </c>
      <c r="J17" s="1118"/>
      <c r="K17" s="1118" t="str">
        <f t="shared" si="1"/>
        <v/>
      </c>
      <c r="L17" s="1118" t="str">
        <f t="shared" si="2"/>
        <v/>
      </c>
      <c r="M17" s="1110"/>
    </row>
    <row r="18" ht="18.75" customHeight="1">
      <c r="A18" s="1110"/>
      <c r="B18" s="1108" t="s">
        <v>8141</v>
      </c>
      <c r="C18" s="1108" t="s">
        <v>8142</v>
      </c>
      <c r="D18" s="1116" t="s">
        <v>8143</v>
      </c>
      <c r="E18" s="1116" t="s">
        <v>8144</v>
      </c>
      <c r="F18" s="1116" t="s">
        <v>94</v>
      </c>
      <c r="G18" s="1116" t="s">
        <v>8115</v>
      </c>
      <c r="H18" s="1109">
        <v>0.1</v>
      </c>
      <c r="I18" s="1109">
        <v>0.0</v>
      </c>
      <c r="J18" s="1116"/>
      <c r="K18" s="1116" t="str">
        <f t="shared" si="1"/>
        <v/>
      </c>
      <c r="L18" s="1116" t="str">
        <f t="shared" si="2"/>
        <v/>
      </c>
      <c r="M18" s="1110"/>
    </row>
    <row r="19" ht="18.75" customHeight="1">
      <c r="A19" s="1110"/>
      <c r="B19" s="1108" t="s">
        <v>8141</v>
      </c>
      <c r="C19" s="1108" t="s">
        <v>8142</v>
      </c>
      <c r="D19" s="1116" t="s">
        <v>196</v>
      </c>
      <c r="E19" s="1116" t="s">
        <v>8145</v>
      </c>
      <c r="F19" s="1116" t="s">
        <v>94</v>
      </c>
      <c r="G19" s="1116" t="s">
        <v>8146</v>
      </c>
      <c r="H19" s="1109">
        <v>0.1</v>
      </c>
      <c r="I19" s="1109">
        <v>0.0</v>
      </c>
      <c r="J19" s="1118"/>
      <c r="K19" s="1118" t="str">
        <f t="shared" si="1"/>
        <v/>
      </c>
      <c r="L19" s="1118" t="str">
        <f t="shared" si="2"/>
        <v/>
      </c>
      <c r="M19" s="1110"/>
    </row>
    <row r="20" ht="18.75" customHeight="1">
      <c r="A20" s="1110"/>
      <c r="B20" s="1108" t="s">
        <v>8147</v>
      </c>
      <c r="C20" s="1108" t="s">
        <v>8127</v>
      </c>
      <c r="D20" s="1116" t="s">
        <v>123</v>
      </c>
      <c r="E20" s="1116" t="s">
        <v>8148</v>
      </c>
      <c r="F20" s="1116" t="s">
        <v>80</v>
      </c>
      <c r="G20" s="1116" t="s">
        <v>8115</v>
      </c>
      <c r="H20" s="1109">
        <v>0.1</v>
      </c>
      <c r="I20" s="1117">
        <v>0.01</v>
      </c>
      <c r="J20" s="1118">
        <v>1950000.0</v>
      </c>
      <c r="K20" s="1118">
        <f t="shared" si="1"/>
        <v>1772730</v>
      </c>
      <c r="L20" s="1118">
        <f t="shared" si="2"/>
        <v>1930500</v>
      </c>
      <c r="M20" s="1110"/>
    </row>
    <row r="21" ht="18.75" customHeight="1">
      <c r="A21" s="1110"/>
      <c r="B21" s="1108" t="s">
        <v>8147</v>
      </c>
      <c r="C21" s="1108" t="s">
        <v>8127</v>
      </c>
      <c r="D21" s="1116" t="s">
        <v>8149</v>
      </c>
      <c r="E21" s="1116" t="s">
        <v>8150</v>
      </c>
      <c r="F21" s="1116" t="s">
        <v>80</v>
      </c>
      <c r="G21" s="1116" t="s">
        <v>8115</v>
      </c>
      <c r="H21" s="1109">
        <v>0.1</v>
      </c>
      <c r="I21" s="1117">
        <v>0.01</v>
      </c>
      <c r="J21" s="1116"/>
      <c r="K21" s="1116" t="str">
        <f t="shared" si="1"/>
        <v/>
      </c>
      <c r="L21" s="1116" t="str">
        <f t="shared" si="2"/>
        <v/>
      </c>
      <c r="M21" s="1110"/>
    </row>
    <row r="22" ht="18.75" customHeight="1">
      <c r="A22" s="1110"/>
      <c r="B22" s="1108" t="s">
        <v>8147</v>
      </c>
      <c r="C22" s="1108" t="s">
        <v>8151</v>
      </c>
      <c r="D22" s="1116" t="s">
        <v>119</v>
      </c>
      <c r="E22" s="1116" t="s">
        <v>8152</v>
      </c>
      <c r="F22" s="1116" t="s">
        <v>107</v>
      </c>
      <c r="G22" s="1116" t="s">
        <v>8115</v>
      </c>
      <c r="H22" s="1109">
        <v>0.1</v>
      </c>
      <c r="I22" s="1117">
        <v>0.01</v>
      </c>
      <c r="J22" s="1118">
        <v>1920000.0</v>
      </c>
      <c r="K22" s="1118">
        <f t="shared" si="1"/>
        <v>1745450</v>
      </c>
      <c r="L22" s="1118">
        <f t="shared" si="2"/>
        <v>1900800</v>
      </c>
      <c r="M22" s="1110"/>
    </row>
    <row r="23" ht="18.75" customHeight="1">
      <c r="A23" s="1110"/>
      <c r="B23" s="1108" t="s">
        <v>8147</v>
      </c>
      <c r="C23" s="1108" t="s">
        <v>8151</v>
      </c>
      <c r="D23" s="1116" t="s">
        <v>116</v>
      </c>
      <c r="E23" s="1116" t="s">
        <v>8153</v>
      </c>
      <c r="F23" s="1116" t="s">
        <v>97</v>
      </c>
      <c r="G23" s="1116" t="s">
        <v>8115</v>
      </c>
      <c r="H23" s="1109">
        <v>0.1</v>
      </c>
      <c r="I23" s="1117">
        <v>0.01</v>
      </c>
      <c r="J23" s="1118">
        <v>1770000.0</v>
      </c>
      <c r="K23" s="1118">
        <f t="shared" si="1"/>
        <v>1609090</v>
      </c>
      <c r="L23" s="1118">
        <f t="shared" si="2"/>
        <v>1752300</v>
      </c>
      <c r="M23" s="1110"/>
    </row>
    <row r="24" ht="18.75" customHeight="1">
      <c r="A24" s="1110"/>
      <c r="B24" s="1108" t="s">
        <v>8154</v>
      </c>
      <c r="C24" s="1108" t="s">
        <v>8155</v>
      </c>
      <c r="D24" s="1116" t="s">
        <v>8156</v>
      </c>
      <c r="E24" s="1116" t="s">
        <v>8157</v>
      </c>
      <c r="F24" s="1116" t="s">
        <v>94</v>
      </c>
      <c r="G24" s="1116" t="s">
        <v>8115</v>
      </c>
      <c r="H24" s="1109">
        <v>0.1</v>
      </c>
      <c r="I24" s="1109">
        <v>0.0</v>
      </c>
      <c r="J24" s="1116"/>
      <c r="K24" s="1116" t="str">
        <f t="shared" si="1"/>
        <v/>
      </c>
      <c r="L24" s="1116" t="str">
        <f t="shared" si="2"/>
        <v/>
      </c>
      <c r="M24" s="1110"/>
    </row>
    <row r="25" ht="18.75" customHeight="1">
      <c r="A25" s="1110"/>
      <c r="B25" s="1108" t="s">
        <v>8158</v>
      </c>
      <c r="C25" s="1108" t="s">
        <v>8159</v>
      </c>
      <c r="D25" s="1116" t="s">
        <v>8160</v>
      </c>
      <c r="E25" s="1116" t="s">
        <v>8161</v>
      </c>
      <c r="F25" s="1116" t="s">
        <v>94</v>
      </c>
      <c r="G25" s="1116" t="s">
        <v>8115</v>
      </c>
      <c r="H25" s="1109">
        <v>0.1</v>
      </c>
      <c r="I25" s="1109">
        <v>0.02</v>
      </c>
      <c r="J25" s="1116"/>
      <c r="K25" s="1116" t="str">
        <f t="shared" si="1"/>
        <v/>
      </c>
      <c r="L25" s="1116" t="str">
        <f t="shared" si="2"/>
        <v/>
      </c>
      <c r="M25" s="1110"/>
    </row>
    <row r="26" ht="18.75" customHeight="1">
      <c r="A26" s="1110"/>
      <c r="B26" s="1108" t="s">
        <v>8158</v>
      </c>
      <c r="C26" s="1108" t="s">
        <v>8162</v>
      </c>
      <c r="D26" s="1116" t="s">
        <v>113</v>
      </c>
      <c r="E26" s="1116" t="s">
        <v>8163</v>
      </c>
      <c r="F26" s="1116" t="s">
        <v>80</v>
      </c>
      <c r="G26" s="1116" t="s">
        <v>8115</v>
      </c>
      <c r="H26" s="1109">
        <v>0.1</v>
      </c>
      <c r="I26" s="1109">
        <v>0.02</v>
      </c>
      <c r="J26" s="1118">
        <v>1920000.0</v>
      </c>
      <c r="K26" s="1118">
        <f t="shared" si="1"/>
        <v>1745450</v>
      </c>
      <c r="L26" s="1118">
        <f t="shared" si="2"/>
        <v>1881600</v>
      </c>
      <c r="M26" s="1110"/>
    </row>
    <row r="27" ht="18.75" customHeight="1">
      <c r="A27" s="1110"/>
      <c r="B27" s="1108" t="s">
        <v>8158</v>
      </c>
      <c r="C27" s="1108" t="s">
        <v>8162</v>
      </c>
      <c r="D27" s="1116" t="s">
        <v>8164</v>
      </c>
      <c r="E27" s="1116" t="s">
        <v>8165</v>
      </c>
      <c r="F27" s="1116" t="s">
        <v>80</v>
      </c>
      <c r="G27" s="1116" t="s">
        <v>8115</v>
      </c>
      <c r="H27" s="1109">
        <v>0.1</v>
      </c>
      <c r="I27" s="1109">
        <v>0.02</v>
      </c>
      <c r="J27" s="1116"/>
      <c r="K27" s="1116" t="str">
        <f t="shared" si="1"/>
        <v/>
      </c>
      <c r="L27" s="1116" t="str">
        <f t="shared" si="2"/>
        <v/>
      </c>
      <c r="M27" s="1110"/>
    </row>
    <row r="28" ht="18.75" customHeight="1">
      <c r="A28" s="1110"/>
      <c r="B28" s="1108" t="s">
        <v>8158</v>
      </c>
      <c r="C28" s="1108" t="s">
        <v>8166</v>
      </c>
      <c r="D28" s="1116" t="s">
        <v>166</v>
      </c>
      <c r="E28" s="1116" t="s">
        <v>8167</v>
      </c>
      <c r="F28" s="1116" t="s">
        <v>97</v>
      </c>
      <c r="G28" s="1116" t="s">
        <v>8115</v>
      </c>
      <c r="H28" s="1109">
        <v>0.1</v>
      </c>
      <c r="I28" s="1109">
        <v>0.02</v>
      </c>
      <c r="J28" s="1118">
        <v>1810000.0</v>
      </c>
      <c r="K28" s="1118">
        <f t="shared" si="1"/>
        <v>1645450</v>
      </c>
      <c r="L28" s="1118">
        <f t="shared" si="2"/>
        <v>1773800</v>
      </c>
      <c r="M28" s="1110"/>
    </row>
    <row r="29" ht="18.75" customHeight="1">
      <c r="A29" s="1110"/>
      <c r="B29" s="1108" t="s">
        <v>424</v>
      </c>
      <c r="C29" s="1108" t="s">
        <v>8162</v>
      </c>
      <c r="D29" s="1116" t="s">
        <v>77</v>
      </c>
      <c r="E29" s="1116" t="s">
        <v>8168</v>
      </c>
      <c r="F29" s="1116" t="s">
        <v>80</v>
      </c>
      <c r="G29" s="1116" t="s">
        <v>8146</v>
      </c>
      <c r="H29" s="1109">
        <v>0.1</v>
      </c>
      <c r="I29" s="1109">
        <v>0.03</v>
      </c>
      <c r="J29" s="1118">
        <v>510000.0</v>
      </c>
      <c r="K29" s="1118">
        <f t="shared" si="1"/>
        <v>463640</v>
      </c>
      <c r="L29" s="1118">
        <f t="shared" si="2"/>
        <v>494700</v>
      </c>
      <c r="M29" s="1110"/>
    </row>
    <row r="30" ht="18.75" customHeight="1">
      <c r="A30" s="1110"/>
      <c r="B30" s="1108" t="s">
        <v>424</v>
      </c>
      <c r="C30" s="1108" t="s">
        <v>8162</v>
      </c>
      <c r="D30" s="1116" t="s">
        <v>83</v>
      </c>
      <c r="E30" s="1116" t="s">
        <v>8169</v>
      </c>
      <c r="F30" s="1116" t="s">
        <v>80</v>
      </c>
      <c r="G30" s="1116" t="s">
        <v>8115</v>
      </c>
      <c r="H30" s="1109">
        <v>0.1</v>
      </c>
      <c r="I30" s="1109">
        <v>0.02</v>
      </c>
      <c r="J30" s="1116">
        <v>1865000.0</v>
      </c>
      <c r="K30" s="1116">
        <f t="shared" si="1"/>
        <v>1695450</v>
      </c>
      <c r="L30" s="1116">
        <f t="shared" si="2"/>
        <v>1827700</v>
      </c>
      <c r="M30" s="1110"/>
    </row>
    <row r="31" ht="18.75" customHeight="1">
      <c r="A31" s="1110"/>
      <c r="B31" s="1108" t="s">
        <v>424</v>
      </c>
      <c r="C31" s="1108" t="s">
        <v>8170</v>
      </c>
      <c r="D31" s="1116" t="s">
        <v>85</v>
      </c>
      <c r="E31" s="1116" t="s">
        <v>8171</v>
      </c>
      <c r="F31" s="1116" t="s">
        <v>86</v>
      </c>
      <c r="G31" s="1116" t="s">
        <v>8146</v>
      </c>
      <c r="H31" s="1109">
        <v>0.1</v>
      </c>
      <c r="I31" s="1109">
        <v>0.03</v>
      </c>
      <c r="J31" s="1118">
        <v>338000.0</v>
      </c>
      <c r="K31" s="1118">
        <f t="shared" si="1"/>
        <v>307270</v>
      </c>
      <c r="L31" s="1118">
        <f t="shared" si="2"/>
        <v>327860</v>
      </c>
      <c r="M31" s="1110"/>
    </row>
    <row r="32" ht="18.75" customHeight="1">
      <c r="A32" s="1110"/>
      <c r="B32" s="1108" t="s">
        <v>424</v>
      </c>
      <c r="C32" s="1108" t="s">
        <v>8170</v>
      </c>
      <c r="D32" s="1116" t="s">
        <v>87</v>
      </c>
      <c r="E32" s="1116" t="s">
        <v>8172</v>
      </c>
      <c r="F32" s="1116" t="s">
        <v>86</v>
      </c>
      <c r="G32" s="1116" t="s">
        <v>8115</v>
      </c>
      <c r="H32" s="1109">
        <v>0.1</v>
      </c>
      <c r="I32" s="1109">
        <v>0.02</v>
      </c>
      <c r="J32" s="1118">
        <v>713000.0</v>
      </c>
      <c r="K32" s="1118">
        <f t="shared" si="1"/>
        <v>648180</v>
      </c>
      <c r="L32" s="1118">
        <f t="shared" si="2"/>
        <v>698740</v>
      </c>
      <c r="M32" s="1110"/>
    </row>
    <row r="33" ht="18.75" customHeight="1">
      <c r="A33" s="1110"/>
      <c r="B33" s="1108" t="s">
        <v>424</v>
      </c>
      <c r="C33" s="1108" t="s">
        <v>8170</v>
      </c>
      <c r="D33" s="1116" t="s">
        <v>89</v>
      </c>
      <c r="E33" s="1116" t="s">
        <v>8173</v>
      </c>
      <c r="F33" s="1116" t="s">
        <v>86</v>
      </c>
      <c r="G33" s="1116" t="s">
        <v>8115</v>
      </c>
      <c r="H33" s="1109">
        <v>0.1</v>
      </c>
      <c r="I33" s="1109">
        <v>0.02</v>
      </c>
      <c r="J33" s="1118">
        <v>845000.0</v>
      </c>
      <c r="K33" s="1118">
        <f t="shared" si="1"/>
        <v>768180</v>
      </c>
      <c r="L33" s="1118">
        <f t="shared" si="2"/>
        <v>828100</v>
      </c>
      <c r="M33" s="1110"/>
    </row>
    <row r="34" ht="18.75" customHeight="1">
      <c r="A34" s="1110"/>
      <c r="B34" s="1108" t="s">
        <v>424</v>
      </c>
      <c r="C34" s="1108" t="s">
        <v>8170</v>
      </c>
      <c r="D34" s="1116" t="s">
        <v>91</v>
      </c>
      <c r="E34" s="1116" t="s">
        <v>8174</v>
      </c>
      <c r="F34" s="1116" t="s">
        <v>86</v>
      </c>
      <c r="G34" s="1116" t="s">
        <v>8115</v>
      </c>
      <c r="H34" s="1109">
        <v>0.1</v>
      </c>
      <c r="I34" s="1109">
        <v>0.02</v>
      </c>
      <c r="J34" s="1118">
        <v>872000.0</v>
      </c>
      <c r="K34" s="1118">
        <f t="shared" si="1"/>
        <v>792730</v>
      </c>
      <c r="L34" s="1118">
        <f t="shared" si="2"/>
        <v>854560</v>
      </c>
      <c r="M34" s="1110"/>
    </row>
    <row r="35" ht="18.75" customHeight="1">
      <c r="A35" s="1110"/>
      <c r="B35" s="1108" t="s">
        <v>424</v>
      </c>
      <c r="C35" s="1108" t="s">
        <v>8159</v>
      </c>
      <c r="D35" s="1116" t="s">
        <v>134</v>
      </c>
      <c r="E35" s="1116" t="s">
        <v>8175</v>
      </c>
      <c r="F35" s="1116" t="s">
        <v>94</v>
      </c>
      <c r="G35" s="1116" t="s">
        <v>8115</v>
      </c>
      <c r="H35" s="1109">
        <v>0.1</v>
      </c>
      <c r="I35" s="1109">
        <v>0.02</v>
      </c>
      <c r="J35" s="1118">
        <v>1908000.0</v>
      </c>
      <c r="K35" s="1118">
        <f t="shared" si="1"/>
        <v>1734550</v>
      </c>
      <c r="L35" s="1118">
        <f t="shared" si="2"/>
        <v>1869840</v>
      </c>
      <c r="M35" s="1110"/>
    </row>
    <row r="36" ht="18.75" customHeight="1">
      <c r="A36" s="1110"/>
      <c r="B36" s="1108" t="s">
        <v>424</v>
      </c>
      <c r="C36" s="1108" t="s">
        <v>8159</v>
      </c>
      <c r="D36" s="1116" t="s">
        <v>95</v>
      </c>
      <c r="E36" s="1116" t="s">
        <v>8176</v>
      </c>
      <c r="F36" s="1116" t="s">
        <v>94</v>
      </c>
      <c r="G36" s="1116" t="s">
        <v>8115</v>
      </c>
      <c r="H36" s="1109">
        <v>0.1</v>
      </c>
      <c r="I36" s="1109">
        <v>0.02</v>
      </c>
      <c r="J36" s="1118">
        <v>1487000.0</v>
      </c>
      <c r="K36" s="1118">
        <f t="shared" si="1"/>
        <v>1351820</v>
      </c>
      <c r="L36" s="1118">
        <f t="shared" si="2"/>
        <v>1457260</v>
      </c>
      <c r="M36" s="1110"/>
    </row>
    <row r="37" ht="18.75" customHeight="1">
      <c r="A37" s="1110"/>
      <c r="B37" s="1108" t="s">
        <v>424</v>
      </c>
      <c r="C37" s="1108" t="s">
        <v>8159</v>
      </c>
      <c r="D37" s="1116" t="s">
        <v>93</v>
      </c>
      <c r="E37" s="1116" t="s">
        <v>8177</v>
      </c>
      <c r="F37" s="1116" t="s">
        <v>94</v>
      </c>
      <c r="G37" s="1116" t="s">
        <v>8146</v>
      </c>
      <c r="H37" s="1109">
        <v>0.1</v>
      </c>
      <c r="I37" s="1109">
        <v>0.03</v>
      </c>
      <c r="J37" s="1118">
        <v>422000.0</v>
      </c>
      <c r="K37" s="1118">
        <f t="shared" si="1"/>
        <v>383640</v>
      </c>
      <c r="L37" s="1118">
        <f t="shared" si="2"/>
        <v>409340</v>
      </c>
      <c r="M37" s="1110"/>
    </row>
    <row r="38" ht="18.75" customHeight="1">
      <c r="A38" s="1110"/>
      <c r="B38" s="1108" t="s">
        <v>424</v>
      </c>
      <c r="C38" s="1108" t="s">
        <v>8166</v>
      </c>
      <c r="D38" s="1116" t="s">
        <v>96</v>
      </c>
      <c r="E38" s="1116" t="s">
        <v>8178</v>
      </c>
      <c r="F38" s="1116" t="s">
        <v>97</v>
      </c>
      <c r="G38" s="1116" t="s">
        <v>8146</v>
      </c>
      <c r="H38" s="1109">
        <v>0.1</v>
      </c>
      <c r="I38" s="1109">
        <v>0.03</v>
      </c>
      <c r="J38" s="1118">
        <v>427000.0</v>
      </c>
      <c r="K38" s="1118">
        <f t="shared" si="1"/>
        <v>388180</v>
      </c>
      <c r="L38" s="1118">
        <f t="shared" si="2"/>
        <v>414190</v>
      </c>
      <c r="M38" s="1110"/>
    </row>
    <row r="39" ht="18.75" customHeight="1">
      <c r="A39" s="1110"/>
      <c r="B39" s="1108" t="s">
        <v>424</v>
      </c>
      <c r="C39" s="1108" t="s">
        <v>8166</v>
      </c>
      <c r="D39" s="1116" t="s">
        <v>8179</v>
      </c>
      <c r="E39" s="1116" t="s">
        <v>8180</v>
      </c>
      <c r="F39" s="1116" t="s">
        <v>97</v>
      </c>
      <c r="G39" s="1116" t="s">
        <v>8146</v>
      </c>
      <c r="H39" s="1109">
        <v>0.1</v>
      </c>
      <c r="I39" s="1109">
        <v>0.03</v>
      </c>
      <c r="J39" s="1116"/>
      <c r="K39" s="1116" t="str">
        <f t="shared" si="1"/>
        <v/>
      </c>
      <c r="L39" s="1116" t="str">
        <f t="shared" si="2"/>
        <v/>
      </c>
      <c r="M39" s="1110"/>
    </row>
    <row r="40" ht="18.75" customHeight="1">
      <c r="A40" s="1110"/>
      <c r="B40" s="1108" t="s">
        <v>424</v>
      </c>
      <c r="C40" s="1108" t="s">
        <v>8166</v>
      </c>
      <c r="D40" s="1116" t="s">
        <v>99</v>
      </c>
      <c r="E40" s="1116" t="s">
        <v>8181</v>
      </c>
      <c r="F40" s="1116" t="s">
        <v>97</v>
      </c>
      <c r="G40" s="1116" t="s">
        <v>8115</v>
      </c>
      <c r="H40" s="1109">
        <v>0.1</v>
      </c>
      <c r="I40" s="1109">
        <v>0.02</v>
      </c>
      <c r="J40" s="1118">
        <v>1377000.0</v>
      </c>
      <c r="K40" s="1118">
        <f t="shared" si="1"/>
        <v>1251820</v>
      </c>
      <c r="L40" s="1118">
        <f t="shared" si="2"/>
        <v>1349460</v>
      </c>
      <c r="M40" s="1110"/>
    </row>
    <row r="41" ht="18.75" customHeight="1">
      <c r="A41" s="1110"/>
      <c r="B41" s="1108" t="s">
        <v>424</v>
      </c>
      <c r="C41" s="1108" t="s">
        <v>8182</v>
      </c>
      <c r="D41" s="1116" t="s">
        <v>101</v>
      </c>
      <c r="E41" s="1116" t="s">
        <v>8183</v>
      </c>
      <c r="F41" s="1116" t="s">
        <v>102</v>
      </c>
      <c r="G41" s="1116" t="s">
        <v>8146</v>
      </c>
      <c r="H41" s="1109">
        <v>0.1</v>
      </c>
      <c r="I41" s="1109">
        <v>0.03</v>
      </c>
      <c r="J41" s="1118">
        <v>488000.0</v>
      </c>
      <c r="K41" s="1118">
        <f t="shared" si="1"/>
        <v>443640</v>
      </c>
      <c r="L41" s="1118">
        <f t="shared" si="2"/>
        <v>473360</v>
      </c>
      <c r="M41" s="1110"/>
    </row>
    <row r="42" ht="18.75" customHeight="1">
      <c r="A42" s="1110"/>
      <c r="B42" s="1108" t="s">
        <v>424</v>
      </c>
      <c r="C42" s="1108" t="s">
        <v>8182</v>
      </c>
      <c r="D42" s="1116" t="s">
        <v>104</v>
      </c>
      <c r="E42" s="1116" t="s">
        <v>8184</v>
      </c>
      <c r="F42" s="1116" t="s">
        <v>102</v>
      </c>
      <c r="G42" s="1116" t="s">
        <v>8115</v>
      </c>
      <c r="H42" s="1109">
        <v>0.1</v>
      </c>
      <c r="I42" s="1109">
        <v>0.02</v>
      </c>
      <c r="J42" s="1118">
        <v>1558000.0</v>
      </c>
      <c r="K42" s="1118">
        <f t="shared" si="1"/>
        <v>1416360</v>
      </c>
      <c r="L42" s="1118">
        <f t="shared" si="2"/>
        <v>1526840</v>
      </c>
      <c r="M42" s="1110"/>
    </row>
    <row r="43" ht="18.75" customHeight="1">
      <c r="A43" s="1110"/>
      <c r="B43" s="1108" t="s">
        <v>424</v>
      </c>
      <c r="C43" s="1108" t="s">
        <v>8185</v>
      </c>
      <c r="D43" s="1116" t="s">
        <v>106</v>
      </c>
      <c r="E43" s="1116" t="s">
        <v>8186</v>
      </c>
      <c r="F43" s="1116" t="s">
        <v>107</v>
      </c>
      <c r="G43" s="1116" t="s">
        <v>8146</v>
      </c>
      <c r="H43" s="1109">
        <v>0.1</v>
      </c>
      <c r="I43" s="1109">
        <v>0.03</v>
      </c>
      <c r="J43" s="1118">
        <v>488000.0</v>
      </c>
      <c r="K43" s="1118">
        <f t="shared" si="1"/>
        <v>443640</v>
      </c>
      <c r="L43" s="1118">
        <f t="shared" si="2"/>
        <v>473360</v>
      </c>
      <c r="M43" s="1110"/>
    </row>
    <row r="44" ht="18.75" customHeight="1">
      <c r="A44" s="1110"/>
      <c r="B44" s="1108" t="s">
        <v>424</v>
      </c>
      <c r="C44" s="1108" t="s">
        <v>8187</v>
      </c>
      <c r="D44" s="1116" t="s">
        <v>108</v>
      </c>
      <c r="E44" s="1116" t="s">
        <v>8188</v>
      </c>
      <c r="F44" s="1116" t="s">
        <v>109</v>
      </c>
      <c r="G44" s="1116" t="s">
        <v>8146</v>
      </c>
      <c r="H44" s="1109">
        <v>0.1</v>
      </c>
      <c r="I44" s="1109">
        <v>0.03</v>
      </c>
      <c r="J44" s="1118">
        <v>355000.0</v>
      </c>
      <c r="K44" s="1118">
        <f t="shared" si="1"/>
        <v>322730</v>
      </c>
      <c r="L44" s="1118">
        <f t="shared" si="2"/>
        <v>344350</v>
      </c>
      <c r="M44" s="1110"/>
    </row>
    <row r="45" ht="18.75" customHeight="1">
      <c r="A45" s="1110"/>
      <c r="B45" s="1108" t="s">
        <v>424</v>
      </c>
      <c r="C45" s="1108" t="s">
        <v>8187</v>
      </c>
      <c r="D45" s="1116" t="s">
        <v>110</v>
      </c>
      <c r="E45" s="1116" t="s">
        <v>8189</v>
      </c>
      <c r="F45" s="1116" t="s">
        <v>109</v>
      </c>
      <c r="G45" s="1116" t="s">
        <v>8115</v>
      </c>
      <c r="H45" s="1109">
        <v>0.1</v>
      </c>
      <c r="I45" s="1109">
        <v>0.02</v>
      </c>
      <c r="J45" s="1118">
        <v>587000.0</v>
      </c>
      <c r="K45" s="1118">
        <f t="shared" si="1"/>
        <v>533640</v>
      </c>
      <c r="L45" s="1118">
        <f t="shared" si="2"/>
        <v>575260</v>
      </c>
      <c r="M45" s="1110"/>
    </row>
  </sheetData>
  <mergeCells count="1">
    <mergeCell ref="A1:M2"/>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38"/>
    <col customWidth="1" min="2" max="2" width="22.38"/>
    <col customWidth="1" min="3" max="3" width="18.0"/>
    <col customWidth="1" min="4" max="4" width="20.0"/>
    <col customWidth="1" min="5" max="5" width="47.75"/>
    <col customWidth="1" min="6" max="6" width="12.75"/>
    <col customWidth="1" min="7" max="7" width="11.38"/>
    <col customWidth="1" min="8" max="10" width="13.25"/>
    <col customWidth="1" min="11" max="11" width="4.63"/>
  </cols>
  <sheetData>
    <row r="1" ht="12.75" customHeight="1">
      <c r="A1" s="1121" t="s">
        <v>8190</v>
      </c>
      <c r="B1" s="456"/>
      <c r="C1" s="456"/>
      <c r="D1" s="456"/>
      <c r="E1" s="456"/>
      <c r="F1" s="456"/>
      <c r="G1" s="456"/>
      <c r="H1" s="456"/>
      <c r="I1" s="456"/>
      <c r="J1" s="456"/>
      <c r="K1" s="457"/>
    </row>
    <row r="2" ht="12.75" customHeight="1">
      <c r="A2" s="435"/>
      <c r="B2" s="418"/>
      <c r="C2" s="418"/>
      <c r="D2" s="418"/>
      <c r="E2" s="418"/>
      <c r="F2" s="418"/>
      <c r="G2" s="418"/>
      <c r="H2" s="418"/>
      <c r="I2" s="418"/>
      <c r="J2" s="418"/>
      <c r="K2" s="419"/>
    </row>
    <row r="3" ht="12.75" customHeight="1">
      <c r="A3" s="1110"/>
      <c r="B3" s="1110"/>
      <c r="C3" s="1110"/>
      <c r="D3" s="1110"/>
      <c r="E3" s="1110"/>
      <c r="F3" s="1110"/>
      <c r="G3" s="1110"/>
      <c r="H3" s="1110"/>
      <c r="I3" s="1110"/>
      <c r="J3" s="1110"/>
      <c r="K3" s="1110"/>
    </row>
    <row r="4" ht="20.25" customHeight="1">
      <c r="A4" s="1110"/>
      <c r="B4" s="1106" t="s">
        <v>1279</v>
      </c>
      <c r="C4" s="1106" t="s">
        <v>1280</v>
      </c>
      <c r="D4" s="1113" t="s">
        <v>1281</v>
      </c>
      <c r="E4" s="1113" t="s">
        <v>1282</v>
      </c>
      <c r="F4" s="1106" t="s">
        <v>1283</v>
      </c>
      <c r="G4" s="1106" t="s">
        <v>1284</v>
      </c>
      <c r="H4" s="1114" t="s">
        <v>68</v>
      </c>
      <c r="I4" s="1114" t="s">
        <v>70</v>
      </c>
      <c r="J4" s="1114" t="s">
        <v>71</v>
      </c>
      <c r="K4" s="1110"/>
    </row>
    <row r="5" ht="18.75" customHeight="1">
      <c r="A5" s="1110"/>
      <c r="B5" s="1108" t="s">
        <v>8191</v>
      </c>
      <c r="C5" s="1108" t="s">
        <v>8192</v>
      </c>
      <c r="D5" s="1116" t="s">
        <v>213</v>
      </c>
      <c r="E5" s="1116" t="s">
        <v>214</v>
      </c>
      <c r="F5" s="1109">
        <v>0.1</v>
      </c>
      <c r="G5" s="1109">
        <v>0.05</v>
      </c>
      <c r="H5" s="1118">
        <v>77600.0</v>
      </c>
      <c r="I5" s="1118">
        <f>IF(ISBLANK(H5),,ROUND(H5/(1+F5),-2))</f>
        <v>70500</v>
      </c>
      <c r="J5" s="1118">
        <f t="shared" ref="J5:J84" si="1">IF(ISBLANK(H5),,ROUND(H5*(1-G5),-1))</f>
        <v>73720</v>
      </c>
      <c r="K5" s="1110"/>
    </row>
    <row r="6" ht="18.75" customHeight="1">
      <c r="A6" s="1110"/>
      <c r="B6" s="1108" t="s">
        <v>8191</v>
      </c>
      <c r="C6" s="1108" t="s">
        <v>8192</v>
      </c>
      <c r="D6" s="1116" t="s">
        <v>218</v>
      </c>
      <c r="E6" s="1116" t="s">
        <v>219</v>
      </c>
      <c r="F6" s="1109">
        <v>0.1</v>
      </c>
      <c r="G6" s="1109">
        <v>0.05</v>
      </c>
      <c r="H6" s="1118">
        <v>80000.0</v>
      </c>
      <c r="I6" s="1118">
        <f t="shared" ref="I6:I84" si="2">IF(ISBLANK(H6),,ROUND(H6/(1+F6),-1))</f>
        <v>72730</v>
      </c>
      <c r="J6" s="1118">
        <f t="shared" si="1"/>
        <v>76000</v>
      </c>
      <c r="K6" s="1110"/>
    </row>
    <row r="7" ht="18.75" customHeight="1">
      <c r="A7" s="1110"/>
      <c r="B7" s="1108" t="s">
        <v>8191</v>
      </c>
      <c r="C7" s="1108" t="s">
        <v>8192</v>
      </c>
      <c r="D7" s="1116" t="s">
        <v>221</v>
      </c>
      <c r="E7" s="1116" t="s">
        <v>222</v>
      </c>
      <c r="F7" s="1109">
        <v>0.1</v>
      </c>
      <c r="G7" s="1109">
        <v>0.05</v>
      </c>
      <c r="H7" s="1118">
        <v>91800.0</v>
      </c>
      <c r="I7" s="1118">
        <f t="shared" si="2"/>
        <v>83450</v>
      </c>
      <c r="J7" s="1118">
        <f t="shared" si="1"/>
        <v>87210</v>
      </c>
      <c r="K7" s="1110"/>
    </row>
    <row r="8" ht="18.75" customHeight="1">
      <c r="A8" s="1110"/>
      <c r="B8" s="1108" t="s">
        <v>8191</v>
      </c>
      <c r="C8" s="1108" t="s">
        <v>8192</v>
      </c>
      <c r="D8" s="1116" t="s">
        <v>224</v>
      </c>
      <c r="E8" s="1116" t="s">
        <v>225</v>
      </c>
      <c r="F8" s="1109">
        <v>0.1</v>
      </c>
      <c r="G8" s="1109">
        <v>0.05</v>
      </c>
      <c r="H8" s="1118">
        <v>96500.0</v>
      </c>
      <c r="I8" s="1118">
        <f t="shared" si="2"/>
        <v>87730</v>
      </c>
      <c r="J8" s="1118">
        <f t="shared" si="1"/>
        <v>91680</v>
      </c>
      <c r="K8" s="1110"/>
    </row>
    <row r="9" ht="18.75" customHeight="1">
      <c r="A9" s="1110"/>
      <c r="B9" s="1108" t="s">
        <v>8191</v>
      </c>
      <c r="C9" s="1108" t="s">
        <v>8192</v>
      </c>
      <c r="D9" s="1116" t="s">
        <v>227</v>
      </c>
      <c r="E9" s="1116" t="s">
        <v>228</v>
      </c>
      <c r="F9" s="1109">
        <v>0.1</v>
      </c>
      <c r="G9" s="1109">
        <v>0.05</v>
      </c>
      <c r="H9" s="1118">
        <v>125900.0</v>
      </c>
      <c r="I9" s="1118">
        <f t="shared" si="2"/>
        <v>114450</v>
      </c>
      <c r="J9" s="1118">
        <f t="shared" si="1"/>
        <v>119610</v>
      </c>
      <c r="K9" s="1110"/>
    </row>
    <row r="10" ht="18.75" customHeight="1">
      <c r="A10" s="1110"/>
      <c r="B10" s="1108" t="s">
        <v>8191</v>
      </c>
      <c r="C10" s="1108" t="s">
        <v>8192</v>
      </c>
      <c r="D10" s="1116" t="s">
        <v>230</v>
      </c>
      <c r="E10" s="1116" t="s">
        <v>231</v>
      </c>
      <c r="F10" s="1109">
        <v>0.1</v>
      </c>
      <c r="G10" s="1109">
        <v>0.05</v>
      </c>
      <c r="H10" s="1118">
        <v>161200.0</v>
      </c>
      <c r="I10" s="1118">
        <f t="shared" si="2"/>
        <v>146550</v>
      </c>
      <c r="J10" s="1118">
        <f t="shared" si="1"/>
        <v>153140</v>
      </c>
      <c r="K10" s="1110"/>
    </row>
    <row r="11" ht="18.75" customHeight="1">
      <c r="A11" s="1110"/>
      <c r="B11" s="1108" t="s">
        <v>8191</v>
      </c>
      <c r="C11" s="1108" t="s">
        <v>8192</v>
      </c>
      <c r="D11" s="1116" t="s">
        <v>233</v>
      </c>
      <c r="E11" s="1116" t="s">
        <v>234</v>
      </c>
      <c r="F11" s="1109">
        <v>0.1</v>
      </c>
      <c r="G11" s="1109">
        <v>0.05</v>
      </c>
      <c r="H11" s="1118">
        <v>222400.0</v>
      </c>
      <c r="I11" s="1118">
        <f t="shared" si="2"/>
        <v>202180</v>
      </c>
      <c r="J11" s="1118">
        <f t="shared" si="1"/>
        <v>211280</v>
      </c>
      <c r="K11" s="1110"/>
    </row>
    <row r="12" ht="18.75" customHeight="1">
      <c r="A12" s="1110"/>
      <c r="B12" s="1108" t="s">
        <v>8191</v>
      </c>
      <c r="C12" s="1108" t="s">
        <v>8192</v>
      </c>
      <c r="D12" s="1116" t="s">
        <v>236</v>
      </c>
      <c r="E12" s="1116" t="s">
        <v>237</v>
      </c>
      <c r="F12" s="1109">
        <v>0.1</v>
      </c>
      <c r="G12" s="1109">
        <v>0.05</v>
      </c>
      <c r="H12" s="1116">
        <v>252900.0</v>
      </c>
      <c r="I12" s="1118">
        <f t="shared" si="2"/>
        <v>229910</v>
      </c>
      <c r="J12" s="1118">
        <f t="shared" si="1"/>
        <v>240260</v>
      </c>
      <c r="K12" s="1110"/>
    </row>
    <row r="13" ht="18.75" customHeight="1">
      <c r="A13" s="1110"/>
      <c r="B13" s="1108" t="s">
        <v>8191</v>
      </c>
      <c r="C13" s="1108" t="s">
        <v>8192</v>
      </c>
      <c r="D13" s="1116" t="s">
        <v>8193</v>
      </c>
      <c r="E13" s="1116" t="s">
        <v>8194</v>
      </c>
      <c r="F13" s="1109">
        <v>0.1</v>
      </c>
      <c r="G13" s="1109">
        <v>0.05</v>
      </c>
      <c r="H13" s="1116"/>
      <c r="I13" s="1118" t="str">
        <f t="shared" si="2"/>
        <v/>
      </c>
      <c r="J13" s="1118" t="str">
        <f t="shared" si="1"/>
        <v/>
      </c>
      <c r="K13" s="1110"/>
    </row>
    <row r="14" ht="18.75" customHeight="1">
      <c r="A14" s="1110"/>
      <c r="B14" s="1108" t="s">
        <v>8191</v>
      </c>
      <c r="C14" s="1108" t="s">
        <v>8195</v>
      </c>
      <c r="D14" s="1116" t="s">
        <v>262</v>
      </c>
      <c r="E14" s="1116" t="s">
        <v>263</v>
      </c>
      <c r="F14" s="1109">
        <v>0.1</v>
      </c>
      <c r="G14" s="1109">
        <v>0.05</v>
      </c>
      <c r="H14" s="1119">
        <v>194700.0</v>
      </c>
      <c r="I14" s="1118">
        <f t="shared" si="2"/>
        <v>177000</v>
      </c>
      <c r="J14" s="1118">
        <f t="shared" si="1"/>
        <v>184970</v>
      </c>
      <c r="K14" s="1110"/>
    </row>
    <row r="15" ht="18.75" customHeight="1">
      <c r="A15" s="1110"/>
      <c r="B15" s="1108" t="s">
        <v>8191</v>
      </c>
      <c r="C15" s="1108" t="s">
        <v>8195</v>
      </c>
      <c r="D15" s="1116" t="s">
        <v>265</v>
      </c>
      <c r="E15" s="1116" t="s">
        <v>266</v>
      </c>
      <c r="F15" s="1109">
        <v>0.1</v>
      </c>
      <c r="G15" s="1109">
        <v>0.05</v>
      </c>
      <c r="H15" s="1119">
        <v>224200.0</v>
      </c>
      <c r="I15" s="1118">
        <f t="shared" si="2"/>
        <v>203820</v>
      </c>
      <c r="J15" s="1118">
        <f t="shared" si="1"/>
        <v>212990</v>
      </c>
      <c r="K15" s="1110"/>
    </row>
    <row r="16" ht="18.75" customHeight="1">
      <c r="A16" s="1110"/>
      <c r="B16" s="1108" t="s">
        <v>8191</v>
      </c>
      <c r="C16" s="1108" t="s">
        <v>8195</v>
      </c>
      <c r="D16" s="1116" t="s">
        <v>268</v>
      </c>
      <c r="E16" s="1116" t="s">
        <v>269</v>
      </c>
      <c r="F16" s="1109">
        <v>0.1</v>
      </c>
      <c r="G16" s="1109">
        <v>0.05</v>
      </c>
      <c r="H16" s="1119">
        <v>261925.0</v>
      </c>
      <c r="I16" s="1118">
        <f t="shared" si="2"/>
        <v>238110</v>
      </c>
      <c r="J16" s="1118">
        <f t="shared" si="1"/>
        <v>248830</v>
      </c>
      <c r="K16" s="1110"/>
    </row>
    <row r="17" ht="18.75" customHeight="1">
      <c r="A17" s="1110"/>
      <c r="B17" s="1108" t="s">
        <v>8191</v>
      </c>
      <c r="C17" s="1108" t="s">
        <v>8195</v>
      </c>
      <c r="D17" s="1116" t="s">
        <v>271</v>
      </c>
      <c r="E17" s="1116" t="s">
        <v>272</v>
      </c>
      <c r="F17" s="1109">
        <v>0.1</v>
      </c>
      <c r="G17" s="1109">
        <v>0.05</v>
      </c>
      <c r="H17" s="1119">
        <v>292034.0</v>
      </c>
      <c r="I17" s="1118">
        <f t="shared" si="2"/>
        <v>265490</v>
      </c>
      <c r="J17" s="1118">
        <f t="shared" si="1"/>
        <v>277430</v>
      </c>
      <c r="K17" s="1110"/>
    </row>
    <row r="18" ht="18.75" customHeight="1">
      <c r="A18" s="1110"/>
      <c r="B18" s="1108" t="s">
        <v>8191</v>
      </c>
      <c r="C18" s="1108" t="s">
        <v>8195</v>
      </c>
      <c r="D18" s="1116" t="s">
        <v>274</v>
      </c>
      <c r="E18" s="1116" t="s">
        <v>275</v>
      </c>
      <c r="F18" s="1109">
        <v>0.1</v>
      </c>
      <c r="G18" s="1109">
        <v>0.05</v>
      </c>
      <c r="H18" s="1119">
        <v>399973.0</v>
      </c>
      <c r="I18" s="1118">
        <f t="shared" si="2"/>
        <v>363610</v>
      </c>
      <c r="J18" s="1118">
        <f t="shared" si="1"/>
        <v>379970</v>
      </c>
      <c r="K18" s="1110"/>
    </row>
    <row r="19" ht="18.75" customHeight="1">
      <c r="A19" s="1110"/>
      <c r="B19" s="1108" t="s">
        <v>8191</v>
      </c>
      <c r="C19" s="1108" t="s">
        <v>8195</v>
      </c>
      <c r="D19" s="1116" t="s">
        <v>277</v>
      </c>
      <c r="E19" s="1116" t="s">
        <v>278</v>
      </c>
      <c r="F19" s="1109">
        <v>0.1</v>
      </c>
      <c r="G19" s="1109">
        <v>0.05</v>
      </c>
      <c r="H19" s="1119">
        <v>481475.0</v>
      </c>
      <c r="I19" s="1118">
        <f t="shared" si="2"/>
        <v>437700</v>
      </c>
      <c r="J19" s="1118">
        <f t="shared" si="1"/>
        <v>457400</v>
      </c>
      <c r="K19" s="1110"/>
    </row>
    <row r="20" ht="18.75" customHeight="1">
      <c r="A20" s="1110"/>
      <c r="B20" s="1108" t="s">
        <v>8191</v>
      </c>
      <c r="C20" s="1108" t="s">
        <v>8195</v>
      </c>
      <c r="D20" s="1116" t="s">
        <v>280</v>
      </c>
      <c r="E20" s="1116" t="s">
        <v>281</v>
      </c>
      <c r="F20" s="1109">
        <v>0.1</v>
      </c>
      <c r="G20" s="1109">
        <v>0.05</v>
      </c>
      <c r="H20" s="1119">
        <v>601800.0</v>
      </c>
      <c r="I20" s="1118">
        <f t="shared" si="2"/>
        <v>547090</v>
      </c>
      <c r="J20" s="1118">
        <f t="shared" si="1"/>
        <v>571710</v>
      </c>
      <c r="K20" s="1110"/>
    </row>
    <row r="21" ht="18.75" customHeight="1">
      <c r="A21" s="1110"/>
      <c r="B21" s="1108" t="s">
        <v>8191</v>
      </c>
      <c r="C21" s="1108" t="s">
        <v>8195</v>
      </c>
      <c r="D21" s="1116" t="s">
        <v>283</v>
      </c>
      <c r="E21" s="1116" t="s">
        <v>284</v>
      </c>
      <c r="F21" s="1109">
        <v>0.1</v>
      </c>
      <c r="G21" s="1109">
        <v>0.05</v>
      </c>
      <c r="H21" s="1119">
        <v>743400.0</v>
      </c>
      <c r="I21" s="1118">
        <f t="shared" si="2"/>
        <v>675820</v>
      </c>
      <c r="J21" s="1118">
        <f t="shared" si="1"/>
        <v>706230</v>
      </c>
      <c r="K21" s="1110"/>
    </row>
    <row r="22" ht="18.75" customHeight="1">
      <c r="A22" s="1110"/>
      <c r="B22" s="1108" t="s">
        <v>8191</v>
      </c>
      <c r="C22" s="1108" t="s">
        <v>8195</v>
      </c>
      <c r="D22" s="1116" t="s">
        <v>286</v>
      </c>
      <c r="E22" s="1116" t="s">
        <v>287</v>
      </c>
      <c r="F22" s="1109">
        <v>0.1</v>
      </c>
      <c r="G22" s="1109">
        <v>0.05</v>
      </c>
      <c r="H22" s="1122">
        <v>849600.0</v>
      </c>
      <c r="I22" s="1118">
        <f t="shared" si="2"/>
        <v>772360</v>
      </c>
      <c r="J22" s="1118">
        <f t="shared" si="1"/>
        <v>807120</v>
      </c>
      <c r="K22" s="1110"/>
    </row>
    <row r="23" ht="18.75" customHeight="1">
      <c r="A23" s="1110"/>
      <c r="B23" s="1108" t="s">
        <v>8191</v>
      </c>
      <c r="C23" s="1108" t="s">
        <v>8192</v>
      </c>
      <c r="D23" s="1116" t="s">
        <v>8196</v>
      </c>
      <c r="E23" s="1116" t="s">
        <v>8197</v>
      </c>
      <c r="F23" s="1109">
        <v>0.1</v>
      </c>
      <c r="G23" s="1109">
        <v>0.05</v>
      </c>
      <c r="H23" s="1118">
        <v>90000.0</v>
      </c>
      <c r="I23" s="1118">
        <f t="shared" si="2"/>
        <v>81820</v>
      </c>
      <c r="J23" s="1118">
        <f t="shared" si="1"/>
        <v>85500</v>
      </c>
      <c r="K23" s="1110"/>
    </row>
    <row r="24" ht="18.75" customHeight="1">
      <c r="A24" s="1110"/>
      <c r="B24" s="1108" t="s">
        <v>8191</v>
      </c>
      <c r="C24" s="1108" t="s">
        <v>8192</v>
      </c>
      <c r="D24" s="1116" t="s">
        <v>8198</v>
      </c>
      <c r="E24" s="1116" t="s">
        <v>8199</v>
      </c>
      <c r="F24" s="1109">
        <v>0.1</v>
      </c>
      <c r="G24" s="1109">
        <v>0.05</v>
      </c>
      <c r="H24" s="1118">
        <v>125000.0</v>
      </c>
      <c r="I24" s="1118">
        <f t="shared" si="2"/>
        <v>113640</v>
      </c>
      <c r="J24" s="1118">
        <f t="shared" si="1"/>
        <v>118750</v>
      </c>
      <c r="K24" s="1110"/>
    </row>
    <row r="25" ht="18.75" customHeight="1">
      <c r="A25" s="1110"/>
      <c r="B25" s="1108" t="s">
        <v>8191</v>
      </c>
      <c r="C25" s="1108" t="s">
        <v>8192</v>
      </c>
      <c r="D25" s="1116" t="s">
        <v>8200</v>
      </c>
      <c r="E25" s="1116" t="s">
        <v>8201</v>
      </c>
      <c r="F25" s="1109">
        <v>0.1</v>
      </c>
      <c r="G25" s="1109">
        <v>0.05</v>
      </c>
      <c r="H25" s="1118">
        <v>138000.0</v>
      </c>
      <c r="I25" s="1118">
        <f t="shared" si="2"/>
        <v>125450</v>
      </c>
      <c r="J25" s="1118">
        <f t="shared" si="1"/>
        <v>131100</v>
      </c>
      <c r="K25" s="1110"/>
    </row>
    <row r="26" ht="18.75" customHeight="1">
      <c r="A26" s="1110"/>
      <c r="B26" s="1108" t="s">
        <v>8191</v>
      </c>
      <c r="C26" s="1108" t="s">
        <v>8192</v>
      </c>
      <c r="D26" s="1116" t="s">
        <v>8202</v>
      </c>
      <c r="E26" s="1116" t="s">
        <v>8203</v>
      </c>
      <c r="F26" s="1109">
        <v>0.1</v>
      </c>
      <c r="G26" s="1109">
        <v>0.05</v>
      </c>
      <c r="H26" s="1118">
        <v>200000.0</v>
      </c>
      <c r="I26" s="1118">
        <f t="shared" si="2"/>
        <v>181820</v>
      </c>
      <c r="J26" s="1118">
        <f t="shared" si="1"/>
        <v>190000</v>
      </c>
      <c r="K26" s="1110"/>
    </row>
    <row r="27" ht="18.75" customHeight="1">
      <c r="A27" s="1110"/>
      <c r="B27" s="1108" t="s">
        <v>8191</v>
      </c>
      <c r="C27" s="1108" t="s">
        <v>8192</v>
      </c>
      <c r="D27" s="1116" t="s">
        <v>8204</v>
      </c>
      <c r="E27" s="1116" t="s">
        <v>8205</v>
      </c>
      <c r="F27" s="1109">
        <v>0.1</v>
      </c>
      <c r="G27" s="1109">
        <v>0.05</v>
      </c>
      <c r="H27" s="1118">
        <v>225000.0</v>
      </c>
      <c r="I27" s="1118">
        <f t="shared" si="2"/>
        <v>204550</v>
      </c>
      <c r="J27" s="1118">
        <f t="shared" si="1"/>
        <v>213750</v>
      </c>
      <c r="K27" s="1110"/>
    </row>
    <row r="28" ht="18.75" customHeight="1">
      <c r="A28" s="1110"/>
      <c r="B28" s="1108" t="s">
        <v>8191</v>
      </c>
      <c r="C28" s="1108" t="s">
        <v>8195</v>
      </c>
      <c r="D28" s="1116" t="s">
        <v>8206</v>
      </c>
      <c r="E28" s="1116" t="s">
        <v>8207</v>
      </c>
      <c r="F28" s="1109">
        <v>0.1</v>
      </c>
      <c r="G28" s="1109">
        <v>0.05</v>
      </c>
      <c r="H28" s="1118">
        <v>238000.0</v>
      </c>
      <c r="I28" s="1118">
        <f t="shared" si="2"/>
        <v>216360</v>
      </c>
      <c r="J28" s="1118">
        <f t="shared" si="1"/>
        <v>226100</v>
      </c>
      <c r="K28" s="1110"/>
    </row>
    <row r="29" ht="18.75" customHeight="1">
      <c r="A29" s="1110"/>
      <c r="B29" s="1108" t="s">
        <v>8191</v>
      </c>
      <c r="C29" s="1108" t="s">
        <v>8195</v>
      </c>
      <c r="D29" s="1116" t="s">
        <v>8208</v>
      </c>
      <c r="E29" s="1116" t="s">
        <v>8209</v>
      </c>
      <c r="F29" s="1109">
        <v>0.1</v>
      </c>
      <c r="G29" s="1109">
        <v>0.05</v>
      </c>
      <c r="H29" s="1118">
        <v>275000.0</v>
      </c>
      <c r="I29" s="1118">
        <f t="shared" si="2"/>
        <v>250000</v>
      </c>
      <c r="J29" s="1118">
        <f t="shared" si="1"/>
        <v>261250</v>
      </c>
      <c r="K29" s="1110"/>
    </row>
    <row r="30" ht="18.75" customHeight="1">
      <c r="A30" s="1110"/>
      <c r="B30" s="1108" t="s">
        <v>8191</v>
      </c>
      <c r="C30" s="1108" t="s">
        <v>8195</v>
      </c>
      <c r="D30" s="1116" t="s">
        <v>8210</v>
      </c>
      <c r="E30" s="1116" t="s">
        <v>8211</v>
      </c>
      <c r="F30" s="1109">
        <v>0.1</v>
      </c>
      <c r="G30" s="1109">
        <v>0.05</v>
      </c>
      <c r="H30" s="1118">
        <v>340000.0</v>
      </c>
      <c r="I30" s="1118">
        <f t="shared" si="2"/>
        <v>309090</v>
      </c>
      <c r="J30" s="1118">
        <f t="shared" si="1"/>
        <v>323000</v>
      </c>
      <c r="K30" s="1110"/>
    </row>
    <row r="31" ht="18.75" customHeight="1">
      <c r="A31" s="1110"/>
      <c r="B31" s="1108" t="s">
        <v>8191</v>
      </c>
      <c r="C31" s="1108" t="s">
        <v>8195</v>
      </c>
      <c r="D31" s="1116" t="s">
        <v>8212</v>
      </c>
      <c r="E31" s="1116" t="s">
        <v>8213</v>
      </c>
      <c r="F31" s="1109">
        <v>0.1</v>
      </c>
      <c r="G31" s="1109">
        <v>0.05</v>
      </c>
      <c r="H31" s="1118">
        <v>400000.0</v>
      </c>
      <c r="I31" s="1118">
        <f t="shared" si="2"/>
        <v>363640</v>
      </c>
      <c r="J31" s="1118">
        <f t="shared" si="1"/>
        <v>380000</v>
      </c>
      <c r="K31" s="1110"/>
    </row>
    <row r="32" ht="18.75" customHeight="1">
      <c r="A32" s="1110"/>
      <c r="B32" s="1108" t="s">
        <v>8191</v>
      </c>
      <c r="C32" s="1108" t="s">
        <v>8195</v>
      </c>
      <c r="D32" s="1116" t="s">
        <v>8214</v>
      </c>
      <c r="E32" s="1116" t="s">
        <v>8215</v>
      </c>
      <c r="F32" s="1109">
        <v>0.1</v>
      </c>
      <c r="G32" s="1109">
        <v>0.05</v>
      </c>
      <c r="H32" s="1116"/>
      <c r="I32" s="1118" t="str">
        <f t="shared" si="2"/>
        <v/>
      </c>
      <c r="J32" s="1118" t="str">
        <f t="shared" si="1"/>
        <v/>
      </c>
      <c r="K32" s="1110"/>
    </row>
    <row r="33" ht="18.75" customHeight="1">
      <c r="A33" s="1110"/>
      <c r="B33" s="1108" t="s">
        <v>8191</v>
      </c>
      <c r="C33" s="1108" t="s">
        <v>8195</v>
      </c>
      <c r="D33" s="1116" t="s">
        <v>8216</v>
      </c>
      <c r="E33" s="1116" t="s">
        <v>8217</v>
      </c>
      <c r="F33" s="1109">
        <v>0.1</v>
      </c>
      <c r="G33" s="1109">
        <v>0.05</v>
      </c>
      <c r="H33" s="1118">
        <v>214100.0</v>
      </c>
      <c r="I33" s="1118">
        <f t="shared" si="2"/>
        <v>194640</v>
      </c>
      <c r="J33" s="1118">
        <f t="shared" si="1"/>
        <v>203400</v>
      </c>
      <c r="K33" s="1110"/>
    </row>
    <row r="34" ht="18.75" customHeight="1">
      <c r="A34" s="1110"/>
      <c r="B34" s="1108" t="s">
        <v>8191</v>
      </c>
      <c r="C34" s="1108" t="s">
        <v>8195</v>
      </c>
      <c r="D34" s="1116" t="s">
        <v>8218</v>
      </c>
      <c r="E34" s="1116" t="s">
        <v>8219</v>
      </c>
      <c r="F34" s="1109">
        <v>0.1</v>
      </c>
      <c r="G34" s="1109">
        <v>0.05</v>
      </c>
      <c r="H34" s="1116"/>
      <c r="I34" s="1118" t="str">
        <f t="shared" si="2"/>
        <v/>
      </c>
      <c r="J34" s="1118" t="str">
        <f t="shared" si="1"/>
        <v/>
      </c>
      <c r="K34" s="1110"/>
    </row>
    <row r="35" ht="18.75" customHeight="1">
      <c r="A35" s="1110"/>
      <c r="B35" s="1108" t="s">
        <v>8191</v>
      </c>
      <c r="C35" s="1108" t="s">
        <v>8195</v>
      </c>
      <c r="D35" s="1116" t="s">
        <v>8220</v>
      </c>
      <c r="E35" s="1116" t="s">
        <v>8221</v>
      </c>
      <c r="F35" s="1109">
        <v>0.1</v>
      </c>
      <c r="G35" s="1109">
        <v>0.05</v>
      </c>
      <c r="H35" s="1118">
        <v>264700.0</v>
      </c>
      <c r="I35" s="1118">
        <f t="shared" si="2"/>
        <v>240640</v>
      </c>
      <c r="J35" s="1118">
        <f t="shared" si="1"/>
        <v>251470</v>
      </c>
      <c r="K35" s="1110"/>
    </row>
    <row r="36" ht="18.75" customHeight="1">
      <c r="A36" s="1110"/>
      <c r="B36" s="1108" t="s">
        <v>8191</v>
      </c>
      <c r="C36" s="1108" t="s">
        <v>8195</v>
      </c>
      <c r="D36" s="1116" t="s">
        <v>294</v>
      </c>
      <c r="E36" s="1116" t="s">
        <v>8222</v>
      </c>
      <c r="F36" s="1109">
        <v>0.1</v>
      </c>
      <c r="G36" s="1109">
        <v>0.05</v>
      </c>
      <c r="H36" s="1118">
        <v>308200.0</v>
      </c>
      <c r="I36" s="1118">
        <f t="shared" si="2"/>
        <v>280180</v>
      </c>
      <c r="J36" s="1118">
        <f t="shared" si="1"/>
        <v>292790</v>
      </c>
      <c r="K36" s="1110"/>
    </row>
    <row r="37" ht="18.75" customHeight="1">
      <c r="A37" s="1110"/>
      <c r="B37" s="1108" t="s">
        <v>8191</v>
      </c>
      <c r="C37" s="1108" t="s">
        <v>8195</v>
      </c>
      <c r="D37" s="1116" t="s">
        <v>296</v>
      </c>
      <c r="E37" s="1116" t="s">
        <v>8223</v>
      </c>
      <c r="F37" s="1109">
        <v>0.1</v>
      </c>
      <c r="G37" s="1109">
        <v>0.05</v>
      </c>
      <c r="H37" s="1118">
        <v>390600.0</v>
      </c>
      <c r="I37" s="1118">
        <f t="shared" si="2"/>
        <v>355090</v>
      </c>
      <c r="J37" s="1118">
        <f t="shared" si="1"/>
        <v>371070</v>
      </c>
      <c r="K37" s="1110"/>
    </row>
    <row r="38" ht="18.75" customHeight="1">
      <c r="A38" s="1110"/>
      <c r="B38" s="1108" t="s">
        <v>8191</v>
      </c>
      <c r="C38" s="1108" t="s">
        <v>8195</v>
      </c>
      <c r="D38" s="1116" t="s">
        <v>298</v>
      </c>
      <c r="E38" s="1116" t="s">
        <v>8224</v>
      </c>
      <c r="F38" s="1109">
        <v>0.1</v>
      </c>
      <c r="G38" s="1109">
        <v>0.05</v>
      </c>
      <c r="H38" s="1118">
        <v>503500.0</v>
      </c>
      <c r="I38" s="1118">
        <f t="shared" si="2"/>
        <v>457730</v>
      </c>
      <c r="J38" s="1118">
        <f t="shared" si="1"/>
        <v>478330</v>
      </c>
      <c r="K38" s="1110"/>
    </row>
    <row r="39" ht="18.75" customHeight="1">
      <c r="A39" s="1110"/>
      <c r="B39" s="1108" t="s">
        <v>8191</v>
      </c>
      <c r="C39" s="1108" t="s">
        <v>8195</v>
      </c>
      <c r="D39" s="1116" t="s">
        <v>300</v>
      </c>
      <c r="E39" s="1116" t="s">
        <v>8225</v>
      </c>
      <c r="F39" s="1109">
        <v>0.1</v>
      </c>
      <c r="G39" s="1109">
        <v>0.05</v>
      </c>
      <c r="H39" s="1118">
        <v>549400.0</v>
      </c>
      <c r="I39" s="1118">
        <f t="shared" si="2"/>
        <v>499450</v>
      </c>
      <c r="J39" s="1118">
        <f t="shared" si="1"/>
        <v>521930</v>
      </c>
      <c r="K39" s="1110"/>
    </row>
    <row r="40" ht="18.75" customHeight="1">
      <c r="A40" s="1110"/>
      <c r="B40" s="1108" t="s">
        <v>8191</v>
      </c>
      <c r="C40" s="1108" t="s">
        <v>8195</v>
      </c>
      <c r="D40" s="1116" t="s">
        <v>302</v>
      </c>
      <c r="E40" s="1116" t="s">
        <v>8226</v>
      </c>
      <c r="F40" s="1109">
        <v>0.1</v>
      </c>
      <c r="G40" s="1109">
        <v>0.05</v>
      </c>
      <c r="H40" s="1118">
        <v>641200.0</v>
      </c>
      <c r="I40" s="1118">
        <f t="shared" si="2"/>
        <v>582910</v>
      </c>
      <c r="J40" s="1118">
        <f t="shared" si="1"/>
        <v>609140</v>
      </c>
      <c r="K40" s="1110"/>
    </row>
    <row r="41" ht="18.75" customHeight="1">
      <c r="A41" s="1110"/>
      <c r="B41" s="1108" t="s">
        <v>8191</v>
      </c>
      <c r="C41" s="1108" t="s">
        <v>8195</v>
      </c>
      <c r="D41" s="1116" t="s">
        <v>304</v>
      </c>
      <c r="E41" s="1116" t="s">
        <v>8227</v>
      </c>
      <c r="F41" s="1109">
        <v>0.1</v>
      </c>
      <c r="G41" s="1109">
        <v>0.05</v>
      </c>
      <c r="H41" s="1118">
        <v>854100.0</v>
      </c>
      <c r="I41" s="1118">
        <f t="shared" si="2"/>
        <v>776450</v>
      </c>
      <c r="J41" s="1118">
        <f t="shared" si="1"/>
        <v>811400</v>
      </c>
      <c r="K41" s="1110"/>
    </row>
    <row r="42" ht="18.75" customHeight="1">
      <c r="A42" s="1110"/>
      <c r="B42" s="1108" t="s">
        <v>8191</v>
      </c>
      <c r="C42" s="1108" t="s">
        <v>8195</v>
      </c>
      <c r="D42" s="1116" t="s">
        <v>8228</v>
      </c>
      <c r="E42" s="1116" t="s">
        <v>8229</v>
      </c>
      <c r="F42" s="1109">
        <v>0.1</v>
      </c>
      <c r="G42" s="1109">
        <v>0.05</v>
      </c>
      <c r="H42" s="1118">
        <v>173000.0</v>
      </c>
      <c r="I42" s="1118">
        <f t="shared" si="2"/>
        <v>157270</v>
      </c>
      <c r="J42" s="1118">
        <f t="shared" si="1"/>
        <v>164350</v>
      </c>
      <c r="K42" s="1110"/>
    </row>
    <row r="43" ht="18.75" customHeight="1">
      <c r="A43" s="1110"/>
      <c r="B43" s="1108" t="s">
        <v>8191</v>
      </c>
      <c r="C43" s="1108" t="s">
        <v>8195</v>
      </c>
      <c r="D43" s="1116" t="s">
        <v>8230</v>
      </c>
      <c r="E43" s="1116" t="s">
        <v>8231</v>
      </c>
      <c r="F43" s="1109">
        <v>0.1</v>
      </c>
      <c r="G43" s="1109">
        <v>0.05</v>
      </c>
      <c r="H43" s="1118">
        <v>214000.0</v>
      </c>
      <c r="I43" s="1118">
        <f t="shared" si="2"/>
        <v>194550</v>
      </c>
      <c r="J43" s="1118">
        <f t="shared" si="1"/>
        <v>203300</v>
      </c>
      <c r="K43" s="1110"/>
    </row>
    <row r="44" ht="18.75" customHeight="1">
      <c r="A44" s="1110"/>
      <c r="B44" s="1108" t="s">
        <v>8191</v>
      </c>
      <c r="C44" s="1108" t="s">
        <v>8195</v>
      </c>
      <c r="D44" s="1116" t="s">
        <v>8232</v>
      </c>
      <c r="E44" s="1116" t="s">
        <v>8233</v>
      </c>
      <c r="F44" s="1109">
        <v>0.1</v>
      </c>
      <c r="G44" s="1109">
        <v>0.05</v>
      </c>
      <c r="H44" s="1118">
        <v>249000.0</v>
      </c>
      <c r="I44" s="1118">
        <f t="shared" si="2"/>
        <v>226360</v>
      </c>
      <c r="J44" s="1118">
        <f t="shared" si="1"/>
        <v>236550</v>
      </c>
      <c r="K44" s="1110"/>
    </row>
    <row r="45" ht="18.75" customHeight="1">
      <c r="A45" s="1110"/>
      <c r="B45" s="1108" t="s">
        <v>8191</v>
      </c>
      <c r="C45" s="1108" t="s">
        <v>8195</v>
      </c>
      <c r="D45" s="1116" t="s">
        <v>8234</v>
      </c>
      <c r="E45" s="1116" t="s">
        <v>8235</v>
      </c>
      <c r="F45" s="1109">
        <v>0.1</v>
      </c>
      <c r="G45" s="1109">
        <v>0.05</v>
      </c>
      <c r="H45" s="1118">
        <v>315000.0</v>
      </c>
      <c r="I45" s="1118">
        <f t="shared" si="2"/>
        <v>286360</v>
      </c>
      <c r="J45" s="1118">
        <f t="shared" si="1"/>
        <v>299250</v>
      </c>
      <c r="K45" s="1110"/>
    </row>
    <row r="46" ht="18.75" customHeight="1">
      <c r="A46" s="1110"/>
      <c r="B46" s="1108" t="s">
        <v>8191</v>
      </c>
      <c r="C46" s="1108" t="s">
        <v>8195</v>
      </c>
      <c r="D46" s="1116" t="s">
        <v>8236</v>
      </c>
      <c r="E46" s="1116" t="s">
        <v>8237</v>
      </c>
      <c r="F46" s="1109">
        <v>0.1</v>
      </c>
      <c r="G46" s="1109">
        <v>0.05</v>
      </c>
      <c r="H46" s="1118">
        <v>407000.0</v>
      </c>
      <c r="I46" s="1118">
        <f t="shared" si="2"/>
        <v>370000</v>
      </c>
      <c r="J46" s="1118">
        <f t="shared" si="1"/>
        <v>386650</v>
      </c>
      <c r="K46" s="1110"/>
    </row>
    <row r="47" ht="18.75" customHeight="1">
      <c r="A47" s="1110"/>
      <c r="B47" s="1108" t="s">
        <v>8191</v>
      </c>
      <c r="C47" s="1108" t="s">
        <v>8195</v>
      </c>
      <c r="D47" s="1116" t="s">
        <v>8238</v>
      </c>
      <c r="E47" s="1116" t="s">
        <v>8239</v>
      </c>
      <c r="F47" s="1109">
        <v>0.1</v>
      </c>
      <c r="G47" s="1109">
        <v>0.05</v>
      </c>
      <c r="H47" s="1118">
        <v>444000.0</v>
      </c>
      <c r="I47" s="1118">
        <f t="shared" si="2"/>
        <v>403640</v>
      </c>
      <c r="J47" s="1118">
        <f t="shared" si="1"/>
        <v>421800</v>
      </c>
      <c r="K47" s="1110"/>
    </row>
    <row r="48" ht="18.75" customHeight="1">
      <c r="A48" s="1110"/>
      <c r="B48" s="1108" t="s">
        <v>8191</v>
      </c>
      <c r="C48" s="1108" t="s">
        <v>8195</v>
      </c>
      <c r="D48" s="1116" t="s">
        <v>8240</v>
      </c>
      <c r="E48" s="1116" t="s">
        <v>8241</v>
      </c>
      <c r="F48" s="1109">
        <v>0.1</v>
      </c>
      <c r="G48" s="1109">
        <v>0.05</v>
      </c>
      <c r="H48" s="1118">
        <v>518000.0</v>
      </c>
      <c r="I48" s="1118">
        <f t="shared" si="2"/>
        <v>470910</v>
      </c>
      <c r="J48" s="1118">
        <f t="shared" si="1"/>
        <v>492100</v>
      </c>
      <c r="K48" s="1110"/>
    </row>
    <row r="49" ht="18.75" customHeight="1">
      <c r="A49" s="1110"/>
      <c r="B49" s="1108" t="s">
        <v>8191</v>
      </c>
      <c r="C49" s="1108" t="s">
        <v>8195</v>
      </c>
      <c r="D49" s="1116" t="s">
        <v>8242</v>
      </c>
      <c r="E49" s="1116" t="s">
        <v>8243</v>
      </c>
      <c r="F49" s="1109">
        <v>0.1</v>
      </c>
      <c r="G49" s="1109">
        <v>0.05</v>
      </c>
      <c r="H49" s="1118">
        <v>690000.0</v>
      </c>
      <c r="I49" s="1118">
        <f t="shared" si="2"/>
        <v>627270</v>
      </c>
      <c r="J49" s="1118">
        <f t="shared" si="1"/>
        <v>655500</v>
      </c>
      <c r="K49" s="1110"/>
    </row>
    <row r="50" ht="18.75" customHeight="1">
      <c r="A50" s="1110"/>
      <c r="B50" s="1108" t="s">
        <v>8244</v>
      </c>
      <c r="C50" s="1108" t="s">
        <v>8245</v>
      </c>
      <c r="D50" s="1116" t="s">
        <v>212</v>
      </c>
      <c r="E50" s="1116" t="s">
        <v>8246</v>
      </c>
      <c r="F50" s="1109">
        <v>0.1</v>
      </c>
      <c r="G50" s="1109">
        <v>0.05</v>
      </c>
      <c r="H50" s="1118">
        <v>77600.0</v>
      </c>
      <c r="I50" s="1118">
        <f t="shared" si="2"/>
        <v>70550</v>
      </c>
      <c r="J50" s="1118">
        <f t="shared" si="1"/>
        <v>73720</v>
      </c>
      <c r="K50" s="1110"/>
    </row>
    <row r="51" ht="18.75" customHeight="1">
      <c r="A51" s="1110"/>
      <c r="B51" s="1108" t="s">
        <v>8244</v>
      </c>
      <c r="C51" s="1108" t="s">
        <v>8245</v>
      </c>
      <c r="D51" s="1116" t="s">
        <v>217</v>
      </c>
      <c r="E51" s="1116" t="s">
        <v>8247</v>
      </c>
      <c r="F51" s="1109">
        <v>0.1</v>
      </c>
      <c r="G51" s="1109">
        <v>0.05</v>
      </c>
      <c r="H51" s="1118">
        <v>80000.0</v>
      </c>
      <c r="I51" s="1118">
        <f t="shared" si="2"/>
        <v>72730</v>
      </c>
      <c r="J51" s="1118">
        <f t="shared" si="1"/>
        <v>76000</v>
      </c>
      <c r="K51" s="1110"/>
    </row>
    <row r="52" ht="18.75" customHeight="1">
      <c r="A52" s="1110"/>
      <c r="B52" s="1108" t="s">
        <v>8244</v>
      </c>
      <c r="C52" s="1108" t="s">
        <v>8245</v>
      </c>
      <c r="D52" s="1116" t="s">
        <v>220</v>
      </c>
      <c r="E52" s="1116" t="s">
        <v>8248</v>
      </c>
      <c r="F52" s="1109">
        <v>0.1</v>
      </c>
      <c r="G52" s="1109">
        <v>0.05</v>
      </c>
      <c r="H52" s="1118">
        <v>91800.0</v>
      </c>
      <c r="I52" s="1118">
        <f t="shared" si="2"/>
        <v>83450</v>
      </c>
      <c r="J52" s="1118">
        <f t="shared" si="1"/>
        <v>87210</v>
      </c>
      <c r="K52" s="1110"/>
    </row>
    <row r="53" ht="18.75" customHeight="1">
      <c r="A53" s="1110"/>
      <c r="B53" s="1108" t="s">
        <v>8244</v>
      </c>
      <c r="C53" s="1108" t="s">
        <v>8245</v>
      </c>
      <c r="D53" s="1116" t="s">
        <v>223</v>
      </c>
      <c r="E53" s="1116" t="s">
        <v>8249</v>
      </c>
      <c r="F53" s="1109">
        <v>0.1</v>
      </c>
      <c r="G53" s="1109">
        <v>0.05</v>
      </c>
      <c r="H53" s="1118">
        <v>96500.0</v>
      </c>
      <c r="I53" s="1118">
        <f t="shared" si="2"/>
        <v>87730</v>
      </c>
      <c r="J53" s="1118">
        <f t="shared" si="1"/>
        <v>91680</v>
      </c>
      <c r="K53" s="1110"/>
    </row>
    <row r="54" ht="18.75" customHeight="1">
      <c r="A54" s="1110"/>
      <c r="B54" s="1108" t="s">
        <v>8244</v>
      </c>
      <c r="C54" s="1108" t="s">
        <v>8245</v>
      </c>
      <c r="D54" s="1116" t="s">
        <v>226</v>
      </c>
      <c r="E54" s="1116" t="s">
        <v>8250</v>
      </c>
      <c r="F54" s="1109">
        <v>0.1</v>
      </c>
      <c r="G54" s="1109">
        <v>0.05</v>
      </c>
      <c r="H54" s="1118">
        <v>125900.0</v>
      </c>
      <c r="I54" s="1118">
        <f t="shared" si="2"/>
        <v>114450</v>
      </c>
      <c r="J54" s="1118">
        <f t="shared" si="1"/>
        <v>119610</v>
      </c>
      <c r="K54" s="1110"/>
    </row>
    <row r="55" ht="18.75" customHeight="1">
      <c r="A55" s="1110"/>
      <c r="B55" s="1108" t="s">
        <v>8244</v>
      </c>
      <c r="C55" s="1108" t="s">
        <v>8245</v>
      </c>
      <c r="D55" s="1116" t="s">
        <v>229</v>
      </c>
      <c r="E55" s="1116" t="s">
        <v>8251</v>
      </c>
      <c r="F55" s="1109">
        <v>0.1</v>
      </c>
      <c r="G55" s="1109">
        <v>0.05</v>
      </c>
      <c r="H55" s="1118">
        <v>161200.0</v>
      </c>
      <c r="I55" s="1118">
        <f t="shared" si="2"/>
        <v>146550</v>
      </c>
      <c r="J55" s="1118">
        <f t="shared" si="1"/>
        <v>153140</v>
      </c>
      <c r="K55" s="1110"/>
    </row>
    <row r="56" ht="18.75" customHeight="1">
      <c r="A56" s="1110"/>
      <c r="B56" s="1108" t="s">
        <v>8244</v>
      </c>
      <c r="C56" s="1108" t="s">
        <v>8245</v>
      </c>
      <c r="D56" s="1116" t="s">
        <v>232</v>
      </c>
      <c r="E56" s="1116" t="s">
        <v>8252</v>
      </c>
      <c r="F56" s="1109">
        <v>0.1</v>
      </c>
      <c r="G56" s="1109">
        <v>0.05</v>
      </c>
      <c r="H56" s="1118">
        <v>222400.0</v>
      </c>
      <c r="I56" s="1118">
        <f t="shared" si="2"/>
        <v>202180</v>
      </c>
      <c r="J56" s="1118">
        <f t="shared" si="1"/>
        <v>211280</v>
      </c>
      <c r="K56" s="1110"/>
    </row>
    <row r="57" ht="18.75" customHeight="1">
      <c r="A57" s="1110"/>
      <c r="B57" s="1108" t="s">
        <v>8244</v>
      </c>
      <c r="C57" s="1108" t="s">
        <v>8245</v>
      </c>
      <c r="D57" s="1116" t="s">
        <v>235</v>
      </c>
      <c r="E57" s="1116" t="s">
        <v>8253</v>
      </c>
      <c r="F57" s="1109">
        <v>0.1</v>
      </c>
      <c r="G57" s="1109">
        <v>0.05</v>
      </c>
      <c r="H57" s="1118">
        <v>252900.0</v>
      </c>
      <c r="I57" s="1118">
        <f t="shared" si="2"/>
        <v>229910</v>
      </c>
      <c r="J57" s="1118">
        <f t="shared" si="1"/>
        <v>240260</v>
      </c>
      <c r="K57" s="1110"/>
    </row>
    <row r="58" ht="18.75" customHeight="1">
      <c r="A58" s="1110"/>
      <c r="B58" s="1108" t="s">
        <v>8244</v>
      </c>
      <c r="C58" s="1108" t="s">
        <v>8245</v>
      </c>
      <c r="D58" s="1116" t="s">
        <v>8254</v>
      </c>
      <c r="E58" s="1116" t="s">
        <v>8255</v>
      </c>
      <c r="F58" s="1109">
        <v>0.1</v>
      </c>
      <c r="G58" s="1109">
        <v>0.05</v>
      </c>
      <c r="H58" s="1116"/>
      <c r="I58" s="1118" t="str">
        <f t="shared" si="2"/>
        <v/>
      </c>
      <c r="J58" s="1118" t="str">
        <f t="shared" si="1"/>
        <v/>
      </c>
      <c r="K58" s="1110"/>
    </row>
    <row r="59" ht="18.75" customHeight="1">
      <c r="A59" s="1110"/>
      <c r="B59" s="1108" t="s">
        <v>8244</v>
      </c>
      <c r="C59" s="1108" t="s">
        <v>8256</v>
      </c>
      <c r="D59" s="1116" t="s">
        <v>261</v>
      </c>
      <c r="E59" s="1116" t="s">
        <v>8257</v>
      </c>
      <c r="F59" s="1109">
        <v>0.1</v>
      </c>
      <c r="G59" s="1109">
        <v>0.05</v>
      </c>
      <c r="H59" s="1119">
        <v>194700.0</v>
      </c>
      <c r="I59" s="1118">
        <f t="shared" si="2"/>
        <v>177000</v>
      </c>
      <c r="J59" s="1118">
        <f t="shared" si="1"/>
        <v>184970</v>
      </c>
      <c r="K59" s="1110"/>
    </row>
    <row r="60" ht="18.75" customHeight="1">
      <c r="A60" s="1110"/>
      <c r="B60" s="1108" t="s">
        <v>8244</v>
      </c>
      <c r="C60" s="1108" t="s">
        <v>8256</v>
      </c>
      <c r="D60" s="1116" t="s">
        <v>264</v>
      </c>
      <c r="E60" s="1116" t="s">
        <v>8258</v>
      </c>
      <c r="F60" s="1109">
        <v>0.1</v>
      </c>
      <c r="G60" s="1109">
        <v>0.05</v>
      </c>
      <c r="H60" s="1119">
        <v>224200.0</v>
      </c>
      <c r="I60" s="1118">
        <f t="shared" si="2"/>
        <v>203820</v>
      </c>
      <c r="J60" s="1118">
        <f t="shared" si="1"/>
        <v>212990</v>
      </c>
      <c r="K60" s="1110"/>
    </row>
    <row r="61" ht="18.75" customHeight="1">
      <c r="A61" s="1110"/>
      <c r="B61" s="1108" t="s">
        <v>8244</v>
      </c>
      <c r="C61" s="1108" t="s">
        <v>8256</v>
      </c>
      <c r="D61" s="1116" t="s">
        <v>267</v>
      </c>
      <c r="E61" s="1116" t="s">
        <v>8259</v>
      </c>
      <c r="F61" s="1109">
        <v>0.1</v>
      </c>
      <c r="G61" s="1109">
        <v>0.05</v>
      </c>
      <c r="H61" s="1119">
        <v>261925.0</v>
      </c>
      <c r="I61" s="1118">
        <f t="shared" si="2"/>
        <v>238110</v>
      </c>
      <c r="J61" s="1118">
        <f t="shared" si="1"/>
        <v>248830</v>
      </c>
      <c r="K61" s="1110"/>
    </row>
    <row r="62" ht="18.75" customHeight="1">
      <c r="A62" s="1110"/>
      <c r="B62" s="1108" t="s">
        <v>8244</v>
      </c>
      <c r="C62" s="1108" t="s">
        <v>8256</v>
      </c>
      <c r="D62" s="1116" t="s">
        <v>270</v>
      </c>
      <c r="E62" s="1116" t="s">
        <v>8260</v>
      </c>
      <c r="F62" s="1109">
        <v>0.1</v>
      </c>
      <c r="G62" s="1109">
        <v>0.05</v>
      </c>
      <c r="H62" s="1119">
        <v>292034.0</v>
      </c>
      <c r="I62" s="1118">
        <f t="shared" si="2"/>
        <v>265490</v>
      </c>
      <c r="J62" s="1118">
        <f t="shared" si="1"/>
        <v>277430</v>
      </c>
      <c r="K62" s="1110"/>
    </row>
    <row r="63" ht="18.75" customHeight="1">
      <c r="A63" s="1110"/>
      <c r="B63" s="1108" t="s">
        <v>8244</v>
      </c>
      <c r="C63" s="1108" t="s">
        <v>8256</v>
      </c>
      <c r="D63" s="1116" t="s">
        <v>273</v>
      </c>
      <c r="E63" s="1116" t="s">
        <v>8261</v>
      </c>
      <c r="F63" s="1109">
        <v>0.1</v>
      </c>
      <c r="G63" s="1109">
        <v>0.05</v>
      </c>
      <c r="H63" s="1119">
        <v>399973.0</v>
      </c>
      <c r="I63" s="1118">
        <f t="shared" si="2"/>
        <v>363610</v>
      </c>
      <c r="J63" s="1118">
        <f t="shared" si="1"/>
        <v>379970</v>
      </c>
      <c r="K63" s="1110"/>
    </row>
    <row r="64" ht="18.75" customHeight="1">
      <c r="A64" s="1110"/>
      <c r="B64" s="1108" t="s">
        <v>8244</v>
      </c>
      <c r="C64" s="1108" t="s">
        <v>8256</v>
      </c>
      <c r="D64" s="1116" t="s">
        <v>276</v>
      </c>
      <c r="E64" s="1116" t="s">
        <v>8262</v>
      </c>
      <c r="F64" s="1109">
        <v>0.1</v>
      </c>
      <c r="G64" s="1109">
        <v>0.05</v>
      </c>
      <c r="H64" s="1119">
        <v>481475.0</v>
      </c>
      <c r="I64" s="1118">
        <f t="shared" si="2"/>
        <v>437700</v>
      </c>
      <c r="J64" s="1118">
        <f t="shared" si="1"/>
        <v>457400</v>
      </c>
      <c r="K64" s="1110"/>
    </row>
    <row r="65" ht="18.75" customHeight="1">
      <c r="A65" s="1110"/>
      <c r="B65" s="1108" t="s">
        <v>8244</v>
      </c>
      <c r="C65" s="1108" t="s">
        <v>8256</v>
      </c>
      <c r="D65" s="1116" t="s">
        <v>279</v>
      </c>
      <c r="E65" s="1116" t="s">
        <v>8263</v>
      </c>
      <c r="F65" s="1109">
        <v>0.1</v>
      </c>
      <c r="G65" s="1109">
        <v>0.05</v>
      </c>
      <c r="H65" s="1119">
        <v>601800.0</v>
      </c>
      <c r="I65" s="1118">
        <f t="shared" si="2"/>
        <v>547090</v>
      </c>
      <c r="J65" s="1118">
        <f t="shared" si="1"/>
        <v>571710</v>
      </c>
      <c r="K65" s="1110"/>
    </row>
    <row r="66" ht="18.75" customHeight="1">
      <c r="A66" s="1110"/>
      <c r="B66" s="1108" t="s">
        <v>8244</v>
      </c>
      <c r="C66" s="1108" t="s">
        <v>8256</v>
      </c>
      <c r="D66" s="1116" t="s">
        <v>282</v>
      </c>
      <c r="E66" s="1116" t="s">
        <v>8264</v>
      </c>
      <c r="F66" s="1109">
        <v>0.1</v>
      </c>
      <c r="G66" s="1109">
        <v>0.05</v>
      </c>
      <c r="H66" s="1119">
        <v>743400.0</v>
      </c>
      <c r="I66" s="1118">
        <f t="shared" si="2"/>
        <v>675820</v>
      </c>
      <c r="J66" s="1118">
        <f t="shared" si="1"/>
        <v>706230</v>
      </c>
      <c r="K66" s="1110"/>
    </row>
    <row r="67" ht="18.75" customHeight="1">
      <c r="A67" s="1110"/>
      <c r="B67" s="1108" t="s">
        <v>8244</v>
      </c>
      <c r="C67" s="1108" t="s">
        <v>8256</v>
      </c>
      <c r="D67" s="1116" t="s">
        <v>285</v>
      </c>
      <c r="E67" s="1116" t="s">
        <v>8265</v>
      </c>
      <c r="F67" s="1109">
        <v>0.1</v>
      </c>
      <c r="G67" s="1109">
        <v>0.05</v>
      </c>
      <c r="H67" s="1122">
        <v>849600.0</v>
      </c>
      <c r="I67" s="1118">
        <f t="shared" si="2"/>
        <v>772360</v>
      </c>
      <c r="J67" s="1118">
        <f t="shared" si="1"/>
        <v>807120</v>
      </c>
      <c r="K67" s="1110"/>
    </row>
    <row r="68" ht="18.75" customHeight="1">
      <c r="A68" s="1110"/>
      <c r="B68" s="1108" t="s">
        <v>8244</v>
      </c>
      <c r="C68" s="1108" t="s">
        <v>8256</v>
      </c>
      <c r="D68" s="1116" t="s">
        <v>289</v>
      </c>
      <c r="E68" s="1116" t="s">
        <v>8266</v>
      </c>
      <c r="F68" s="1109">
        <v>0.1</v>
      </c>
      <c r="G68" s="1109">
        <v>0.05</v>
      </c>
      <c r="H68" s="1118">
        <v>214100.0</v>
      </c>
      <c r="I68" s="1118">
        <f t="shared" si="2"/>
        <v>194640</v>
      </c>
      <c r="J68" s="1118">
        <f t="shared" si="1"/>
        <v>203400</v>
      </c>
      <c r="K68" s="1110"/>
    </row>
    <row r="69" ht="18.75" customHeight="1">
      <c r="A69" s="1110"/>
      <c r="B69" s="1108" t="s">
        <v>8244</v>
      </c>
      <c r="C69" s="1108" t="s">
        <v>8256</v>
      </c>
      <c r="D69" s="1116" t="s">
        <v>8267</v>
      </c>
      <c r="E69" s="1116" t="s">
        <v>8268</v>
      </c>
      <c r="F69" s="1109">
        <v>0.1</v>
      </c>
      <c r="G69" s="1109">
        <v>0.05</v>
      </c>
      <c r="H69" s="1118"/>
      <c r="I69" s="1118" t="str">
        <f t="shared" si="2"/>
        <v/>
      </c>
      <c r="J69" s="1118" t="str">
        <f t="shared" si="1"/>
        <v/>
      </c>
      <c r="K69" s="1110"/>
    </row>
    <row r="70" ht="18.75" customHeight="1">
      <c r="A70" s="1110"/>
      <c r="B70" s="1108" t="s">
        <v>8244</v>
      </c>
      <c r="C70" s="1108" t="s">
        <v>8256</v>
      </c>
      <c r="D70" s="1116" t="s">
        <v>291</v>
      </c>
      <c r="E70" s="1116" t="s">
        <v>8269</v>
      </c>
      <c r="F70" s="1109">
        <v>0.1</v>
      </c>
      <c r="G70" s="1109">
        <v>0.05</v>
      </c>
      <c r="H70" s="1118">
        <v>264700.0</v>
      </c>
      <c r="I70" s="1118">
        <f t="shared" si="2"/>
        <v>240640</v>
      </c>
      <c r="J70" s="1118">
        <f t="shared" si="1"/>
        <v>251470</v>
      </c>
      <c r="K70" s="1110"/>
    </row>
    <row r="71" ht="18.75" customHeight="1">
      <c r="A71" s="1110"/>
      <c r="B71" s="1108" t="s">
        <v>8244</v>
      </c>
      <c r="C71" s="1108" t="s">
        <v>8256</v>
      </c>
      <c r="D71" s="1116" t="s">
        <v>293</v>
      </c>
      <c r="E71" s="1116" t="s">
        <v>8270</v>
      </c>
      <c r="F71" s="1109">
        <v>0.1</v>
      </c>
      <c r="G71" s="1109">
        <v>0.05</v>
      </c>
      <c r="H71" s="1118">
        <v>308200.0</v>
      </c>
      <c r="I71" s="1118">
        <f t="shared" si="2"/>
        <v>280180</v>
      </c>
      <c r="J71" s="1118">
        <f t="shared" si="1"/>
        <v>292790</v>
      </c>
      <c r="K71" s="1110"/>
    </row>
    <row r="72" ht="18.75" customHeight="1">
      <c r="A72" s="1110"/>
      <c r="B72" s="1108" t="s">
        <v>8244</v>
      </c>
      <c r="C72" s="1108" t="s">
        <v>8256</v>
      </c>
      <c r="D72" s="1116" t="s">
        <v>295</v>
      </c>
      <c r="E72" s="1116" t="s">
        <v>8271</v>
      </c>
      <c r="F72" s="1109">
        <v>0.1</v>
      </c>
      <c r="G72" s="1109">
        <v>0.05</v>
      </c>
      <c r="H72" s="1118">
        <v>390600.0</v>
      </c>
      <c r="I72" s="1118">
        <f t="shared" si="2"/>
        <v>355090</v>
      </c>
      <c r="J72" s="1118">
        <f t="shared" si="1"/>
        <v>371070</v>
      </c>
      <c r="K72" s="1110"/>
    </row>
    <row r="73" ht="18.75" customHeight="1">
      <c r="A73" s="1110"/>
      <c r="B73" s="1108" t="s">
        <v>8244</v>
      </c>
      <c r="C73" s="1108" t="s">
        <v>8256</v>
      </c>
      <c r="D73" s="1116" t="s">
        <v>297</v>
      </c>
      <c r="E73" s="1116" t="s">
        <v>8272</v>
      </c>
      <c r="F73" s="1109">
        <v>0.1</v>
      </c>
      <c r="G73" s="1109">
        <v>0.05</v>
      </c>
      <c r="H73" s="1118">
        <v>503500.0</v>
      </c>
      <c r="I73" s="1118">
        <f t="shared" si="2"/>
        <v>457730</v>
      </c>
      <c r="J73" s="1118">
        <f t="shared" si="1"/>
        <v>478330</v>
      </c>
      <c r="K73" s="1110"/>
    </row>
    <row r="74" ht="18.75" customHeight="1">
      <c r="A74" s="1110"/>
      <c r="B74" s="1108" t="s">
        <v>8244</v>
      </c>
      <c r="C74" s="1108" t="s">
        <v>8256</v>
      </c>
      <c r="D74" s="1116" t="s">
        <v>299</v>
      </c>
      <c r="E74" s="1116" t="s">
        <v>8273</v>
      </c>
      <c r="F74" s="1109">
        <v>0.1</v>
      </c>
      <c r="G74" s="1109">
        <v>0.05</v>
      </c>
      <c r="H74" s="1118">
        <v>549400.0</v>
      </c>
      <c r="I74" s="1118">
        <f t="shared" si="2"/>
        <v>499450</v>
      </c>
      <c r="J74" s="1118">
        <f t="shared" si="1"/>
        <v>521930</v>
      </c>
      <c r="K74" s="1110"/>
    </row>
    <row r="75" ht="18.75" customHeight="1">
      <c r="A75" s="1110"/>
      <c r="B75" s="1108" t="s">
        <v>8244</v>
      </c>
      <c r="C75" s="1108" t="s">
        <v>8256</v>
      </c>
      <c r="D75" s="1116" t="s">
        <v>301</v>
      </c>
      <c r="E75" s="1116" t="s">
        <v>8274</v>
      </c>
      <c r="F75" s="1109">
        <v>0.1</v>
      </c>
      <c r="G75" s="1109">
        <v>0.05</v>
      </c>
      <c r="H75" s="1118">
        <v>641200.0</v>
      </c>
      <c r="I75" s="1118">
        <f t="shared" si="2"/>
        <v>582910</v>
      </c>
      <c r="J75" s="1118">
        <f t="shared" si="1"/>
        <v>609140</v>
      </c>
      <c r="K75" s="1110"/>
    </row>
    <row r="76" ht="18.75" customHeight="1">
      <c r="A76" s="1110"/>
      <c r="B76" s="1108" t="s">
        <v>8244</v>
      </c>
      <c r="C76" s="1108" t="s">
        <v>8256</v>
      </c>
      <c r="D76" s="1116" t="s">
        <v>303</v>
      </c>
      <c r="E76" s="1116" t="s">
        <v>8275</v>
      </c>
      <c r="F76" s="1109">
        <v>0.1</v>
      </c>
      <c r="G76" s="1109">
        <v>0.05</v>
      </c>
      <c r="H76" s="1116">
        <v>854100.0</v>
      </c>
      <c r="I76" s="1118">
        <f t="shared" si="2"/>
        <v>776450</v>
      </c>
      <c r="J76" s="1118">
        <f t="shared" si="1"/>
        <v>811400</v>
      </c>
      <c r="K76" s="1110"/>
    </row>
    <row r="77" ht="18.75" customHeight="1">
      <c r="A77" s="1110"/>
      <c r="B77" s="1108" t="s">
        <v>8276</v>
      </c>
      <c r="C77" s="1108" t="s">
        <v>8277</v>
      </c>
      <c r="D77" s="1116" t="s">
        <v>240</v>
      </c>
      <c r="E77" s="1116" t="s">
        <v>241</v>
      </c>
      <c r="F77" s="1109">
        <v>0.1</v>
      </c>
      <c r="G77" s="1109">
        <v>0.05</v>
      </c>
      <c r="H77" s="1118">
        <v>218800.0</v>
      </c>
      <c r="I77" s="1118">
        <f t="shared" si="2"/>
        <v>198910</v>
      </c>
      <c r="J77" s="1118">
        <f t="shared" si="1"/>
        <v>207860</v>
      </c>
      <c r="K77" s="1110"/>
    </row>
    <row r="78" ht="18.75" customHeight="1">
      <c r="A78" s="1110"/>
      <c r="B78" s="1108" t="s">
        <v>8276</v>
      </c>
      <c r="C78" s="1108" t="s">
        <v>8277</v>
      </c>
      <c r="D78" s="1116" t="s">
        <v>243</v>
      </c>
      <c r="E78" s="1116" t="s">
        <v>244</v>
      </c>
      <c r="F78" s="1109">
        <v>0.1</v>
      </c>
      <c r="G78" s="1109">
        <v>0.05</v>
      </c>
      <c r="H78" s="1118">
        <v>222400.0</v>
      </c>
      <c r="I78" s="1118">
        <f t="shared" si="2"/>
        <v>202180</v>
      </c>
      <c r="J78" s="1118">
        <f t="shared" si="1"/>
        <v>211280</v>
      </c>
      <c r="K78" s="1110"/>
    </row>
    <row r="79" ht="18.75" customHeight="1">
      <c r="A79" s="1110"/>
      <c r="B79" s="1108" t="s">
        <v>8276</v>
      </c>
      <c r="C79" s="1108" t="s">
        <v>8277</v>
      </c>
      <c r="D79" s="1116" t="s">
        <v>246</v>
      </c>
      <c r="E79" s="1116" t="s">
        <v>247</v>
      </c>
      <c r="F79" s="1109">
        <v>0.1</v>
      </c>
      <c r="G79" s="1109">
        <v>0.05</v>
      </c>
      <c r="H79" s="1118">
        <v>265900.0</v>
      </c>
      <c r="I79" s="1118">
        <f t="shared" si="2"/>
        <v>241730</v>
      </c>
      <c r="J79" s="1118">
        <f t="shared" si="1"/>
        <v>252610</v>
      </c>
      <c r="K79" s="1110"/>
    </row>
    <row r="80" ht="18.75" customHeight="1">
      <c r="A80" s="1110"/>
      <c r="B80" s="1108" t="s">
        <v>8276</v>
      </c>
      <c r="C80" s="1108" t="s">
        <v>8277</v>
      </c>
      <c r="D80" s="1116" t="s">
        <v>249</v>
      </c>
      <c r="E80" s="1116" t="s">
        <v>250</v>
      </c>
      <c r="F80" s="1109">
        <v>0.1</v>
      </c>
      <c r="G80" s="1109">
        <v>0.05</v>
      </c>
      <c r="H80" s="1118">
        <v>314100.0</v>
      </c>
      <c r="I80" s="1118">
        <f t="shared" si="2"/>
        <v>285550</v>
      </c>
      <c r="J80" s="1118">
        <f t="shared" si="1"/>
        <v>298400</v>
      </c>
      <c r="K80" s="1110"/>
    </row>
    <row r="81" ht="18.75" customHeight="1">
      <c r="A81" s="1110"/>
      <c r="B81" s="1108" t="s">
        <v>8276</v>
      </c>
      <c r="C81" s="1108" t="s">
        <v>8277</v>
      </c>
      <c r="D81" s="1116" t="s">
        <v>252</v>
      </c>
      <c r="E81" s="1116" t="s">
        <v>253</v>
      </c>
      <c r="F81" s="1109">
        <v>0.1</v>
      </c>
      <c r="G81" s="1109">
        <v>0.05</v>
      </c>
      <c r="H81" s="1118">
        <v>447100.0</v>
      </c>
      <c r="I81" s="1118">
        <f t="shared" si="2"/>
        <v>406450</v>
      </c>
      <c r="J81" s="1118">
        <f t="shared" si="1"/>
        <v>424750</v>
      </c>
      <c r="K81" s="1110"/>
    </row>
    <row r="82" ht="18.75" customHeight="1">
      <c r="A82" s="1110"/>
      <c r="B82" s="1108" t="s">
        <v>8276</v>
      </c>
      <c r="C82" s="1108" t="s">
        <v>8277</v>
      </c>
      <c r="D82" s="1116" t="s">
        <v>255</v>
      </c>
      <c r="E82" s="1116" t="s">
        <v>256</v>
      </c>
      <c r="F82" s="1109">
        <v>0.1</v>
      </c>
      <c r="G82" s="1109">
        <v>0.05</v>
      </c>
      <c r="H82" s="1118">
        <v>492900.0</v>
      </c>
      <c r="I82" s="1118">
        <f t="shared" si="2"/>
        <v>448090</v>
      </c>
      <c r="J82" s="1118">
        <f t="shared" si="1"/>
        <v>468260</v>
      </c>
      <c r="K82" s="1110"/>
    </row>
    <row r="83" ht="18.75" customHeight="1">
      <c r="A83" s="1110"/>
      <c r="B83" s="1108" t="s">
        <v>8276</v>
      </c>
      <c r="C83" s="1108" t="s">
        <v>8277</v>
      </c>
      <c r="D83" s="1116" t="s">
        <v>258</v>
      </c>
      <c r="E83" s="1116" t="s">
        <v>259</v>
      </c>
      <c r="F83" s="1109">
        <v>0.1</v>
      </c>
      <c r="G83" s="1109">
        <v>0.05</v>
      </c>
      <c r="H83" s="1118">
        <v>594100.0</v>
      </c>
      <c r="I83" s="1118">
        <f t="shared" si="2"/>
        <v>540090</v>
      </c>
      <c r="J83" s="1118">
        <f t="shared" si="1"/>
        <v>564400</v>
      </c>
      <c r="K83" s="1110"/>
    </row>
    <row r="84" ht="18.75" customHeight="1">
      <c r="A84" s="1110"/>
      <c r="B84" s="1108" t="s">
        <v>8276</v>
      </c>
      <c r="C84" s="1108" t="s">
        <v>8277</v>
      </c>
      <c r="D84" s="1116" t="s">
        <v>8278</v>
      </c>
      <c r="E84" s="1116" t="s">
        <v>8279</v>
      </c>
      <c r="F84" s="1109">
        <v>0.1</v>
      </c>
      <c r="G84" s="1109">
        <v>0.05</v>
      </c>
      <c r="H84" s="1116"/>
      <c r="I84" s="1118" t="str">
        <f t="shared" si="2"/>
        <v/>
      </c>
      <c r="J84" s="1118" t="str">
        <f t="shared" si="1"/>
        <v/>
      </c>
      <c r="K84" s="1110"/>
    </row>
  </sheetData>
  <mergeCells count="1">
    <mergeCell ref="A1:K2"/>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5"/>
    <col customWidth="1" min="2" max="2" width="36.13"/>
    <col customWidth="1" min="3" max="3" width="15.25"/>
    <col customWidth="1" min="4" max="4" width="24.25"/>
    <col customWidth="1" min="5" max="5" width="55.38"/>
    <col customWidth="1" min="6" max="6" width="11.63"/>
    <col customWidth="1" min="7" max="7" width="11.38"/>
    <col customWidth="1" min="8" max="8" width="13.88"/>
    <col customWidth="1" min="9" max="10" width="12.75"/>
    <col customWidth="1" min="11" max="11" width="4.5"/>
  </cols>
  <sheetData>
    <row r="1" ht="12.75" customHeight="1">
      <c r="A1" s="1121" t="s">
        <v>8190</v>
      </c>
      <c r="B1" s="456"/>
      <c r="C1" s="456"/>
      <c r="D1" s="456"/>
      <c r="E1" s="456"/>
      <c r="F1" s="456"/>
      <c r="G1" s="456"/>
      <c r="H1" s="456"/>
      <c r="I1" s="456"/>
      <c r="J1" s="456"/>
      <c r="K1" s="457"/>
    </row>
    <row r="2" ht="12.75" customHeight="1">
      <c r="A2" s="435"/>
      <c r="B2" s="418"/>
      <c r="C2" s="418"/>
      <c r="D2" s="418"/>
      <c r="E2" s="418"/>
      <c r="F2" s="418"/>
      <c r="G2" s="418"/>
      <c r="H2" s="418"/>
      <c r="I2" s="418"/>
      <c r="J2" s="418"/>
      <c r="K2" s="419"/>
    </row>
    <row r="3" ht="12.75" customHeight="1">
      <c r="A3" s="1110"/>
      <c r="B3" s="1110"/>
      <c r="C3" s="1110"/>
      <c r="D3" s="1110"/>
      <c r="E3" s="1110"/>
      <c r="F3" s="1110"/>
      <c r="G3" s="1110"/>
      <c r="H3" s="1110"/>
      <c r="I3" s="1110"/>
      <c r="J3" s="1110"/>
      <c r="K3" s="1110"/>
    </row>
    <row r="4" ht="22.5" customHeight="1">
      <c r="A4" s="1110"/>
      <c r="B4" s="1106" t="s">
        <v>1279</v>
      </c>
      <c r="C4" s="1106" t="s">
        <v>1280</v>
      </c>
      <c r="D4" s="1113" t="s">
        <v>1281</v>
      </c>
      <c r="E4" s="1113" t="s">
        <v>1282</v>
      </c>
      <c r="F4" s="1106" t="s">
        <v>1283</v>
      </c>
      <c r="G4" s="1106" t="s">
        <v>1284</v>
      </c>
      <c r="H4" s="1123" t="s">
        <v>68</v>
      </c>
      <c r="I4" s="1123" t="s">
        <v>70</v>
      </c>
      <c r="J4" s="1123" t="s">
        <v>71</v>
      </c>
      <c r="K4" s="1110"/>
    </row>
    <row r="5" ht="18.75" customHeight="1">
      <c r="A5" s="1110"/>
      <c r="B5" s="1108" t="s">
        <v>8280</v>
      </c>
      <c r="C5" s="1108" t="s">
        <v>8281</v>
      </c>
      <c r="D5" s="1116" t="s">
        <v>8282</v>
      </c>
      <c r="E5" s="1116" t="s">
        <v>8283</v>
      </c>
      <c r="F5" s="1117">
        <v>0.1</v>
      </c>
      <c r="G5" s="1109">
        <v>0.02</v>
      </c>
      <c r="H5" s="1116"/>
      <c r="I5" s="1118" t="str">
        <f t="shared" ref="I5:I260" si="1">IF(ISBLANK(H5),,ROUND(H5/(1+F5),-1))</f>
        <v/>
      </c>
      <c r="J5" s="1118" t="str">
        <f t="shared" ref="J5:J260" si="2">IF(ISBLANK(H5),,ROUND(H5*(1-G5),-1))</f>
        <v/>
      </c>
      <c r="K5" s="1110"/>
    </row>
    <row r="6" ht="18.75" customHeight="1">
      <c r="A6" s="1110"/>
      <c r="B6" s="1108" t="s">
        <v>8280</v>
      </c>
      <c r="C6" s="1108" t="s">
        <v>8281</v>
      </c>
      <c r="D6" s="1116" t="s">
        <v>8284</v>
      </c>
      <c r="E6" s="1116" t="s">
        <v>8285</v>
      </c>
      <c r="F6" s="1117">
        <v>0.1</v>
      </c>
      <c r="G6" s="1109">
        <v>0.02</v>
      </c>
      <c r="H6" s="1116"/>
      <c r="I6" s="1118" t="str">
        <f t="shared" si="1"/>
        <v/>
      </c>
      <c r="J6" s="1118" t="str">
        <f t="shared" si="2"/>
        <v/>
      </c>
      <c r="K6" s="1110"/>
    </row>
    <row r="7" ht="18.75" customHeight="1">
      <c r="A7" s="1110"/>
      <c r="B7" s="1108" t="s">
        <v>8280</v>
      </c>
      <c r="C7" s="1108" t="s">
        <v>8281</v>
      </c>
      <c r="D7" s="1116" t="s">
        <v>8286</v>
      </c>
      <c r="E7" s="1116" t="s">
        <v>8287</v>
      </c>
      <c r="F7" s="1117">
        <v>0.1</v>
      </c>
      <c r="G7" s="1109">
        <v>0.02</v>
      </c>
      <c r="H7" s="1116"/>
      <c r="I7" s="1118" t="str">
        <f t="shared" si="1"/>
        <v/>
      </c>
      <c r="J7" s="1118" t="str">
        <f t="shared" si="2"/>
        <v/>
      </c>
      <c r="K7" s="1110"/>
    </row>
    <row r="8" ht="18.75" customHeight="1">
      <c r="A8" s="1110"/>
      <c r="B8" s="1108" t="s">
        <v>8280</v>
      </c>
      <c r="C8" s="1108" t="s">
        <v>8281</v>
      </c>
      <c r="D8" s="1116" t="s">
        <v>8288</v>
      </c>
      <c r="E8" s="1116" t="s">
        <v>8289</v>
      </c>
      <c r="F8" s="1117">
        <v>0.1</v>
      </c>
      <c r="G8" s="1109">
        <v>0.02</v>
      </c>
      <c r="H8" s="1116"/>
      <c r="I8" s="1118" t="str">
        <f t="shared" si="1"/>
        <v/>
      </c>
      <c r="J8" s="1118" t="str">
        <f t="shared" si="2"/>
        <v/>
      </c>
      <c r="K8" s="1110"/>
    </row>
    <row r="9" ht="18.75" customHeight="1">
      <c r="A9" s="1110"/>
      <c r="B9" s="1108" t="s">
        <v>8280</v>
      </c>
      <c r="C9" s="1108" t="s">
        <v>8281</v>
      </c>
      <c r="D9" s="1116" t="s">
        <v>8290</v>
      </c>
      <c r="E9" s="1116" t="s">
        <v>8291</v>
      </c>
      <c r="F9" s="1117">
        <v>0.1</v>
      </c>
      <c r="G9" s="1109">
        <v>0.02</v>
      </c>
      <c r="H9" s="1116"/>
      <c r="I9" s="1118" t="str">
        <f t="shared" si="1"/>
        <v/>
      </c>
      <c r="J9" s="1118" t="str">
        <f t="shared" si="2"/>
        <v/>
      </c>
      <c r="K9" s="1110"/>
    </row>
    <row r="10" ht="18.75" customHeight="1">
      <c r="A10" s="1110"/>
      <c r="B10" s="1108" t="s">
        <v>8280</v>
      </c>
      <c r="C10" s="1108" t="s">
        <v>8281</v>
      </c>
      <c r="D10" s="1116" t="s">
        <v>8292</v>
      </c>
      <c r="E10" s="1116" t="s">
        <v>8293</v>
      </c>
      <c r="F10" s="1117">
        <v>0.1</v>
      </c>
      <c r="G10" s="1109">
        <v>0.02</v>
      </c>
      <c r="H10" s="1116"/>
      <c r="I10" s="1118" t="str">
        <f t="shared" si="1"/>
        <v/>
      </c>
      <c r="J10" s="1118" t="str">
        <f t="shared" si="2"/>
        <v/>
      </c>
      <c r="K10" s="1110"/>
    </row>
    <row r="11" ht="18.75" customHeight="1">
      <c r="A11" s="1110"/>
      <c r="B11" s="1108" t="s">
        <v>8280</v>
      </c>
      <c r="C11" s="1108" t="s">
        <v>8281</v>
      </c>
      <c r="D11" s="1116" t="s">
        <v>8294</v>
      </c>
      <c r="E11" s="1116" t="s">
        <v>8295</v>
      </c>
      <c r="F11" s="1117">
        <v>0.1</v>
      </c>
      <c r="G11" s="1109">
        <v>0.02</v>
      </c>
      <c r="H11" s="1116"/>
      <c r="I11" s="1118" t="str">
        <f t="shared" si="1"/>
        <v/>
      </c>
      <c r="J11" s="1118" t="str">
        <f t="shared" si="2"/>
        <v/>
      </c>
      <c r="K11" s="1110"/>
    </row>
    <row r="12" ht="18.75" customHeight="1">
      <c r="A12" s="1110"/>
      <c r="B12" s="1108" t="s">
        <v>8280</v>
      </c>
      <c r="C12" s="1108" t="s">
        <v>8281</v>
      </c>
      <c r="D12" s="1116" t="s">
        <v>8296</v>
      </c>
      <c r="E12" s="1116" t="s">
        <v>8297</v>
      </c>
      <c r="F12" s="1117">
        <v>0.1</v>
      </c>
      <c r="G12" s="1109">
        <v>0.02</v>
      </c>
      <c r="H12" s="1118">
        <v>25800.0</v>
      </c>
      <c r="I12" s="1118">
        <f t="shared" si="1"/>
        <v>23450</v>
      </c>
      <c r="J12" s="1118">
        <f t="shared" si="2"/>
        <v>25280</v>
      </c>
      <c r="K12" s="1110"/>
    </row>
    <row r="13" ht="18.75" customHeight="1">
      <c r="A13" s="1110"/>
      <c r="B13" s="1108" t="s">
        <v>8280</v>
      </c>
      <c r="C13" s="1108" t="s">
        <v>8281</v>
      </c>
      <c r="D13" s="1116" t="s">
        <v>8298</v>
      </c>
      <c r="E13" s="1116" t="s">
        <v>8299</v>
      </c>
      <c r="F13" s="1117">
        <v>0.1</v>
      </c>
      <c r="G13" s="1109">
        <v>0.02</v>
      </c>
      <c r="H13" s="1118">
        <v>28800.0</v>
      </c>
      <c r="I13" s="1118">
        <f t="shared" si="1"/>
        <v>26180</v>
      </c>
      <c r="J13" s="1118">
        <f t="shared" si="2"/>
        <v>28220</v>
      </c>
      <c r="K13" s="1110"/>
    </row>
    <row r="14" ht="18.75" customHeight="1">
      <c r="A14" s="1110"/>
      <c r="B14" s="1108" t="s">
        <v>8280</v>
      </c>
      <c r="C14" s="1108" t="s">
        <v>8281</v>
      </c>
      <c r="D14" s="1116" t="s">
        <v>8300</v>
      </c>
      <c r="E14" s="1116" t="s">
        <v>8301</v>
      </c>
      <c r="F14" s="1117">
        <v>0.1</v>
      </c>
      <c r="G14" s="1109">
        <v>0.02</v>
      </c>
      <c r="H14" s="1118">
        <v>31700.0</v>
      </c>
      <c r="I14" s="1118">
        <f t="shared" si="1"/>
        <v>28820</v>
      </c>
      <c r="J14" s="1118">
        <f t="shared" si="2"/>
        <v>31070</v>
      </c>
      <c r="K14" s="1110"/>
    </row>
    <row r="15" ht="18.75" customHeight="1">
      <c r="A15" s="1110"/>
      <c r="B15" s="1108" t="s">
        <v>8280</v>
      </c>
      <c r="C15" s="1108" t="s">
        <v>8281</v>
      </c>
      <c r="D15" s="1116" t="s">
        <v>8302</v>
      </c>
      <c r="E15" s="1116" t="s">
        <v>8303</v>
      </c>
      <c r="F15" s="1117">
        <v>0.1</v>
      </c>
      <c r="G15" s="1109">
        <v>0.02</v>
      </c>
      <c r="H15" s="1118">
        <v>36200.0</v>
      </c>
      <c r="I15" s="1118">
        <f t="shared" si="1"/>
        <v>32910</v>
      </c>
      <c r="J15" s="1118">
        <f t="shared" si="2"/>
        <v>35480</v>
      </c>
      <c r="K15" s="1110"/>
    </row>
    <row r="16" ht="18.75" customHeight="1">
      <c r="A16" s="1110"/>
      <c r="B16" s="1108" t="s">
        <v>8280</v>
      </c>
      <c r="C16" s="1108" t="s">
        <v>8281</v>
      </c>
      <c r="D16" s="1116" t="s">
        <v>8304</v>
      </c>
      <c r="E16" s="1116" t="s">
        <v>8305</v>
      </c>
      <c r="F16" s="1117">
        <v>0.1</v>
      </c>
      <c r="G16" s="1109">
        <v>0.02</v>
      </c>
      <c r="H16" s="1118">
        <v>38700.0</v>
      </c>
      <c r="I16" s="1118">
        <f t="shared" si="1"/>
        <v>35180</v>
      </c>
      <c r="J16" s="1118">
        <f t="shared" si="2"/>
        <v>37930</v>
      </c>
      <c r="K16" s="1110"/>
    </row>
    <row r="17" ht="18.75" customHeight="1">
      <c r="A17" s="1110"/>
      <c r="B17" s="1108" t="s">
        <v>8280</v>
      </c>
      <c r="C17" s="1108" t="s">
        <v>8281</v>
      </c>
      <c r="D17" s="1116" t="s">
        <v>8306</v>
      </c>
      <c r="E17" s="1116" t="s">
        <v>8307</v>
      </c>
      <c r="F17" s="1117">
        <v>0.1</v>
      </c>
      <c r="G17" s="1109">
        <v>0.02</v>
      </c>
      <c r="H17" s="1118">
        <v>44500.0</v>
      </c>
      <c r="I17" s="1118">
        <f t="shared" si="1"/>
        <v>40450</v>
      </c>
      <c r="J17" s="1118">
        <f t="shared" si="2"/>
        <v>43610</v>
      </c>
      <c r="K17" s="1110"/>
    </row>
    <row r="18" ht="18.75" customHeight="1">
      <c r="A18" s="1110"/>
      <c r="B18" s="1108" t="s">
        <v>8280</v>
      </c>
      <c r="C18" s="1108" t="s">
        <v>8281</v>
      </c>
      <c r="D18" s="1116" t="s">
        <v>8308</v>
      </c>
      <c r="E18" s="1116" t="s">
        <v>8309</v>
      </c>
      <c r="F18" s="1117">
        <v>0.1</v>
      </c>
      <c r="G18" s="1109">
        <v>0.02</v>
      </c>
      <c r="H18" s="1118">
        <v>58900.0</v>
      </c>
      <c r="I18" s="1118">
        <f t="shared" si="1"/>
        <v>53550</v>
      </c>
      <c r="J18" s="1118">
        <f t="shared" si="2"/>
        <v>57720</v>
      </c>
      <c r="K18" s="1110"/>
    </row>
    <row r="19" ht="18.75" customHeight="1">
      <c r="A19" s="1110"/>
      <c r="B19" s="1108" t="s">
        <v>8280</v>
      </c>
      <c r="C19" s="1108" t="s">
        <v>8281</v>
      </c>
      <c r="D19" s="1116" t="s">
        <v>8310</v>
      </c>
      <c r="E19" s="1116" t="s">
        <v>8311</v>
      </c>
      <c r="F19" s="1117">
        <v>0.1</v>
      </c>
      <c r="G19" s="1109">
        <v>0.02</v>
      </c>
      <c r="H19" s="1116"/>
      <c r="I19" s="1118" t="str">
        <f t="shared" si="1"/>
        <v/>
      </c>
      <c r="J19" s="1118" t="str">
        <f t="shared" si="2"/>
        <v/>
      </c>
      <c r="K19" s="1110"/>
    </row>
    <row r="20" ht="18.75" customHeight="1">
      <c r="A20" s="1110"/>
      <c r="B20" s="1108" t="s">
        <v>8280</v>
      </c>
      <c r="C20" s="1108" t="s">
        <v>8281</v>
      </c>
      <c r="D20" s="1116" t="s">
        <v>8312</v>
      </c>
      <c r="E20" s="1116" t="s">
        <v>8313</v>
      </c>
      <c r="F20" s="1117">
        <v>0.1</v>
      </c>
      <c r="G20" s="1109">
        <v>0.02</v>
      </c>
      <c r="H20" s="1118">
        <v>84200.0</v>
      </c>
      <c r="I20" s="1118">
        <f t="shared" si="1"/>
        <v>76550</v>
      </c>
      <c r="J20" s="1118">
        <f t="shared" si="2"/>
        <v>82520</v>
      </c>
      <c r="K20" s="1110"/>
    </row>
    <row r="21" ht="18.75" customHeight="1">
      <c r="A21" s="1110"/>
      <c r="B21" s="1108" t="s">
        <v>8280</v>
      </c>
      <c r="C21" s="1108" t="s">
        <v>8281</v>
      </c>
      <c r="D21" s="1116" t="s">
        <v>8314</v>
      </c>
      <c r="E21" s="1116" t="s">
        <v>8315</v>
      </c>
      <c r="F21" s="1117">
        <v>0.1</v>
      </c>
      <c r="G21" s="1109">
        <v>0.02</v>
      </c>
      <c r="H21" s="1118">
        <v>40900.0</v>
      </c>
      <c r="I21" s="1118">
        <f t="shared" si="1"/>
        <v>37180</v>
      </c>
      <c r="J21" s="1118">
        <f t="shared" si="2"/>
        <v>40080</v>
      </c>
      <c r="K21" s="1110"/>
    </row>
    <row r="22" ht="18.75" customHeight="1">
      <c r="A22" s="1110"/>
      <c r="B22" s="1108" t="s">
        <v>8280</v>
      </c>
      <c r="C22" s="1108" t="s">
        <v>8281</v>
      </c>
      <c r="D22" s="1116" t="s">
        <v>8316</v>
      </c>
      <c r="E22" s="1116" t="s">
        <v>8317</v>
      </c>
      <c r="F22" s="1117">
        <v>0.1</v>
      </c>
      <c r="G22" s="1109">
        <v>0.02</v>
      </c>
      <c r="H22" s="1118">
        <v>53400.0</v>
      </c>
      <c r="I22" s="1118">
        <f t="shared" si="1"/>
        <v>48550</v>
      </c>
      <c r="J22" s="1118">
        <f t="shared" si="2"/>
        <v>52330</v>
      </c>
      <c r="K22" s="1110"/>
    </row>
    <row r="23" ht="18.75" customHeight="1">
      <c r="A23" s="1110"/>
      <c r="B23" s="1108" t="s">
        <v>8280</v>
      </c>
      <c r="C23" s="1108" t="s">
        <v>8281</v>
      </c>
      <c r="D23" s="1116" t="s">
        <v>8318</v>
      </c>
      <c r="E23" s="1116" t="s">
        <v>8319</v>
      </c>
      <c r="F23" s="1117">
        <v>0.1</v>
      </c>
      <c r="G23" s="1109">
        <v>0.02</v>
      </c>
      <c r="H23" s="1118">
        <v>48900.0</v>
      </c>
      <c r="I23" s="1118">
        <f t="shared" si="1"/>
        <v>44450</v>
      </c>
      <c r="J23" s="1118">
        <f t="shared" si="2"/>
        <v>47920</v>
      </c>
      <c r="K23" s="1110"/>
    </row>
    <row r="24" ht="18.75" customHeight="1">
      <c r="A24" s="1110"/>
      <c r="B24" s="1108" t="s">
        <v>8280</v>
      </c>
      <c r="C24" s="1108" t="s">
        <v>8281</v>
      </c>
      <c r="D24" s="1116" t="s">
        <v>8320</v>
      </c>
      <c r="E24" s="1116" t="s">
        <v>8321</v>
      </c>
      <c r="F24" s="1117">
        <v>0.1</v>
      </c>
      <c r="G24" s="1109">
        <v>0.02</v>
      </c>
      <c r="H24" s="1118">
        <v>55700.0</v>
      </c>
      <c r="I24" s="1118">
        <f t="shared" si="1"/>
        <v>50640</v>
      </c>
      <c r="J24" s="1118">
        <f t="shared" si="2"/>
        <v>54590</v>
      </c>
      <c r="K24" s="1110"/>
    </row>
    <row r="25" ht="18.75" customHeight="1">
      <c r="A25" s="1110"/>
      <c r="B25" s="1108" t="s">
        <v>8280</v>
      </c>
      <c r="C25" s="1108" t="s">
        <v>8281</v>
      </c>
      <c r="D25" s="1116" t="s">
        <v>8322</v>
      </c>
      <c r="E25" s="1116" t="s">
        <v>8323</v>
      </c>
      <c r="F25" s="1117">
        <v>0.1</v>
      </c>
      <c r="G25" s="1109">
        <v>0.02</v>
      </c>
      <c r="H25" s="1118">
        <v>62600.0</v>
      </c>
      <c r="I25" s="1118">
        <f t="shared" si="1"/>
        <v>56910</v>
      </c>
      <c r="J25" s="1118">
        <f t="shared" si="2"/>
        <v>61350</v>
      </c>
      <c r="K25" s="1110"/>
    </row>
    <row r="26" ht="18.75" customHeight="1">
      <c r="A26" s="1110"/>
      <c r="B26" s="1108" t="s">
        <v>8280</v>
      </c>
      <c r="C26" s="1108" t="s">
        <v>8281</v>
      </c>
      <c r="D26" s="1116" t="s">
        <v>8324</v>
      </c>
      <c r="E26" s="1116" t="s">
        <v>8325</v>
      </c>
      <c r="F26" s="1117">
        <v>0.1</v>
      </c>
      <c r="G26" s="1109">
        <v>0.02</v>
      </c>
      <c r="H26" s="1118">
        <v>66000.0</v>
      </c>
      <c r="I26" s="1118">
        <f t="shared" si="1"/>
        <v>60000</v>
      </c>
      <c r="J26" s="1118">
        <f t="shared" si="2"/>
        <v>64680</v>
      </c>
      <c r="K26" s="1110"/>
    </row>
    <row r="27" ht="18.75" customHeight="1">
      <c r="A27" s="1110"/>
      <c r="B27" s="1108" t="s">
        <v>8280</v>
      </c>
      <c r="C27" s="1108" t="s">
        <v>8281</v>
      </c>
      <c r="D27" s="1116" t="s">
        <v>8326</v>
      </c>
      <c r="E27" s="1116" t="s">
        <v>8327</v>
      </c>
      <c r="F27" s="1117">
        <v>0.1</v>
      </c>
      <c r="G27" s="1109">
        <v>0.02</v>
      </c>
      <c r="H27" s="1118">
        <v>76600.0</v>
      </c>
      <c r="I27" s="1118">
        <f t="shared" si="1"/>
        <v>69640</v>
      </c>
      <c r="J27" s="1118">
        <f t="shared" si="2"/>
        <v>75070</v>
      </c>
      <c r="K27" s="1110"/>
    </row>
    <row r="28" ht="18.75" customHeight="1">
      <c r="A28" s="1110"/>
      <c r="B28" s="1108" t="s">
        <v>8280</v>
      </c>
      <c r="C28" s="1108" t="s">
        <v>8281</v>
      </c>
      <c r="D28" s="1116" t="s">
        <v>8328</v>
      </c>
      <c r="E28" s="1116" t="s">
        <v>8329</v>
      </c>
      <c r="F28" s="1117">
        <v>0.1</v>
      </c>
      <c r="G28" s="1109">
        <v>0.02</v>
      </c>
      <c r="H28" s="1118">
        <v>85200.0</v>
      </c>
      <c r="I28" s="1118">
        <f t="shared" si="1"/>
        <v>77450</v>
      </c>
      <c r="J28" s="1118">
        <f t="shared" si="2"/>
        <v>83500</v>
      </c>
      <c r="K28" s="1110"/>
    </row>
    <row r="29" ht="18.75" customHeight="1">
      <c r="A29" s="1110"/>
      <c r="B29" s="1108" t="s">
        <v>8280</v>
      </c>
      <c r="C29" s="1108" t="s">
        <v>8281</v>
      </c>
      <c r="D29" s="1116" t="s">
        <v>8330</v>
      </c>
      <c r="E29" s="1116" t="s">
        <v>8331</v>
      </c>
      <c r="F29" s="1117">
        <v>0.1</v>
      </c>
      <c r="G29" s="1109">
        <v>0.02</v>
      </c>
      <c r="H29" s="1118">
        <v>101800.0</v>
      </c>
      <c r="I29" s="1118">
        <f t="shared" si="1"/>
        <v>92550</v>
      </c>
      <c r="J29" s="1118">
        <f t="shared" si="2"/>
        <v>99760</v>
      </c>
      <c r="K29" s="1110"/>
    </row>
    <row r="30" ht="18.75" customHeight="1">
      <c r="A30" s="1110"/>
      <c r="B30" s="1108" t="s">
        <v>8280</v>
      </c>
      <c r="C30" s="1108" t="s">
        <v>8281</v>
      </c>
      <c r="D30" s="1116" t="s">
        <v>8332</v>
      </c>
      <c r="E30" s="1116" t="s">
        <v>8333</v>
      </c>
      <c r="F30" s="1117">
        <v>0.1</v>
      </c>
      <c r="G30" s="1109">
        <v>0.02</v>
      </c>
      <c r="H30" s="1118">
        <v>118900.0</v>
      </c>
      <c r="I30" s="1118">
        <f t="shared" si="1"/>
        <v>108090</v>
      </c>
      <c r="J30" s="1118">
        <f t="shared" si="2"/>
        <v>116520</v>
      </c>
      <c r="K30" s="1110"/>
    </row>
    <row r="31" ht="18.75" customHeight="1">
      <c r="A31" s="1110"/>
      <c r="B31" s="1108" t="s">
        <v>8280</v>
      </c>
      <c r="C31" s="1108" t="s">
        <v>8281</v>
      </c>
      <c r="D31" s="1116" t="s">
        <v>8334</v>
      </c>
      <c r="E31" s="1116" t="s">
        <v>8335</v>
      </c>
      <c r="F31" s="1117">
        <v>0.1</v>
      </c>
      <c r="G31" s="1109">
        <v>0.02</v>
      </c>
      <c r="H31" s="1118">
        <v>138000.0</v>
      </c>
      <c r="I31" s="1118">
        <f t="shared" si="1"/>
        <v>125450</v>
      </c>
      <c r="J31" s="1118">
        <f t="shared" si="2"/>
        <v>135240</v>
      </c>
      <c r="K31" s="1110"/>
    </row>
    <row r="32" ht="18.75" customHeight="1">
      <c r="A32" s="1110"/>
      <c r="B32" s="1108" t="s">
        <v>8280</v>
      </c>
      <c r="C32" s="1108" t="s">
        <v>8281</v>
      </c>
      <c r="D32" s="1116" t="s">
        <v>8336</v>
      </c>
      <c r="E32" s="1116" t="s">
        <v>8337</v>
      </c>
      <c r="F32" s="1117">
        <v>0.1</v>
      </c>
      <c r="G32" s="1109">
        <v>0.02</v>
      </c>
      <c r="H32" s="1118">
        <v>171000.0</v>
      </c>
      <c r="I32" s="1118">
        <f t="shared" si="1"/>
        <v>155450</v>
      </c>
      <c r="J32" s="1118">
        <f t="shared" si="2"/>
        <v>167580</v>
      </c>
      <c r="K32" s="1110"/>
    </row>
    <row r="33" ht="18.75" customHeight="1">
      <c r="A33" s="1110"/>
      <c r="B33" s="1108" t="s">
        <v>8280</v>
      </c>
      <c r="C33" s="1108" t="s">
        <v>8281</v>
      </c>
      <c r="D33" s="1116" t="s">
        <v>8338</v>
      </c>
      <c r="E33" s="1116" t="s">
        <v>8339</v>
      </c>
      <c r="F33" s="1117">
        <v>0.1</v>
      </c>
      <c r="G33" s="1109">
        <v>0.02</v>
      </c>
      <c r="H33" s="1118">
        <v>206700.0</v>
      </c>
      <c r="I33" s="1118">
        <f t="shared" si="1"/>
        <v>187910</v>
      </c>
      <c r="J33" s="1118">
        <f t="shared" si="2"/>
        <v>202570</v>
      </c>
      <c r="K33" s="1110"/>
    </row>
    <row r="34" ht="18.75" customHeight="1">
      <c r="A34" s="1110"/>
      <c r="B34" s="1108" t="s">
        <v>8280</v>
      </c>
      <c r="C34" s="1108" t="s">
        <v>8281</v>
      </c>
      <c r="D34" s="1116" t="s">
        <v>8340</v>
      </c>
      <c r="E34" s="1116" t="s">
        <v>8341</v>
      </c>
      <c r="F34" s="1117">
        <v>0.1</v>
      </c>
      <c r="G34" s="1109">
        <v>0.02</v>
      </c>
      <c r="H34" s="1118">
        <v>241100.0</v>
      </c>
      <c r="I34" s="1118">
        <f t="shared" si="1"/>
        <v>219180</v>
      </c>
      <c r="J34" s="1118">
        <f t="shared" si="2"/>
        <v>236280</v>
      </c>
      <c r="K34" s="1110"/>
    </row>
    <row r="35" ht="18.75" customHeight="1">
      <c r="A35" s="1110"/>
      <c r="B35" s="1108" t="s">
        <v>8280</v>
      </c>
      <c r="C35" s="1108" t="s">
        <v>8281</v>
      </c>
      <c r="D35" s="1116" t="s">
        <v>8342</v>
      </c>
      <c r="E35" s="1116" t="s">
        <v>8343</v>
      </c>
      <c r="F35" s="1117">
        <v>0.1</v>
      </c>
      <c r="G35" s="1109">
        <v>0.02</v>
      </c>
      <c r="H35" s="1118">
        <v>59500.0</v>
      </c>
      <c r="I35" s="1118">
        <f t="shared" si="1"/>
        <v>54090</v>
      </c>
      <c r="J35" s="1118">
        <f t="shared" si="2"/>
        <v>58310</v>
      </c>
      <c r="K35" s="1110"/>
    </row>
    <row r="36" ht="18.75" customHeight="1">
      <c r="A36" s="1110"/>
      <c r="B36" s="1108" t="s">
        <v>8280</v>
      </c>
      <c r="C36" s="1108" t="s">
        <v>8281</v>
      </c>
      <c r="D36" s="1116" t="s">
        <v>8344</v>
      </c>
      <c r="E36" s="1116" t="s">
        <v>8345</v>
      </c>
      <c r="F36" s="1117">
        <v>0.1</v>
      </c>
      <c r="G36" s="1109">
        <v>0.02</v>
      </c>
      <c r="H36" s="1118">
        <v>59500.0</v>
      </c>
      <c r="I36" s="1118">
        <f t="shared" si="1"/>
        <v>54090</v>
      </c>
      <c r="J36" s="1118">
        <f t="shared" si="2"/>
        <v>58310</v>
      </c>
      <c r="K36" s="1110"/>
    </row>
    <row r="37" ht="18.75" customHeight="1">
      <c r="A37" s="1110"/>
      <c r="B37" s="1108" t="s">
        <v>8280</v>
      </c>
      <c r="C37" s="1108" t="s">
        <v>8281</v>
      </c>
      <c r="D37" s="1116" t="s">
        <v>8346</v>
      </c>
      <c r="E37" s="1116" t="s">
        <v>8347</v>
      </c>
      <c r="F37" s="1117">
        <v>0.1</v>
      </c>
      <c r="G37" s="1109">
        <v>0.02</v>
      </c>
      <c r="H37" s="1118">
        <v>64500.0</v>
      </c>
      <c r="I37" s="1118">
        <f t="shared" si="1"/>
        <v>58640</v>
      </c>
      <c r="J37" s="1118">
        <f t="shared" si="2"/>
        <v>63210</v>
      </c>
      <c r="K37" s="1110"/>
    </row>
    <row r="38" ht="18.75" customHeight="1">
      <c r="A38" s="1110"/>
      <c r="B38" s="1108" t="s">
        <v>8280</v>
      </c>
      <c r="C38" s="1108" t="s">
        <v>8281</v>
      </c>
      <c r="D38" s="1116" t="s">
        <v>8348</v>
      </c>
      <c r="E38" s="1116" t="s">
        <v>8349</v>
      </c>
      <c r="F38" s="1117">
        <v>0.1</v>
      </c>
      <c r="G38" s="1109">
        <v>0.02</v>
      </c>
      <c r="H38" s="1118">
        <v>64500.0</v>
      </c>
      <c r="I38" s="1118">
        <f t="shared" si="1"/>
        <v>58640</v>
      </c>
      <c r="J38" s="1118">
        <f t="shared" si="2"/>
        <v>63210</v>
      </c>
      <c r="K38" s="1110"/>
    </row>
    <row r="39" ht="18.75" customHeight="1">
      <c r="A39" s="1110"/>
      <c r="B39" s="1108" t="s">
        <v>8280</v>
      </c>
      <c r="C39" s="1108" t="s">
        <v>8281</v>
      </c>
      <c r="D39" s="1116" t="s">
        <v>8350</v>
      </c>
      <c r="E39" s="1116" t="s">
        <v>8351</v>
      </c>
      <c r="F39" s="1117">
        <v>0.1</v>
      </c>
      <c r="G39" s="1109">
        <v>0.02</v>
      </c>
      <c r="H39" s="1118">
        <v>69300.0</v>
      </c>
      <c r="I39" s="1118">
        <f t="shared" si="1"/>
        <v>63000</v>
      </c>
      <c r="J39" s="1118">
        <f t="shared" si="2"/>
        <v>67910</v>
      </c>
      <c r="K39" s="1110"/>
    </row>
    <row r="40" ht="18.75" customHeight="1">
      <c r="A40" s="1110"/>
      <c r="B40" s="1108" t="s">
        <v>8280</v>
      </c>
      <c r="C40" s="1108" t="s">
        <v>8281</v>
      </c>
      <c r="D40" s="1116" t="s">
        <v>8352</v>
      </c>
      <c r="E40" s="1116" t="s">
        <v>8353</v>
      </c>
      <c r="F40" s="1117">
        <v>0.1</v>
      </c>
      <c r="G40" s="1109">
        <v>0.02</v>
      </c>
      <c r="H40" s="1118">
        <v>69300.0</v>
      </c>
      <c r="I40" s="1118">
        <f t="shared" si="1"/>
        <v>63000</v>
      </c>
      <c r="J40" s="1118">
        <f t="shared" si="2"/>
        <v>67910</v>
      </c>
      <c r="K40" s="1110"/>
    </row>
    <row r="41" ht="18.75" customHeight="1">
      <c r="A41" s="1110"/>
      <c r="B41" s="1108" t="s">
        <v>8280</v>
      </c>
      <c r="C41" s="1108" t="s">
        <v>8281</v>
      </c>
      <c r="D41" s="1116" t="s">
        <v>8354</v>
      </c>
      <c r="E41" s="1116" t="s">
        <v>8355</v>
      </c>
      <c r="F41" s="1117">
        <v>0.1</v>
      </c>
      <c r="G41" s="1109">
        <v>0.02</v>
      </c>
      <c r="H41" s="1118">
        <v>76800.0</v>
      </c>
      <c r="I41" s="1118">
        <f t="shared" si="1"/>
        <v>69820</v>
      </c>
      <c r="J41" s="1118">
        <f t="shared" si="2"/>
        <v>75260</v>
      </c>
      <c r="K41" s="1110"/>
    </row>
    <row r="42" ht="18.75" customHeight="1">
      <c r="A42" s="1110"/>
      <c r="B42" s="1108" t="s">
        <v>8280</v>
      </c>
      <c r="C42" s="1108" t="s">
        <v>8281</v>
      </c>
      <c r="D42" s="1116" t="s">
        <v>8356</v>
      </c>
      <c r="E42" s="1116" t="s">
        <v>8357</v>
      </c>
      <c r="F42" s="1117">
        <v>0.1</v>
      </c>
      <c r="G42" s="1109">
        <v>0.02</v>
      </c>
      <c r="H42" s="1118">
        <v>76800.0</v>
      </c>
      <c r="I42" s="1118">
        <f t="shared" si="1"/>
        <v>69820</v>
      </c>
      <c r="J42" s="1118">
        <f t="shared" si="2"/>
        <v>75260</v>
      </c>
      <c r="K42" s="1110"/>
    </row>
    <row r="43" ht="18.75" customHeight="1">
      <c r="A43" s="1110"/>
      <c r="B43" s="1108" t="s">
        <v>8280</v>
      </c>
      <c r="C43" s="1108" t="s">
        <v>8281</v>
      </c>
      <c r="D43" s="1116" t="s">
        <v>8358</v>
      </c>
      <c r="E43" s="1116" t="s">
        <v>8359</v>
      </c>
      <c r="F43" s="1117">
        <v>0.1</v>
      </c>
      <c r="G43" s="1109">
        <v>0.02</v>
      </c>
      <c r="H43" s="1118">
        <v>81000.0</v>
      </c>
      <c r="I43" s="1118">
        <f t="shared" si="1"/>
        <v>73640</v>
      </c>
      <c r="J43" s="1118">
        <f t="shared" si="2"/>
        <v>79380</v>
      </c>
      <c r="K43" s="1110"/>
    </row>
    <row r="44" ht="18.75" customHeight="1">
      <c r="A44" s="1110"/>
      <c r="B44" s="1108" t="s">
        <v>8280</v>
      </c>
      <c r="C44" s="1108" t="s">
        <v>8281</v>
      </c>
      <c r="D44" s="1116" t="s">
        <v>8360</v>
      </c>
      <c r="E44" s="1116" t="s">
        <v>8361</v>
      </c>
      <c r="F44" s="1117">
        <v>0.1</v>
      </c>
      <c r="G44" s="1109">
        <v>0.02</v>
      </c>
      <c r="H44" s="1118">
        <v>81000.0</v>
      </c>
      <c r="I44" s="1118">
        <f t="shared" si="1"/>
        <v>73640</v>
      </c>
      <c r="J44" s="1118">
        <f t="shared" si="2"/>
        <v>79380</v>
      </c>
      <c r="K44" s="1110"/>
    </row>
    <row r="45" ht="18.75" customHeight="1">
      <c r="A45" s="1110"/>
      <c r="B45" s="1108" t="s">
        <v>8280</v>
      </c>
      <c r="C45" s="1108" t="s">
        <v>8281</v>
      </c>
      <c r="D45" s="1116" t="s">
        <v>8362</v>
      </c>
      <c r="E45" s="1116" t="s">
        <v>8363</v>
      </c>
      <c r="F45" s="1117">
        <v>0.1</v>
      </c>
      <c r="G45" s="1109">
        <v>0.02</v>
      </c>
      <c r="H45" s="1118">
        <v>91500.0</v>
      </c>
      <c r="I45" s="1118">
        <f t="shared" si="1"/>
        <v>83180</v>
      </c>
      <c r="J45" s="1118">
        <f t="shared" si="2"/>
        <v>89670</v>
      </c>
      <c r="K45" s="1110"/>
    </row>
    <row r="46" ht="18.75" customHeight="1">
      <c r="A46" s="1110"/>
      <c r="B46" s="1108" t="s">
        <v>8280</v>
      </c>
      <c r="C46" s="1108" t="s">
        <v>8281</v>
      </c>
      <c r="D46" s="1116" t="s">
        <v>8364</v>
      </c>
      <c r="E46" s="1116" t="s">
        <v>8365</v>
      </c>
      <c r="F46" s="1117">
        <v>0.1</v>
      </c>
      <c r="G46" s="1109">
        <v>0.02</v>
      </c>
      <c r="H46" s="1118">
        <v>90800.0</v>
      </c>
      <c r="I46" s="1118">
        <f t="shared" si="1"/>
        <v>82550</v>
      </c>
      <c r="J46" s="1118">
        <f t="shared" si="2"/>
        <v>88980</v>
      </c>
      <c r="K46" s="1110"/>
    </row>
    <row r="47" ht="18.75" customHeight="1">
      <c r="A47" s="1110"/>
      <c r="B47" s="1108" t="s">
        <v>8280</v>
      </c>
      <c r="C47" s="1108" t="s">
        <v>8281</v>
      </c>
      <c r="D47" s="1116" t="s">
        <v>8366</v>
      </c>
      <c r="E47" s="1116" t="s">
        <v>8367</v>
      </c>
      <c r="F47" s="1117">
        <v>0.1</v>
      </c>
      <c r="G47" s="1109">
        <v>0.02</v>
      </c>
      <c r="H47" s="1118">
        <v>103900.0</v>
      </c>
      <c r="I47" s="1118">
        <f t="shared" si="1"/>
        <v>94450</v>
      </c>
      <c r="J47" s="1118">
        <f t="shared" si="2"/>
        <v>101820</v>
      </c>
      <c r="K47" s="1110"/>
    </row>
    <row r="48" ht="18.75" customHeight="1">
      <c r="A48" s="1110"/>
      <c r="B48" s="1108" t="s">
        <v>8280</v>
      </c>
      <c r="C48" s="1108" t="s">
        <v>8281</v>
      </c>
      <c r="D48" s="1116" t="s">
        <v>8368</v>
      </c>
      <c r="E48" s="1116" t="s">
        <v>8369</v>
      </c>
      <c r="F48" s="1117">
        <v>0.1</v>
      </c>
      <c r="G48" s="1109">
        <v>0.02</v>
      </c>
      <c r="H48" s="1118">
        <v>103900.0</v>
      </c>
      <c r="I48" s="1118">
        <f t="shared" si="1"/>
        <v>94450</v>
      </c>
      <c r="J48" s="1118">
        <f t="shared" si="2"/>
        <v>101820</v>
      </c>
      <c r="K48" s="1110"/>
    </row>
    <row r="49" ht="18.75" customHeight="1">
      <c r="A49" s="1110"/>
      <c r="B49" s="1108" t="s">
        <v>8280</v>
      </c>
      <c r="C49" s="1108" t="s">
        <v>8281</v>
      </c>
      <c r="D49" s="1116" t="s">
        <v>8370</v>
      </c>
      <c r="E49" s="1116" t="s">
        <v>8371</v>
      </c>
      <c r="F49" s="1117">
        <v>0.1</v>
      </c>
      <c r="G49" s="1109">
        <v>0.02</v>
      </c>
      <c r="H49" s="1118">
        <v>114700.0</v>
      </c>
      <c r="I49" s="1118">
        <f t="shared" si="1"/>
        <v>104270</v>
      </c>
      <c r="J49" s="1118">
        <f t="shared" si="2"/>
        <v>112410</v>
      </c>
      <c r="K49" s="1110"/>
    </row>
    <row r="50" ht="18.75" customHeight="1">
      <c r="A50" s="1110"/>
      <c r="B50" s="1108" t="s">
        <v>8280</v>
      </c>
      <c r="C50" s="1108" t="s">
        <v>8281</v>
      </c>
      <c r="D50" s="1116" t="s">
        <v>8372</v>
      </c>
      <c r="E50" s="1116" t="s">
        <v>8373</v>
      </c>
      <c r="F50" s="1117">
        <v>0.1</v>
      </c>
      <c r="G50" s="1109">
        <v>0.02</v>
      </c>
      <c r="H50" s="1118">
        <v>114700.0</v>
      </c>
      <c r="I50" s="1118">
        <f t="shared" si="1"/>
        <v>104270</v>
      </c>
      <c r="J50" s="1118">
        <f t="shared" si="2"/>
        <v>112410</v>
      </c>
      <c r="K50" s="1110"/>
    </row>
    <row r="51" ht="18.75" customHeight="1">
      <c r="A51" s="1110"/>
      <c r="B51" s="1108" t="s">
        <v>8280</v>
      </c>
      <c r="C51" s="1108" t="s">
        <v>8281</v>
      </c>
      <c r="D51" s="1116" t="s">
        <v>8374</v>
      </c>
      <c r="E51" s="1116" t="s">
        <v>8375</v>
      </c>
      <c r="F51" s="1117">
        <v>0.1</v>
      </c>
      <c r="G51" s="1109">
        <v>0.02</v>
      </c>
      <c r="H51" s="1118">
        <v>135400.0</v>
      </c>
      <c r="I51" s="1118">
        <f t="shared" si="1"/>
        <v>123090</v>
      </c>
      <c r="J51" s="1118">
        <f t="shared" si="2"/>
        <v>132690</v>
      </c>
      <c r="K51" s="1110"/>
    </row>
    <row r="52" ht="18.75" customHeight="1">
      <c r="A52" s="1110"/>
      <c r="B52" s="1108" t="s">
        <v>8280</v>
      </c>
      <c r="C52" s="1108" t="s">
        <v>8281</v>
      </c>
      <c r="D52" s="1116" t="s">
        <v>8376</v>
      </c>
      <c r="E52" s="1116" t="s">
        <v>8377</v>
      </c>
      <c r="F52" s="1117">
        <v>0.1</v>
      </c>
      <c r="G52" s="1109">
        <v>0.02</v>
      </c>
      <c r="H52" s="1118">
        <v>135400.0</v>
      </c>
      <c r="I52" s="1118">
        <f t="shared" si="1"/>
        <v>123090</v>
      </c>
      <c r="J52" s="1118">
        <f t="shared" si="2"/>
        <v>132690</v>
      </c>
      <c r="K52" s="1110"/>
    </row>
    <row r="53" ht="18.75" customHeight="1">
      <c r="A53" s="1110"/>
      <c r="B53" s="1108" t="s">
        <v>8280</v>
      </c>
      <c r="C53" s="1108" t="s">
        <v>8281</v>
      </c>
      <c r="D53" s="1116" t="s">
        <v>8378</v>
      </c>
      <c r="E53" s="1116" t="s">
        <v>8379</v>
      </c>
      <c r="F53" s="1117">
        <v>0.1</v>
      </c>
      <c r="G53" s="1109">
        <v>0.02</v>
      </c>
      <c r="H53" s="1118">
        <v>156800.0</v>
      </c>
      <c r="I53" s="1118">
        <f t="shared" si="1"/>
        <v>142550</v>
      </c>
      <c r="J53" s="1118">
        <f t="shared" si="2"/>
        <v>153660</v>
      </c>
      <c r="K53" s="1110"/>
    </row>
    <row r="54" ht="18.75" customHeight="1">
      <c r="A54" s="1110"/>
      <c r="B54" s="1108" t="s">
        <v>8280</v>
      </c>
      <c r="C54" s="1108" t="s">
        <v>8281</v>
      </c>
      <c r="D54" s="1116" t="s">
        <v>8380</v>
      </c>
      <c r="E54" s="1116" t="s">
        <v>8381</v>
      </c>
      <c r="F54" s="1117">
        <v>0.1</v>
      </c>
      <c r="G54" s="1109">
        <v>0.02</v>
      </c>
      <c r="H54" s="1118">
        <v>156800.0</v>
      </c>
      <c r="I54" s="1118">
        <f t="shared" si="1"/>
        <v>142550</v>
      </c>
      <c r="J54" s="1118">
        <f t="shared" si="2"/>
        <v>153660</v>
      </c>
      <c r="K54" s="1110"/>
    </row>
    <row r="55" ht="18.75" customHeight="1">
      <c r="A55" s="1110"/>
      <c r="B55" s="1108" t="s">
        <v>8280</v>
      </c>
      <c r="C55" s="1108" t="s">
        <v>8281</v>
      </c>
      <c r="D55" s="1116" t="s">
        <v>8382</v>
      </c>
      <c r="E55" s="1116" t="s">
        <v>8383</v>
      </c>
      <c r="F55" s="1117">
        <v>0.1</v>
      </c>
      <c r="G55" s="1109">
        <v>0.02</v>
      </c>
      <c r="H55" s="1118">
        <v>180800.0</v>
      </c>
      <c r="I55" s="1118">
        <f t="shared" si="1"/>
        <v>164360</v>
      </c>
      <c r="J55" s="1118">
        <f t="shared" si="2"/>
        <v>177180</v>
      </c>
      <c r="K55" s="1110"/>
    </row>
    <row r="56" ht="18.75" customHeight="1">
      <c r="A56" s="1110"/>
      <c r="B56" s="1108" t="s">
        <v>8280</v>
      </c>
      <c r="C56" s="1108" t="s">
        <v>8281</v>
      </c>
      <c r="D56" s="1116" t="s">
        <v>8384</v>
      </c>
      <c r="E56" s="1116" t="s">
        <v>8385</v>
      </c>
      <c r="F56" s="1117">
        <v>0.1</v>
      </c>
      <c r="G56" s="1109">
        <v>0.02</v>
      </c>
      <c r="H56" s="1118">
        <v>222100.0</v>
      </c>
      <c r="I56" s="1118">
        <f t="shared" si="1"/>
        <v>201910</v>
      </c>
      <c r="J56" s="1118">
        <f t="shared" si="2"/>
        <v>217660</v>
      </c>
      <c r="K56" s="1110"/>
    </row>
    <row r="57" ht="18.75" customHeight="1">
      <c r="A57" s="1110"/>
      <c r="B57" s="1108" t="s">
        <v>8280</v>
      </c>
      <c r="C57" s="1108" t="s">
        <v>8281</v>
      </c>
      <c r="D57" s="1116" t="s">
        <v>8386</v>
      </c>
      <c r="E57" s="1116" t="s">
        <v>8387</v>
      </c>
      <c r="F57" s="1117">
        <v>0.1</v>
      </c>
      <c r="G57" s="1109">
        <v>0.02</v>
      </c>
      <c r="H57" s="1118">
        <v>266500.0</v>
      </c>
      <c r="I57" s="1118">
        <f t="shared" si="1"/>
        <v>242270</v>
      </c>
      <c r="J57" s="1118">
        <f t="shared" si="2"/>
        <v>261170</v>
      </c>
      <c r="K57" s="1110"/>
    </row>
    <row r="58" ht="18.75" customHeight="1">
      <c r="A58" s="1110"/>
      <c r="B58" s="1108" t="s">
        <v>8280</v>
      </c>
      <c r="C58" s="1108" t="s">
        <v>8281</v>
      </c>
      <c r="D58" s="1116" t="s">
        <v>8388</v>
      </c>
      <c r="E58" s="1116" t="s">
        <v>8389</v>
      </c>
      <c r="F58" s="1117">
        <v>0.1</v>
      </c>
      <c r="G58" s="1109">
        <v>0.02</v>
      </c>
      <c r="H58" s="1118">
        <v>309500.0</v>
      </c>
      <c r="I58" s="1118">
        <f t="shared" si="1"/>
        <v>281360</v>
      </c>
      <c r="J58" s="1118">
        <f t="shared" si="2"/>
        <v>303310</v>
      </c>
      <c r="K58" s="1110"/>
    </row>
    <row r="59" ht="18.75" customHeight="1">
      <c r="A59" s="1110"/>
      <c r="B59" s="1108" t="s">
        <v>8280</v>
      </c>
      <c r="C59" s="1108" t="s">
        <v>8281</v>
      </c>
      <c r="D59" s="1116" t="s">
        <v>8390</v>
      </c>
      <c r="E59" s="1116" t="s">
        <v>8391</v>
      </c>
      <c r="F59" s="1117">
        <v>0.1</v>
      </c>
      <c r="G59" s="1109">
        <v>0.02</v>
      </c>
      <c r="H59" s="1116"/>
      <c r="I59" s="1118" t="str">
        <f t="shared" si="1"/>
        <v/>
      </c>
      <c r="J59" s="1118" t="str">
        <f t="shared" si="2"/>
        <v/>
      </c>
      <c r="K59" s="1110"/>
    </row>
    <row r="60" ht="18.75" customHeight="1">
      <c r="A60" s="1110"/>
      <c r="B60" s="1108" t="s">
        <v>8280</v>
      </c>
      <c r="C60" s="1108" t="s">
        <v>8281</v>
      </c>
      <c r="D60" s="1116" t="s">
        <v>8392</v>
      </c>
      <c r="E60" s="1116" t="s">
        <v>8393</v>
      </c>
      <c r="F60" s="1117">
        <v>0.1</v>
      </c>
      <c r="G60" s="1109">
        <v>0.02</v>
      </c>
      <c r="H60" s="1116"/>
      <c r="I60" s="1118" t="str">
        <f t="shared" si="1"/>
        <v/>
      </c>
      <c r="J60" s="1118" t="str">
        <f t="shared" si="2"/>
        <v/>
      </c>
      <c r="K60" s="1110"/>
    </row>
    <row r="61" ht="18.75" customHeight="1">
      <c r="A61" s="1110"/>
      <c r="B61" s="1108" t="s">
        <v>8280</v>
      </c>
      <c r="C61" s="1108" t="s">
        <v>8281</v>
      </c>
      <c r="D61" s="1116" t="s">
        <v>8394</v>
      </c>
      <c r="E61" s="1116" t="s">
        <v>8395</v>
      </c>
      <c r="F61" s="1117">
        <v>0.1</v>
      </c>
      <c r="G61" s="1109">
        <v>0.02</v>
      </c>
      <c r="H61" s="1116"/>
      <c r="I61" s="1118" t="str">
        <f t="shared" si="1"/>
        <v/>
      </c>
      <c r="J61" s="1118" t="str">
        <f t="shared" si="2"/>
        <v/>
      </c>
      <c r="K61" s="1110"/>
    </row>
    <row r="62" ht="18.75" customHeight="1">
      <c r="A62" s="1110"/>
      <c r="B62" s="1108" t="s">
        <v>8280</v>
      </c>
      <c r="C62" s="1108" t="s">
        <v>8281</v>
      </c>
      <c r="D62" s="1116" t="s">
        <v>8396</v>
      </c>
      <c r="E62" s="1116" t="s">
        <v>8397</v>
      </c>
      <c r="F62" s="1117">
        <v>0.1</v>
      </c>
      <c r="G62" s="1109">
        <v>0.02</v>
      </c>
      <c r="H62" s="1116"/>
      <c r="I62" s="1118" t="str">
        <f t="shared" si="1"/>
        <v/>
      </c>
      <c r="J62" s="1118" t="str">
        <f t="shared" si="2"/>
        <v/>
      </c>
      <c r="K62" s="1110"/>
    </row>
    <row r="63" ht="18.75" customHeight="1">
      <c r="A63" s="1110"/>
      <c r="B63" s="1108" t="s">
        <v>8280</v>
      </c>
      <c r="C63" s="1108" t="s">
        <v>8281</v>
      </c>
      <c r="D63" s="1116" t="s">
        <v>8398</v>
      </c>
      <c r="E63" s="1116" t="s">
        <v>8399</v>
      </c>
      <c r="F63" s="1117">
        <v>0.1</v>
      </c>
      <c r="G63" s="1109">
        <v>0.02</v>
      </c>
      <c r="H63" s="1116"/>
      <c r="I63" s="1118" t="str">
        <f t="shared" si="1"/>
        <v/>
      </c>
      <c r="J63" s="1118" t="str">
        <f t="shared" si="2"/>
        <v/>
      </c>
      <c r="K63" s="1110"/>
    </row>
    <row r="64" ht="18.75" customHeight="1">
      <c r="A64" s="1110"/>
      <c r="B64" s="1108" t="s">
        <v>8280</v>
      </c>
      <c r="C64" s="1108" t="s">
        <v>8281</v>
      </c>
      <c r="D64" s="1116" t="s">
        <v>8400</v>
      </c>
      <c r="E64" s="1116" t="s">
        <v>8401</v>
      </c>
      <c r="F64" s="1117">
        <v>0.1</v>
      </c>
      <c r="G64" s="1109">
        <v>0.02</v>
      </c>
      <c r="H64" s="1116"/>
      <c r="I64" s="1118" t="str">
        <f t="shared" si="1"/>
        <v/>
      </c>
      <c r="J64" s="1118" t="str">
        <f t="shared" si="2"/>
        <v/>
      </c>
      <c r="K64" s="1110"/>
    </row>
    <row r="65" ht="18.75" customHeight="1">
      <c r="A65" s="1110"/>
      <c r="B65" s="1108" t="s">
        <v>8280</v>
      </c>
      <c r="C65" s="1108" t="s">
        <v>8281</v>
      </c>
      <c r="D65" s="1116" t="s">
        <v>8402</v>
      </c>
      <c r="E65" s="1116" t="s">
        <v>8403</v>
      </c>
      <c r="F65" s="1117">
        <v>0.1</v>
      </c>
      <c r="G65" s="1109">
        <v>0.02</v>
      </c>
      <c r="H65" s="1116"/>
      <c r="I65" s="1118" t="str">
        <f t="shared" si="1"/>
        <v/>
      </c>
      <c r="J65" s="1118" t="str">
        <f t="shared" si="2"/>
        <v/>
      </c>
      <c r="K65" s="1110"/>
    </row>
    <row r="66" ht="18.75" customHeight="1">
      <c r="A66" s="1110"/>
      <c r="B66" s="1108" t="s">
        <v>8280</v>
      </c>
      <c r="C66" s="1108" t="s">
        <v>8281</v>
      </c>
      <c r="D66" s="1116" t="s">
        <v>8404</v>
      </c>
      <c r="E66" s="1116" t="s">
        <v>8405</v>
      </c>
      <c r="F66" s="1117">
        <v>0.1</v>
      </c>
      <c r="G66" s="1109">
        <v>0.02</v>
      </c>
      <c r="H66" s="1116"/>
      <c r="I66" s="1118" t="str">
        <f t="shared" si="1"/>
        <v/>
      </c>
      <c r="J66" s="1118" t="str">
        <f t="shared" si="2"/>
        <v/>
      </c>
      <c r="K66" s="1110"/>
    </row>
    <row r="67" ht="18.75" customHeight="1">
      <c r="A67" s="1110"/>
      <c r="B67" s="1108" t="s">
        <v>8280</v>
      </c>
      <c r="C67" s="1108" t="s">
        <v>8281</v>
      </c>
      <c r="D67" s="1116" t="s">
        <v>8406</v>
      </c>
      <c r="E67" s="1116" t="s">
        <v>8407</v>
      </c>
      <c r="F67" s="1117">
        <v>0.1</v>
      </c>
      <c r="G67" s="1109">
        <v>0.02</v>
      </c>
      <c r="H67" s="1116"/>
      <c r="I67" s="1118" t="str">
        <f t="shared" si="1"/>
        <v/>
      </c>
      <c r="J67" s="1118" t="str">
        <f t="shared" si="2"/>
        <v/>
      </c>
      <c r="K67" s="1110"/>
    </row>
    <row r="68" ht="18.75" customHeight="1">
      <c r="A68" s="1110"/>
      <c r="B68" s="1108" t="s">
        <v>8280</v>
      </c>
      <c r="C68" s="1108" t="s">
        <v>8281</v>
      </c>
      <c r="D68" s="1116" t="s">
        <v>8408</v>
      </c>
      <c r="E68" s="1116" t="s">
        <v>8409</v>
      </c>
      <c r="F68" s="1117">
        <v>0.1</v>
      </c>
      <c r="G68" s="1109">
        <v>0.02</v>
      </c>
      <c r="H68" s="1116"/>
      <c r="I68" s="1118" t="str">
        <f t="shared" si="1"/>
        <v/>
      </c>
      <c r="J68" s="1118" t="str">
        <f t="shared" si="2"/>
        <v/>
      </c>
      <c r="K68" s="1110"/>
    </row>
    <row r="69" ht="18.75" customHeight="1">
      <c r="A69" s="1110"/>
      <c r="B69" s="1108" t="s">
        <v>8280</v>
      </c>
      <c r="C69" s="1108" t="s">
        <v>8281</v>
      </c>
      <c r="D69" s="1116" t="s">
        <v>8410</v>
      </c>
      <c r="E69" s="1116" t="s">
        <v>8411</v>
      </c>
      <c r="F69" s="1117">
        <v>0.1</v>
      </c>
      <c r="G69" s="1109">
        <v>0.02</v>
      </c>
      <c r="H69" s="1116"/>
      <c r="I69" s="1118" t="str">
        <f t="shared" si="1"/>
        <v/>
      </c>
      <c r="J69" s="1118" t="str">
        <f t="shared" si="2"/>
        <v/>
      </c>
      <c r="K69" s="1110"/>
    </row>
    <row r="70" ht="18.75" customHeight="1">
      <c r="A70" s="1110"/>
      <c r="B70" s="1108" t="s">
        <v>8280</v>
      </c>
      <c r="C70" s="1108" t="s">
        <v>8281</v>
      </c>
      <c r="D70" s="1116" t="s">
        <v>8412</v>
      </c>
      <c r="E70" s="1116" t="s">
        <v>8413</v>
      </c>
      <c r="F70" s="1117">
        <v>0.1</v>
      </c>
      <c r="G70" s="1109">
        <v>0.02</v>
      </c>
      <c r="H70" s="1116"/>
      <c r="I70" s="1118" t="str">
        <f t="shared" si="1"/>
        <v/>
      </c>
      <c r="J70" s="1118" t="str">
        <f t="shared" si="2"/>
        <v/>
      </c>
      <c r="K70" s="1110"/>
    </row>
    <row r="71" ht="18.75" customHeight="1">
      <c r="A71" s="1110"/>
      <c r="B71" s="1108" t="s">
        <v>8280</v>
      </c>
      <c r="C71" s="1108" t="s">
        <v>8281</v>
      </c>
      <c r="D71" s="1116" t="s">
        <v>8414</v>
      </c>
      <c r="E71" s="1116" t="s">
        <v>8415</v>
      </c>
      <c r="F71" s="1117">
        <v>0.1</v>
      </c>
      <c r="G71" s="1109">
        <v>0.02</v>
      </c>
      <c r="H71" s="1116"/>
      <c r="I71" s="1118" t="str">
        <f t="shared" si="1"/>
        <v/>
      </c>
      <c r="J71" s="1118" t="str">
        <f t="shared" si="2"/>
        <v/>
      </c>
      <c r="K71" s="1110"/>
    </row>
    <row r="72" ht="18.75" customHeight="1">
      <c r="A72" s="1110"/>
      <c r="B72" s="1108" t="s">
        <v>8280</v>
      </c>
      <c r="C72" s="1108" t="s">
        <v>8281</v>
      </c>
      <c r="D72" s="1116" t="s">
        <v>8416</v>
      </c>
      <c r="E72" s="1116" t="s">
        <v>8417</v>
      </c>
      <c r="F72" s="1117">
        <v>0.1</v>
      </c>
      <c r="G72" s="1109">
        <v>0.02</v>
      </c>
      <c r="H72" s="1116"/>
      <c r="I72" s="1118" t="str">
        <f t="shared" si="1"/>
        <v/>
      </c>
      <c r="J72" s="1118" t="str">
        <f t="shared" si="2"/>
        <v/>
      </c>
      <c r="K72" s="1110"/>
    </row>
    <row r="73" ht="18.75" customHeight="1">
      <c r="A73" s="1110"/>
      <c r="B73" s="1108" t="s">
        <v>8280</v>
      </c>
      <c r="C73" s="1108" t="s">
        <v>8281</v>
      </c>
      <c r="D73" s="1116" t="s">
        <v>8418</v>
      </c>
      <c r="E73" s="1116" t="s">
        <v>8419</v>
      </c>
      <c r="F73" s="1117">
        <v>0.1</v>
      </c>
      <c r="G73" s="1109">
        <v>0.02</v>
      </c>
      <c r="H73" s="1116"/>
      <c r="I73" s="1118" t="str">
        <f t="shared" si="1"/>
        <v/>
      </c>
      <c r="J73" s="1118" t="str">
        <f t="shared" si="2"/>
        <v/>
      </c>
      <c r="K73" s="1110"/>
    </row>
    <row r="74" ht="18.75" customHeight="1">
      <c r="A74" s="1110"/>
      <c r="B74" s="1108" t="s">
        <v>8280</v>
      </c>
      <c r="C74" s="1108" t="s">
        <v>8281</v>
      </c>
      <c r="D74" s="1116" t="s">
        <v>8420</v>
      </c>
      <c r="E74" s="1116" t="s">
        <v>8421</v>
      </c>
      <c r="F74" s="1117">
        <v>0.1</v>
      </c>
      <c r="G74" s="1109">
        <v>0.02</v>
      </c>
      <c r="H74" s="1116"/>
      <c r="I74" s="1118" t="str">
        <f t="shared" si="1"/>
        <v/>
      </c>
      <c r="J74" s="1118" t="str">
        <f t="shared" si="2"/>
        <v/>
      </c>
      <c r="K74" s="1110"/>
    </row>
    <row r="75" ht="18.75" customHeight="1">
      <c r="A75" s="1110"/>
      <c r="B75" s="1108" t="s">
        <v>8280</v>
      </c>
      <c r="C75" s="1108" t="s">
        <v>8281</v>
      </c>
      <c r="D75" s="1116" t="s">
        <v>8422</v>
      </c>
      <c r="E75" s="1116" t="s">
        <v>8423</v>
      </c>
      <c r="F75" s="1117">
        <v>0.1</v>
      </c>
      <c r="G75" s="1109">
        <v>0.02</v>
      </c>
      <c r="H75" s="1116"/>
      <c r="I75" s="1118" t="str">
        <f t="shared" si="1"/>
        <v/>
      </c>
      <c r="J75" s="1118" t="str">
        <f t="shared" si="2"/>
        <v/>
      </c>
      <c r="K75" s="1110"/>
    </row>
    <row r="76" ht="18.75" customHeight="1">
      <c r="A76" s="1110"/>
      <c r="B76" s="1108" t="s">
        <v>8280</v>
      </c>
      <c r="C76" s="1108" t="s">
        <v>8281</v>
      </c>
      <c r="D76" s="1116" t="s">
        <v>8424</v>
      </c>
      <c r="E76" s="1116" t="s">
        <v>8425</v>
      </c>
      <c r="F76" s="1117">
        <v>0.1</v>
      </c>
      <c r="G76" s="1109">
        <v>0.02</v>
      </c>
      <c r="H76" s="1116"/>
      <c r="I76" s="1118" t="str">
        <f t="shared" si="1"/>
        <v/>
      </c>
      <c r="J76" s="1118" t="str">
        <f t="shared" si="2"/>
        <v/>
      </c>
      <c r="K76" s="1110"/>
    </row>
    <row r="77" ht="18.75" customHeight="1">
      <c r="A77" s="1110"/>
      <c r="B77" s="1108" t="s">
        <v>8280</v>
      </c>
      <c r="C77" s="1108" t="s">
        <v>8281</v>
      </c>
      <c r="D77" s="1116" t="s">
        <v>8426</v>
      </c>
      <c r="E77" s="1116" t="s">
        <v>8427</v>
      </c>
      <c r="F77" s="1117">
        <v>0.1</v>
      </c>
      <c r="G77" s="1109">
        <v>0.02</v>
      </c>
      <c r="H77" s="1116"/>
      <c r="I77" s="1118" t="str">
        <f t="shared" si="1"/>
        <v/>
      </c>
      <c r="J77" s="1118" t="str">
        <f t="shared" si="2"/>
        <v/>
      </c>
      <c r="K77" s="1110"/>
    </row>
    <row r="78" ht="18.75" customHeight="1">
      <c r="A78" s="1110"/>
      <c r="B78" s="1108" t="s">
        <v>8280</v>
      </c>
      <c r="C78" s="1108" t="s">
        <v>8281</v>
      </c>
      <c r="D78" s="1116" t="s">
        <v>8428</v>
      </c>
      <c r="E78" s="1116" t="s">
        <v>8429</v>
      </c>
      <c r="F78" s="1117">
        <v>0.1</v>
      </c>
      <c r="G78" s="1109">
        <v>0.02</v>
      </c>
      <c r="H78" s="1116"/>
      <c r="I78" s="1118" t="str">
        <f t="shared" si="1"/>
        <v/>
      </c>
      <c r="J78" s="1118" t="str">
        <f t="shared" si="2"/>
        <v/>
      </c>
      <c r="K78" s="1110"/>
    </row>
    <row r="79" ht="18.75" customHeight="1">
      <c r="A79" s="1110"/>
      <c r="B79" s="1108" t="s">
        <v>8280</v>
      </c>
      <c r="C79" s="1108" t="s">
        <v>8281</v>
      </c>
      <c r="D79" s="1116" t="s">
        <v>8430</v>
      </c>
      <c r="E79" s="1116" t="s">
        <v>8431</v>
      </c>
      <c r="F79" s="1117">
        <v>0.1</v>
      </c>
      <c r="G79" s="1109">
        <v>0.02</v>
      </c>
      <c r="H79" s="1116"/>
      <c r="I79" s="1118" t="str">
        <f t="shared" si="1"/>
        <v/>
      </c>
      <c r="J79" s="1118" t="str">
        <f t="shared" si="2"/>
        <v/>
      </c>
      <c r="K79" s="1110"/>
    </row>
    <row r="80" ht="18.75" customHeight="1">
      <c r="A80" s="1110"/>
      <c r="B80" s="1108" t="s">
        <v>8280</v>
      </c>
      <c r="C80" s="1108" t="s">
        <v>8281</v>
      </c>
      <c r="D80" s="1116" t="s">
        <v>8432</v>
      </c>
      <c r="E80" s="1116" t="s">
        <v>8433</v>
      </c>
      <c r="F80" s="1117">
        <v>0.1</v>
      </c>
      <c r="G80" s="1109">
        <v>0.02</v>
      </c>
      <c r="H80" s="1116"/>
      <c r="I80" s="1118" t="str">
        <f t="shared" si="1"/>
        <v/>
      </c>
      <c r="J80" s="1118" t="str">
        <f t="shared" si="2"/>
        <v/>
      </c>
      <c r="K80" s="1110"/>
    </row>
    <row r="81" ht="18.75" customHeight="1">
      <c r="A81" s="1110"/>
      <c r="B81" s="1108" t="s">
        <v>8280</v>
      </c>
      <c r="C81" s="1108" t="s">
        <v>8281</v>
      </c>
      <c r="D81" s="1116" t="s">
        <v>8434</v>
      </c>
      <c r="E81" s="1116" t="s">
        <v>8435</v>
      </c>
      <c r="F81" s="1117">
        <v>0.1</v>
      </c>
      <c r="G81" s="1109">
        <v>0.02</v>
      </c>
      <c r="H81" s="1116"/>
      <c r="I81" s="1118" t="str">
        <f t="shared" si="1"/>
        <v/>
      </c>
      <c r="J81" s="1118" t="str">
        <f t="shared" si="2"/>
        <v/>
      </c>
      <c r="K81" s="1110"/>
    </row>
    <row r="82" ht="18.75" customHeight="1">
      <c r="A82" s="1110"/>
      <c r="B82" s="1108" t="s">
        <v>8280</v>
      </c>
      <c r="C82" s="1108" t="s">
        <v>8281</v>
      </c>
      <c r="D82" s="1116" t="s">
        <v>8436</v>
      </c>
      <c r="E82" s="1116" t="s">
        <v>8437</v>
      </c>
      <c r="F82" s="1117">
        <v>0.1</v>
      </c>
      <c r="G82" s="1109">
        <v>0.02</v>
      </c>
      <c r="H82" s="1116"/>
      <c r="I82" s="1118" t="str">
        <f t="shared" si="1"/>
        <v/>
      </c>
      <c r="J82" s="1118" t="str">
        <f t="shared" si="2"/>
        <v/>
      </c>
      <c r="K82" s="1110"/>
    </row>
    <row r="83" ht="18.75" customHeight="1">
      <c r="A83" s="1110"/>
      <c r="B83" s="1108" t="s">
        <v>8280</v>
      </c>
      <c r="C83" s="1108" t="s">
        <v>8281</v>
      </c>
      <c r="D83" s="1116" t="s">
        <v>8438</v>
      </c>
      <c r="E83" s="1116" t="s">
        <v>8439</v>
      </c>
      <c r="F83" s="1117">
        <v>0.1</v>
      </c>
      <c r="G83" s="1109">
        <v>0.02</v>
      </c>
      <c r="H83" s="1116"/>
      <c r="I83" s="1118" t="str">
        <f t="shared" si="1"/>
        <v/>
      </c>
      <c r="J83" s="1118" t="str">
        <f t="shared" si="2"/>
        <v/>
      </c>
      <c r="K83" s="1110"/>
    </row>
    <row r="84" ht="18.75" customHeight="1">
      <c r="A84" s="1110"/>
      <c r="B84" s="1108" t="s">
        <v>8280</v>
      </c>
      <c r="C84" s="1108" t="s">
        <v>8281</v>
      </c>
      <c r="D84" s="1116" t="s">
        <v>8440</v>
      </c>
      <c r="E84" s="1116" t="s">
        <v>8441</v>
      </c>
      <c r="F84" s="1117">
        <v>0.1</v>
      </c>
      <c r="G84" s="1109">
        <v>0.02</v>
      </c>
      <c r="H84" s="1116"/>
      <c r="I84" s="1118" t="str">
        <f t="shared" si="1"/>
        <v/>
      </c>
      <c r="J84" s="1118" t="str">
        <f t="shared" si="2"/>
        <v/>
      </c>
      <c r="K84" s="1110"/>
    </row>
    <row r="85" ht="18.75" customHeight="1">
      <c r="A85" s="1110"/>
      <c r="B85" s="1108" t="s">
        <v>8280</v>
      </c>
      <c r="C85" s="1108" t="s">
        <v>8281</v>
      </c>
      <c r="D85" s="1116" t="s">
        <v>8442</v>
      </c>
      <c r="E85" s="1116" t="s">
        <v>8443</v>
      </c>
      <c r="F85" s="1117">
        <v>0.1</v>
      </c>
      <c r="G85" s="1109">
        <v>0.02</v>
      </c>
      <c r="H85" s="1116"/>
      <c r="I85" s="1118" t="str">
        <f t="shared" si="1"/>
        <v/>
      </c>
      <c r="J85" s="1118" t="str">
        <f t="shared" si="2"/>
        <v/>
      </c>
      <c r="K85" s="1110"/>
    </row>
    <row r="86" ht="18.75" customHeight="1">
      <c r="A86" s="1110"/>
      <c r="B86" s="1108" t="s">
        <v>8280</v>
      </c>
      <c r="C86" s="1108" t="s">
        <v>8281</v>
      </c>
      <c r="D86" s="1116" t="s">
        <v>8444</v>
      </c>
      <c r="E86" s="1116" t="s">
        <v>8445</v>
      </c>
      <c r="F86" s="1117">
        <v>0.1</v>
      </c>
      <c r="G86" s="1109">
        <v>0.02</v>
      </c>
      <c r="H86" s="1116"/>
      <c r="I86" s="1118" t="str">
        <f t="shared" si="1"/>
        <v/>
      </c>
      <c r="J86" s="1118" t="str">
        <f t="shared" si="2"/>
        <v/>
      </c>
      <c r="K86" s="1110"/>
    </row>
    <row r="87" ht="18.75" customHeight="1">
      <c r="A87" s="1110"/>
      <c r="B87" s="1108" t="s">
        <v>8280</v>
      </c>
      <c r="C87" s="1108" t="s">
        <v>8281</v>
      </c>
      <c r="D87" s="1116" t="s">
        <v>8446</v>
      </c>
      <c r="E87" s="1116" t="s">
        <v>8447</v>
      </c>
      <c r="F87" s="1117">
        <v>0.1</v>
      </c>
      <c r="G87" s="1109">
        <v>0.02</v>
      </c>
      <c r="H87" s="1116"/>
      <c r="I87" s="1118" t="str">
        <f t="shared" si="1"/>
        <v/>
      </c>
      <c r="J87" s="1118" t="str">
        <f t="shared" si="2"/>
        <v/>
      </c>
      <c r="K87" s="1110"/>
    </row>
    <row r="88" ht="18.75" customHeight="1">
      <c r="A88" s="1110"/>
      <c r="B88" s="1108" t="s">
        <v>8280</v>
      </c>
      <c r="C88" s="1108" t="s">
        <v>8281</v>
      </c>
      <c r="D88" s="1116" t="s">
        <v>8448</v>
      </c>
      <c r="E88" s="1116" t="s">
        <v>8449</v>
      </c>
      <c r="F88" s="1117">
        <v>0.1</v>
      </c>
      <c r="G88" s="1109">
        <v>0.02</v>
      </c>
      <c r="H88" s="1116"/>
      <c r="I88" s="1118" t="str">
        <f t="shared" si="1"/>
        <v/>
      </c>
      <c r="J88" s="1118" t="str">
        <f t="shared" si="2"/>
        <v/>
      </c>
      <c r="K88" s="1110"/>
    </row>
    <row r="89" ht="18.75" customHeight="1">
      <c r="A89" s="1110"/>
      <c r="B89" s="1108" t="s">
        <v>8280</v>
      </c>
      <c r="C89" s="1108" t="s">
        <v>8281</v>
      </c>
      <c r="D89" s="1116" t="s">
        <v>8450</v>
      </c>
      <c r="E89" s="1116" t="s">
        <v>8451</v>
      </c>
      <c r="F89" s="1117">
        <v>0.1</v>
      </c>
      <c r="G89" s="1109">
        <v>0.02</v>
      </c>
      <c r="H89" s="1116"/>
      <c r="I89" s="1118" t="str">
        <f t="shared" si="1"/>
        <v/>
      </c>
      <c r="J89" s="1118" t="str">
        <f t="shared" si="2"/>
        <v/>
      </c>
      <c r="K89" s="1110"/>
    </row>
    <row r="90" ht="18.75" customHeight="1">
      <c r="A90" s="1110"/>
      <c r="B90" s="1108" t="s">
        <v>8280</v>
      </c>
      <c r="C90" s="1108" t="s">
        <v>8281</v>
      </c>
      <c r="D90" s="1116" t="s">
        <v>8452</v>
      </c>
      <c r="E90" s="1116" t="s">
        <v>8453</v>
      </c>
      <c r="F90" s="1117">
        <v>0.1</v>
      </c>
      <c r="G90" s="1109">
        <v>0.02</v>
      </c>
      <c r="H90" s="1116"/>
      <c r="I90" s="1118" t="str">
        <f t="shared" si="1"/>
        <v/>
      </c>
      <c r="J90" s="1118" t="str">
        <f t="shared" si="2"/>
        <v/>
      </c>
      <c r="K90" s="1110"/>
    </row>
    <row r="91" ht="18.75" customHeight="1">
      <c r="A91" s="1110"/>
      <c r="B91" s="1108" t="s">
        <v>8280</v>
      </c>
      <c r="C91" s="1108" t="s">
        <v>8281</v>
      </c>
      <c r="D91" s="1116" t="s">
        <v>8454</v>
      </c>
      <c r="E91" s="1116" t="s">
        <v>8455</v>
      </c>
      <c r="F91" s="1117">
        <v>0.1</v>
      </c>
      <c r="G91" s="1109">
        <v>0.02</v>
      </c>
      <c r="H91" s="1116"/>
      <c r="I91" s="1118" t="str">
        <f t="shared" si="1"/>
        <v/>
      </c>
      <c r="J91" s="1118" t="str">
        <f t="shared" si="2"/>
        <v/>
      </c>
      <c r="K91" s="1110"/>
    </row>
    <row r="92" ht="18.75" customHeight="1">
      <c r="A92" s="1110"/>
      <c r="B92" s="1108" t="s">
        <v>8280</v>
      </c>
      <c r="C92" s="1108" t="s">
        <v>8281</v>
      </c>
      <c r="D92" s="1116" t="s">
        <v>8456</v>
      </c>
      <c r="E92" s="1116" t="s">
        <v>8457</v>
      </c>
      <c r="F92" s="1117">
        <v>0.1</v>
      </c>
      <c r="G92" s="1109">
        <v>0.02</v>
      </c>
      <c r="H92" s="1116"/>
      <c r="I92" s="1118" t="str">
        <f t="shared" si="1"/>
        <v/>
      </c>
      <c r="J92" s="1118" t="str">
        <f t="shared" si="2"/>
        <v/>
      </c>
      <c r="K92" s="1110"/>
    </row>
    <row r="93" ht="18.75" customHeight="1">
      <c r="A93" s="1110"/>
      <c r="B93" s="1108" t="s">
        <v>8280</v>
      </c>
      <c r="C93" s="1108" t="s">
        <v>8281</v>
      </c>
      <c r="D93" s="1116" t="s">
        <v>8458</v>
      </c>
      <c r="E93" s="1116" t="s">
        <v>8459</v>
      </c>
      <c r="F93" s="1117">
        <v>0.1</v>
      </c>
      <c r="G93" s="1109">
        <v>0.02</v>
      </c>
      <c r="H93" s="1116"/>
      <c r="I93" s="1118" t="str">
        <f t="shared" si="1"/>
        <v/>
      </c>
      <c r="J93" s="1118" t="str">
        <f t="shared" si="2"/>
        <v/>
      </c>
      <c r="K93" s="1110"/>
    </row>
    <row r="94" ht="18.75" customHeight="1">
      <c r="A94" s="1110"/>
      <c r="B94" s="1108" t="s">
        <v>8280</v>
      </c>
      <c r="C94" s="1108" t="s">
        <v>8281</v>
      </c>
      <c r="D94" s="1116" t="s">
        <v>8460</v>
      </c>
      <c r="E94" s="1116" t="s">
        <v>8461</v>
      </c>
      <c r="F94" s="1117">
        <v>0.1</v>
      </c>
      <c r="G94" s="1109">
        <v>0.02</v>
      </c>
      <c r="H94" s="1116"/>
      <c r="I94" s="1118" t="str">
        <f t="shared" si="1"/>
        <v/>
      </c>
      <c r="J94" s="1118" t="str">
        <f t="shared" si="2"/>
        <v/>
      </c>
      <c r="K94" s="1110"/>
    </row>
    <row r="95" ht="18.75" customHeight="1">
      <c r="A95" s="1110"/>
      <c r="B95" s="1108" t="s">
        <v>8280</v>
      </c>
      <c r="C95" s="1108" t="s">
        <v>8281</v>
      </c>
      <c r="D95" s="1116" t="s">
        <v>8462</v>
      </c>
      <c r="E95" s="1116" t="s">
        <v>8463</v>
      </c>
      <c r="F95" s="1117">
        <v>0.1</v>
      </c>
      <c r="G95" s="1109">
        <v>0.02</v>
      </c>
      <c r="H95" s="1116"/>
      <c r="I95" s="1118" t="str">
        <f t="shared" si="1"/>
        <v/>
      </c>
      <c r="J95" s="1118" t="str">
        <f t="shared" si="2"/>
        <v/>
      </c>
      <c r="K95" s="1110"/>
    </row>
    <row r="96" ht="18.75" customHeight="1">
      <c r="A96" s="1110"/>
      <c r="B96" s="1108" t="s">
        <v>8280</v>
      </c>
      <c r="C96" s="1108" t="s">
        <v>8281</v>
      </c>
      <c r="D96" s="1116" t="s">
        <v>8464</v>
      </c>
      <c r="E96" s="1116" t="s">
        <v>8465</v>
      </c>
      <c r="F96" s="1117">
        <v>0.1</v>
      </c>
      <c r="G96" s="1109">
        <v>0.02</v>
      </c>
      <c r="H96" s="1116"/>
      <c r="I96" s="1118" t="str">
        <f t="shared" si="1"/>
        <v/>
      </c>
      <c r="J96" s="1118" t="str">
        <f t="shared" si="2"/>
        <v/>
      </c>
      <c r="K96" s="1110"/>
    </row>
    <row r="97" ht="18.75" customHeight="1">
      <c r="A97" s="1110"/>
      <c r="B97" s="1108" t="s">
        <v>8280</v>
      </c>
      <c r="C97" s="1108" t="s">
        <v>8281</v>
      </c>
      <c r="D97" s="1116" t="s">
        <v>8466</v>
      </c>
      <c r="E97" s="1116" t="s">
        <v>8467</v>
      </c>
      <c r="F97" s="1117">
        <v>0.1</v>
      </c>
      <c r="G97" s="1109">
        <v>0.02</v>
      </c>
      <c r="H97" s="1116"/>
      <c r="I97" s="1118" t="str">
        <f t="shared" si="1"/>
        <v/>
      </c>
      <c r="J97" s="1118" t="str">
        <f t="shared" si="2"/>
        <v/>
      </c>
      <c r="K97" s="1110"/>
    </row>
    <row r="98" ht="18.75" customHeight="1">
      <c r="A98" s="1110"/>
      <c r="B98" s="1108" t="s">
        <v>8280</v>
      </c>
      <c r="C98" s="1108" t="s">
        <v>8281</v>
      </c>
      <c r="D98" s="1116" t="s">
        <v>8468</v>
      </c>
      <c r="E98" s="1116" t="s">
        <v>8469</v>
      </c>
      <c r="F98" s="1117">
        <v>0.1</v>
      </c>
      <c r="G98" s="1109">
        <v>0.02</v>
      </c>
      <c r="H98" s="1116"/>
      <c r="I98" s="1118" t="str">
        <f t="shared" si="1"/>
        <v/>
      </c>
      <c r="J98" s="1118" t="str">
        <f t="shared" si="2"/>
        <v/>
      </c>
      <c r="K98" s="1110"/>
    </row>
    <row r="99" ht="18.75" customHeight="1">
      <c r="A99" s="1110"/>
      <c r="B99" s="1108" t="s">
        <v>8280</v>
      </c>
      <c r="C99" s="1108" t="s">
        <v>8281</v>
      </c>
      <c r="D99" s="1116" t="s">
        <v>8470</v>
      </c>
      <c r="E99" s="1116" t="s">
        <v>8471</v>
      </c>
      <c r="F99" s="1117">
        <v>0.1</v>
      </c>
      <c r="G99" s="1109">
        <v>0.02</v>
      </c>
      <c r="H99" s="1116"/>
      <c r="I99" s="1118" t="str">
        <f t="shared" si="1"/>
        <v/>
      </c>
      <c r="J99" s="1118" t="str">
        <f t="shared" si="2"/>
        <v/>
      </c>
      <c r="K99" s="1110"/>
    </row>
    <row r="100" ht="18.75" customHeight="1">
      <c r="A100" s="1110"/>
      <c r="B100" s="1108" t="s">
        <v>8280</v>
      </c>
      <c r="C100" s="1108" t="s">
        <v>8281</v>
      </c>
      <c r="D100" s="1116" t="s">
        <v>8472</v>
      </c>
      <c r="E100" s="1116" t="s">
        <v>8473</v>
      </c>
      <c r="F100" s="1117">
        <v>0.1</v>
      </c>
      <c r="G100" s="1109">
        <v>0.02</v>
      </c>
      <c r="H100" s="1116"/>
      <c r="I100" s="1118" t="str">
        <f t="shared" si="1"/>
        <v/>
      </c>
      <c r="J100" s="1118" t="str">
        <f t="shared" si="2"/>
        <v/>
      </c>
      <c r="K100" s="1110"/>
    </row>
    <row r="101" ht="18.75" customHeight="1">
      <c r="A101" s="1110"/>
      <c r="B101" s="1108" t="s">
        <v>8280</v>
      </c>
      <c r="C101" s="1108" t="s">
        <v>8281</v>
      </c>
      <c r="D101" s="1116" t="s">
        <v>8474</v>
      </c>
      <c r="E101" s="1116" t="s">
        <v>8475</v>
      </c>
      <c r="F101" s="1117">
        <v>0.1</v>
      </c>
      <c r="G101" s="1109">
        <v>0.02</v>
      </c>
      <c r="H101" s="1116"/>
      <c r="I101" s="1118" t="str">
        <f t="shared" si="1"/>
        <v/>
      </c>
      <c r="J101" s="1118" t="str">
        <f t="shared" si="2"/>
        <v/>
      </c>
      <c r="K101" s="1110"/>
    </row>
    <row r="102" ht="18.75" customHeight="1">
      <c r="A102" s="1110"/>
      <c r="B102" s="1108" t="s">
        <v>8280</v>
      </c>
      <c r="C102" s="1108" t="s">
        <v>8281</v>
      </c>
      <c r="D102" s="1116" t="s">
        <v>8476</v>
      </c>
      <c r="E102" s="1116" t="s">
        <v>8477</v>
      </c>
      <c r="F102" s="1117">
        <v>0.1</v>
      </c>
      <c r="G102" s="1109">
        <v>0.02</v>
      </c>
      <c r="H102" s="1116"/>
      <c r="I102" s="1118" t="str">
        <f t="shared" si="1"/>
        <v/>
      </c>
      <c r="J102" s="1118" t="str">
        <f t="shared" si="2"/>
        <v/>
      </c>
      <c r="K102" s="1110"/>
    </row>
    <row r="103" ht="18.75" customHeight="1">
      <c r="A103" s="1110"/>
      <c r="B103" s="1108" t="s">
        <v>8280</v>
      </c>
      <c r="C103" s="1108" t="s">
        <v>8281</v>
      </c>
      <c r="D103" s="1116" t="s">
        <v>8478</v>
      </c>
      <c r="E103" s="1116" t="s">
        <v>8479</v>
      </c>
      <c r="F103" s="1117">
        <v>0.1</v>
      </c>
      <c r="G103" s="1109">
        <v>0.02</v>
      </c>
      <c r="H103" s="1116"/>
      <c r="I103" s="1118" t="str">
        <f t="shared" si="1"/>
        <v/>
      </c>
      <c r="J103" s="1118" t="str">
        <f t="shared" si="2"/>
        <v/>
      </c>
      <c r="K103" s="1110"/>
    </row>
    <row r="104" ht="18.75" customHeight="1">
      <c r="A104" s="1110"/>
      <c r="B104" s="1108" t="s">
        <v>8280</v>
      </c>
      <c r="C104" s="1108" t="s">
        <v>8281</v>
      </c>
      <c r="D104" s="1116" t="s">
        <v>8480</v>
      </c>
      <c r="E104" s="1116" t="s">
        <v>8481</v>
      </c>
      <c r="F104" s="1117">
        <v>0.1</v>
      </c>
      <c r="G104" s="1109">
        <v>0.02</v>
      </c>
      <c r="H104" s="1116"/>
      <c r="I104" s="1118" t="str">
        <f t="shared" si="1"/>
        <v/>
      </c>
      <c r="J104" s="1118" t="str">
        <f t="shared" si="2"/>
        <v/>
      </c>
      <c r="K104" s="1110"/>
    </row>
    <row r="105" ht="18.75" customHeight="1">
      <c r="A105" s="1110"/>
      <c r="B105" s="1108" t="s">
        <v>8280</v>
      </c>
      <c r="C105" s="1108" t="s">
        <v>8281</v>
      </c>
      <c r="D105" s="1116" t="s">
        <v>8482</v>
      </c>
      <c r="E105" s="1116" t="s">
        <v>8483</v>
      </c>
      <c r="F105" s="1117">
        <v>0.1</v>
      </c>
      <c r="G105" s="1109">
        <v>0.02</v>
      </c>
      <c r="H105" s="1116"/>
      <c r="I105" s="1118" t="str">
        <f t="shared" si="1"/>
        <v/>
      </c>
      <c r="J105" s="1118" t="str">
        <f t="shared" si="2"/>
        <v/>
      </c>
      <c r="K105" s="1110"/>
    </row>
    <row r="106" ht="18.75" customHeight="1">
      <c r="A106" s="1110"/>
      <c r="B106" s="1108" t="s">
        <v>8280</v>
      </c>
      <c r="C106" s="1108" t="s">
        <v>8281</v>
      </c>
      <c r="D106" s="1116" t="s">
        <v>8484</v>
      </c>
      <c r="E106" s="1116" t="s">
        <v>8485</v>
      </c>
      <c r="F106" s="1117">
        <v>0.1</v>
      </c>
      <c r="G106" s="1109">
        <v>0.02</v>
      </c>
      <c r="H106" s="1116"/>
      <c r="I106" s="1118" t="str">
        <f t="shared" si="1"/>
        <v/>
      </c>
      <c r="J106" s="1118" t="str">
        <f t="shared" si="2"/>
        <v/>
      </c>
      <c r="K106" s="1110"/>
    </row>
    <row r="107" ht="18.75" customHeight="1">
      <c r="A107" s="1110"/>
      <c r="B107" s="1108" t="s">
        <v>8280</v>
      </c>
      <c r="C107" s="1108" t="s">
        <v>8281</v>
      </c>
      <c r="D107" s="1116" t="s">
        <v>8486</v>
      </c>
      <c r="E107" s="1116" t="s">
        <v>8487</v>
      </c>
      <c r="F107" s="1117">
        <v>0.1</v>
      </c>
      <c r="G107" s="1109">
        <v>0.02</v>
      </c>
      <c r="H107" s="1116"/>
      <c r="I107" s="1118" t="str">
        <f t="shared" si="1"/>
        <v/>
      </c>
      <c r="J107" s="1118" t="str">
        <f t="shared" si="2"/>
        <v/>
      </c>
      <c r="K107" s="1110"/>
    </row>
    <row r="108" ht="18.75" customHeight="1">
      <c r="A108" s="1110"/>
      <c r="B108" s="1108" t="s">
        <v>8280</v>
      </c>
      <c r="C108" s="1108" t="s">
        <v>8281</v>
      </c>
      <c r="D108" s="1116" t="s">
        <v>8488</v>
      </c>
      <c r="E108" s="1116" t="s">
        <v>8489</v>
      </c>
      <c r="F108" s="1117">
        <v>0.1</v>
      </c>
      <c r="G108" s="1109">
        <v>0.02</v>
      </c>
      <c r="H108" s="1116"/>
      <c r="I108" s="1118" t="str">
        <f t="shared" si="1"/>
        <v/>
      </c>
      <c r="J108" s="1118" t="str">
        <f t="shared" si="2"/>
        <v/>
      </c>
      <c r="K108" s="1110"/>
    </row>
    <row r="109" ht="18.75" customHeight="1">
      <c r="A109" s="1110"/>
      <c r="B109" s="1108" t="s">
        <v>8280</v>
      </c>
      <c r="C109" s="1108" t="s">
        <v>8281</v>
      </c>
      <c r="D109" s="1116" t="s">
        <v>8490</v>
      </c>
      <c r="E109" s="1116" t="s">
        <v>8491</v>
      </c>
      <c r="F109" s="1117">
        <v>0.1</v>
      </c>
      <c r="G109" s="1109">
        <v>0.02</v>
      </c>
      <c r="H109" s="1116"/>
      <c r="I109" s="1118" t="str">
        <f t="shared" si="1"/>
        <v/>
      </c>
      <c r="J109" s="1118" t="str">
        <f t="shared" si="2"/>
        <v/>
      </c>
      <c r="K109" s="1110"/>
    </row>
    <row r="110" ht="18.75" customHeight="1">
      <c r="A110" s="1110"/>
      <c r="B110" s="1108" t="s">
        <v>8280</v>
      </c>
      <c r="C110" s="1108" t="s">
        <v>8281</v>
      </c>
      <c r="D110" s="1116" t="s">
        <v>8492</v>
      </c>
      <c r="E110" s="1116" t="s">
        <v>8493</v>
      </c>
      <c r="F110" s="1117">
        <v>0.1</v>
      </c>
      <c r="G110" s="1109">
        <v>0.02</v>
      </c>
      <c r="H110" s="1116"/>
      <c r="I110" s="1118" t="str">
        <f t="shared" si="1"/>
        <v/>
      </c>
      <c r="J110" s="1118" t="str">
        <f t="shared" si="2"/>
        <v/>
      </c>
      <c r="K110" s="1110"/>
    </row>
    <row r="111" ht="18.75" customHeight="1">
      <c r="A111" s="1110"/>
      <c r="B111" s="1108" t="s">
        <v>8280</v>
      </c>
      <c r="C111" s="1108" t="s">
        <v>8281</v>
      </c>
      <c r="D111" s="1116" t="s">
        <v>8494</v>
      </c>
      <c r="E111" s="1116" t="s">
        <v>8495</v>
      </c>
      <c r="F111" s="1117">
        <v>0.1</v>
      </c>
      <c r="G111" s="1109">
        <v>0.02</v>
      </c>
      <c r="H111" s="1116"/>
      <c r="I111" s="1118" t="str">
        <f t="shared" si="1"/>
        <v/>
      </c>
      <c r="J111" s="1118" t="str">
        <f t="shared" si="2"/>
        <v/>
      </c>
      <c r="K111" s="1110"/>
    </row>
    <row r="112" ht="18.75" customHeight="1">
      <c r="A112" s="1110"/>
      <c r="B112" s="1108" t="s">
        <v>8280</v>
      </c>
      <c r="C112" s="1108" t="s">
        <v>8281</v>
      </c>
      <c r="D112" s="1116" t="s">
        <v>8496</v>
      </c>
      <c r="E112" s="1116" t="s">
        <v>8497</v>
      </c>
      <c r="F112" s="1117">
        <v>0.1</v>
      </c>
      <c r="G112" s="1109">
        <v>0.02</v>
      </c>
      <c r="H112" s="1116"/>
      <c r="I112" s="1118" t="str">
        <f t="shared" si="1"/>
        <v/>
      </c>
      <c r="J112" s="1118" t="str">
        <f t="shared" si="2"/>
        <v/>
      </c>
      <c r="K112" s="1110"/>
    </row>
    <row r="113" ht="18.75" customHeight="1">
      <c r="A113" s="1110"/>
      <c r="B113" s="1108" t="s">
        <v>8280</v>
      </c>
      <c r="C113" s="1108" t="s">
        <v>8281</v>
      </c>
      <c r="D113" s="1116" t="s">
        <v>8498</v>
      </c>
      <c r="E113" s="1116" t="s">
        <v>8499</v>
      </c>
      <c r="F113" s="1117">
        <v>0.1</v>
      </c>
      <c r="G113" s="1109">
        <v>0.02</v>
      </c>
      <c r="H113" s="1116"/>
      <c r="I113" s="1118" t="str">
        <f t="shared" si="1"/>
        <v/>
      </c>
      <c r="J113" s="1118" t="str">
        <f t="shared" si="2"/>
        <v/>
      </c>
      <c r="K113" s="1110"/>
    </row>
    <row r="114" ht="18.75" customHeight="1">
      <c r="A114" s="1110"/>
      <c r="B114" s="1108" t="s">
        <v>8280</v>
      </c>
      <c r="C114" s="1108" t="s">
        <v>8281</v>
      </c>
      <c r="D114" s="1116" t="s">
        <v>8500</v>
      </c>
      <c r="E114" s="1116" t="s">
        <v>8501</v>
      </c>
      <c r="F114" s="1117">
        <v>0.1</v>
      </c>
      <c r="G114" s="1109">
        <v>0.02</v>
      </c>
      <c r="H114" s="1116"/>
      <c r="I114" s="1118" t="str">
        <f t="shared" si="1"/>
        <v/>
      </c>
      <c r="J114" s="1118" t="str">
        <f t="shared" si="2"/>
        <v/>
      </c>
      <c r="K114" s="1110"/>
    </row>
    <row r="115" ht="18.75" customHeight="1">
      <c r="A115" s="1110"/>
      <c r="B115" s="1108" t="s">
        <v>8280</v>
      </c>
      <c r="C115" s="1108" t="s">
        <v>8281</v>
      </c>
      <c r="D115" s="1116" t="s">
        <v>8502</v>
      </c>
      <c r="E115" s="1116" t="s">
        <v>8503</v>
      </c>
      <c r="F115" s="1117">
        <v>0.1</v>
      </c>
      <c r="G115" s="1109">
        <v>0.02</v>
      </c>
      <c r="H115" s="1116"/>
      <c r="I115" s="1118" t="str">
        <f t="shared" si="1"/>
        <v/>
      </c>
      <c r="J115" s="1118" t="str">
        <f t="shared" si="2"/>
        <v/>
      </c>
      <c r="K115" s="1110"/>
    </row>
    <row r="116" ht="18.75" customHeight="1">
      <c r="A116" s="1110"/>
      <c r="B116" s="1108" t="s">
        <v>8280</v>
      </c>
      <c r="C116" s="1108" t="s">
        <v>8281</v>
      </c>
      <c r="D116" s="1116" t="s">
        <v>8504</v>
      </c>
      <c r="E116" s="1116" t="s">
        <v>8505</v>
      </c>
      <c r="F116" s="1117">
        <v>0.1</v>
      </c>
      <c r="G116" s="1109">
        <v>0.02</v>
      </c>
      <c r="H116" s="1116"/>
      <c r="I116" s="1118" t="str">
        <f t="shared" si="1"/>
        <v/>
      </c>
      <c r="J116" s="1118" t="str">
        <f t="shared" si="2"/>
        <v/>
      </c>
      <c r="K116" s="1110"/>
    </row>
    <row r="117" ht="18.75" customHeight="1">
      <c r="A117" s="1110"/>
      <c r="B117" s="1108" t="s">
        <v>8280</v>
      </c>
      <c r="C117" s="1108" t="s">
        <v>8281</v>
      </c>
      <c r="D117" s="1116" t="s">
        <v>8506</v>
      </c>
      <c r="E117" s="1116" t="s">
        <v>8507</v>
      </c>
      <c r="F117" s="1117">
        <v>0.1</v>
      </c>
      <c r="G117" s="1109">
        <v>0.02</v>
      </c>
      <c r="H117" s="1116"/>
      <c r="I117" s="1118" t="str">
        <f t="shared" si="1"/>
        <v/>
      </c>
      <c r="J117" s="1118" t="str">
        <f t="shared" si="2"/>
        <v/>
      </c>
      <c r="K117" s="1110"/>
    </row>
    <row r="118" ht="18.75" customHeight="1">
      <c r="A118" s="1110"/>
      <c r="B118" s="1108" t="s">
        <v>8280</v>
      </c>
      <c r="C118" s="1108" t="s">
        <v>8508</v>
      </c>
      <c r="D118" s="1116" t="s">
        <v>8509</v>
      </c>
      <c r="E118" s="1116" t="s">
        <v>8510</v>
      </c>
      <c r="F118" s="1117">
        <v>0.1</v>
      </c>
      <c r="G118" s="1109">
        <v>0.02</v>
      </c>
      <c r="H118" s="1118">
        <v>264600.0</v>
      </c>
      <c r="I118" s="1118">
        <f t="shared" si="1"/>
        <v>240550</v>
      </c>
      <c r="J118" s="1118">
        <f t="shared" si="2"/>
        <v>259310</v>
      </c>
      <c r="K118" s="1110"/>
    </row>
    <row r="119" ht="18.75" customHeight="1">
      <c r="A119" s="1110"/>
      <c r="B119" s="1108" t="s">
        <v>8280</v>
      </c>
      <c r="C119" s="1108" t="s">
        <v>8508</v>
      </c>
      <c r="D119" s="1116" t="s">
        <v>8511</v>
      </c>
      <c r="E119" s="1116" t="s">
        <v>8512</v>
      </c>
      <c r="F119" s="1117">
        <v>0.1</v>
      </c>
      <c r="G119" s="1109">
        <v>0.02</v>
      </c>
      <c r="H119" s="1118">
        <v>264600.0</v>
      </c>
      <c r="I119" s="1118">
        <f t="shared" si="1"/>
        <v>240550</v>
      </c>
      <c r="J119" s="1118">
        <f t="shared" si="2"/>
        <v>259310</v>
      </c>
      <c r="K119" s="1110"/>
    </row>
    <row r="120" ht="18.75" customHeight="1">
      <c r="A120" s="1110"/>
      <c r="B120" s="1108" t="s">
        <v>8280</v>
      </c>
      <c r="C120" s="1108" t="s">
        <v>8508</v>
      </c>
      <c r="D120" s="1116" t="s">
        <v>8513</v>
      </c>
      <c r="E120" s="1116" t="s">
        <v>8514</v>
      </c>
      <c r="F120" s="1117">
        <v>0.1</v>
      </c>
      <c r="G120" s="1109">
        <v>0.02</v>
      </c>
      <c r="H120" s="1118">
        <v>301200.0</v>
      </c>
      <c r="I120" s="1118">
        <f t="shared" si="1"/>
        <v>273820</v>
      </c>
      <c r="J120" s="1118">
        <f t="shared" si="2"/>
        <v>295180</v>
      </c>
      <c r="K120" s="1110"/>
    </row>
    <row r="121" ht="18.75" customHeight="1">
      <c r="A121" s="1110"/>
      <c r="B121" s="1108" t="s">
        <v>8280</v>
      </c>
      <c r="C121" s="1108" t="s">
        <v>8508</v>
      </c>
      <c r="D121" s="1116" t="s">
        <v>8515</v>
      </c>
      <c r="E121" s="1116" t="s">
        <v>8516</v>
      </c>
      <c r="F121" s="1117">
        <v>0.1</v>
      </c>
      <c r="G121" s="1109">
        <v>0.02</v>
      </c>
      <c r="H121" s="1118">
        <v>301200.0</v>
      </c>
      <c r="I121" s="1118">
        <f t="shared" si="1"/>
        <v>273820</v>
      </c>
      <c r="J121" s="1118">
        <f t="shared" si="2"/>
        <v>295180</v>
      </c>
      <c r="K121" s="1110"/>
    </row>
    <row r="122" ht="18.75" customHeight="1">
      <c r="A122" s="1110"/>
      <c r="B122" s="1108" t="s">
        <v>8280</v>
      </c>
      <c r="C122" s="1108" t="s">
        <v>8508</v>
      </c>
      <c r="D122" s="1116" t="s">
        <v>8517</v>
      </c>
      <c r="E122" s="1116" t="s">
        <v>8518</v>
      </c>
      <c r="F122" s="1117">
        <v>0.1</v>
      </c>
      <c r="G122" s="1109">
        <v>0.02</v>
      </c>
      <c r="H122" s="1118">
        <v>344500.0</v>
      </c>
      <c r="I122" s="1118">
        <f t="shared" si="1"/>
        <v>313180</v>
      </c>
      <c r="J122" s="1118">
        <f t="shared" si="2"/>
        <v>337610</v>
      </c>
      <c r="K122" s="1110"/>
    </row>
    <row r="123" ht="18.75" customHeight="1">
      <c r="A123" s="1110"/>
      <c r="B123" s="1108" t="s">
        <v>8280</v>
      </c>
      <c r="C123" s="1108" t="s">
        <v>8508</v>
      </c>
      <c r="D123" s="1116" t="s">
        <v>8519</v>
      </c>
      <c r="E123" s="1116" t="s">
        <v>8520</v>
      </c>
      <c r="F123" s="1117">
        <v>0.1</v>
      </c>
      <c r="G123" s="1109">
        <v>0.02</v>
      </c>
      <c r="H123" s="1118">
        <v>344500.0</v>
      </c>
      <c r="I123" s="1118">
        <f t="shared" si="1"/>
        <v>313180</v>
      </c>
      <c r="J123" s="1118">
        <f t="shared" si="2"/>
        <v>337610</v>
      </c>
      <c r="K123" s="1110"/>
    </row>
    <row r="124" ht="18.75" customHeight="1">
      <c r="A124" s="1110"/>
      <c r="B124" s="1108" t="s">
        <v>8280</v>
      </c>
      <c r="C124" s="1108" t="s">
        <v>8508</v>
      </c>
      <c r="D124" s="1116" t="s">
        <v>8521</v>
      </c>
      <c r="E124" s="1116" t="s">
        <v>8522</v>
      </c>
      <c r="F124" s="1117">
        <v>0.1</v>
      </c>
      <c r="G124" s="1109">
        <v>0.02</v>
      </c>
      <c r="H124" s="1118">
        <v>393700.0</v>
      </c>
      <c r="I124" s="1118">
        <f t="shared" si="1"/>
        <v>357910</v>
      </c>
      <c r="J124" s="1118">
        <f t="shared" si="2"/>
        <v>385830</v>
      </c>
      <c r="K124" s="1110"/>
    </row>
    <row r="125" ht="18.75" customHeight="1">
      <c r="A125" s="1110"/>
      <c r="B125" s="1108" t="s">
        <v>8280</v>
      </c>
      <c r="C125" s="1108" t="s">
        <v>8508</v>
      </c>
      <c r="D125" s="1116" t="s">
        <v>8523</v>
      </c>
      <c r="E125" s="1116" t="s">
        <v>8524</v>
      </c>
      <c r="F125" s="1117">
        <v>0.1</v>
      </c>
      <c r="G125" s="1109">
        <v>0.02</v>
      </c>
      <c r="H125" s="1118">
        <v>393700.0</v>
      </c>
      <c r="I125" s="1118">
        <f t="shared" si="1"/>
        <v>357910</v>
      </c>
      <c r="J125" s="1118">
        <f t="shared" si="2"/>
        <v>385830</v>
      </c>
      <c r="K125" s="1110"/>
    </row>
    <row r="126" ht="18.75" customHeight="1">
      <c r="A126" s="1110"/>
      <c r="B126" s="1108" t="s">
        <v>8280</v>
      </c>
      <c r="C126" s="1108" t="s">
        <v>8508</v>
      </c>
      <c r="D126" s="1116" t="s">
        <v>8525</v>
      </c>
      <c r="E126" s="1116" t="s">
        <v>8526</v>
      </c>
      <c r="F126" s="1117">
        <v>0.1</v>
      </c>
      <c r="G126" s="1109">
        <v>0.02</v>
      </c>
      <c r="H126" s="1118">
        <v>467200.0</v>
      </c>
      <c r="I126" s="1118">
        <f t="shared" si="1"/>
        <v>424730</v>
      </c>
      <c r="J126" s="1118">
        <f t="shared" si="2"/>
        <v>457860</v>
      </c>
      <c r="K126" s="1110"/>
    </row>
    <row r="127" ht="18.75" customHeight="1">
      <c r="A127" s="1110"/>
      <c r="B127" s="1108" t="s">
        <v>8280</v>
      </c>
      <c r="C127" s="1108" t="s">
        <v>8508</v>
      </c>
      <c r="D127" s="1116" t="s">
        <v>8527</v>
      </c>
      <c r="E127" s="1116" t="s">
        <v>8528</v>
      </c>
      <c r="F127" s="1117">
        <v>0.1</v>
      </c>
      <c r="G127" s="1109">
        <v>0.02</v>
      </c>
      <c r="H127" s="1116"/>
      <c r="I127" s="1118" t="str">
        <f t="shared" si="1"/>
        <v/>
      </c>
      <c r="J127" s="1118" t="str">
        <f t="shared" si="2"/>
        <v/>
      </c>
      <c r="K127" s="1110"/>
    </row>
    <row r="128" ht="18.75" customHeight="1">
      <c r="A128" s="1110"/>
      <c r="B128" s="1108" t="s">
        <v>8280</v>
      </c>
      <c r="C128" s="1108" t="s">
        <v>8508</v>
      </c>
      <c r="D128" s="1116" t="s">
        <v>8529</v>
      </c>
      <c r="E128" s="1116" t="s">
        <v>8530</v>
      </c>
      <c r="F128" s="1117">
        <v>0.1</v>
      </c>
      <c r="G128" s="1109">
        <v>0.02</v>
      </c>
      <c r="H128" s="1116"/>
      <c r="I128" s="1118" t="str">
        <f t="shared" si="1"/>
        <v/>
      </c>
      <c r="J128" s="1118" t="str">
        <f t="shared" si="2"/>
        <v/>
      </c>
      <c r="K128" s="1110"/>
    </row>
    <row r="129" ht="18.75" customHeight="1">
      <c r="A129" s="1110"/>
      <c r="B129" s="1108" t="s">
        <v>8280</v>
      </c>
      <c r="C129" s="1108" t="s">
        <v>8508</v>
      </c>
      <c r="D129" s="1116" t="s">
        <v>8531</v>
      </c>
      <c r="E129" s="1116" t="s">
        <v>8532</v>
      </c>
      <c r="F129" s="1117">
        <v>0.1</v>
      </c>
      <c r="G129" s="1109">
        <v>0.02</v>
      </c>
      <c r="H129" s="1116"/>
      <c r="I129" s="1118" t="str">
        <f t="shared" si="1"/>
        <v/>
      </c>
      <c r="J129" s="1118" t="str">
        <f t="shared" si="2"/>
        <v/>
      </c>
      <c r="K129" s="1110"/>
    </row>
    <row r="130" ht="18.75" customHeight="1">
      <c r="A130" s="1110"/>
      <c r="B130" s="1108" t="s">
        <v>8280</v>
      </c>
      <c r="C130" s="1108" t="s">
        <v>8508</v>
      </c>
      <c r="D130" s="1116" t="s">
        <v>8533</v>
      </c>
      <c r="E130" s="1116" t="s">
        <v>8534</v>
      </c>
      <c r="F130" s="1117">
        <v>0.1</v>
      </c>
      <c r="G130" s="1109">
        <v>0.02</v>
      </c>
      <c r="H130" s="1116"/>
      <c r="I130" s="1118" t="str">
        <f t="shared" si="1"/>
        <v/>
      </c>
      <c r="J130" s="1118" t="str">
        <f t="shared" si="2"/>
        <v/>
      </c>
      <c r="K130" s="1110"/>
    </row>
    <row r="131" ht="18.75" customHeight="1">
      <c r="A131" s="1110"/>
      <c r="B131" s="1108" t="s">
        <v>8280</v>
      </c>
      <c r="C131" s="1108" t="s">
        <v>8508</v>
      </c>
      <c r="D131" s="1116" t="s">
        <v>8535</v>
      </c>
      <c r="E131" s="1116" t="s">
        <v>8536</v>
      </c>
      <c r="F131" s="1117">
        <v>0.1</v>
      </c>
      <c r="G131" s="1109">
        <v>0.02</v>
      </c>
      <c r="H131" s="1116"/>
      <c r="I131" s="1118" t="str">
        <f t="shared" si="1"/>
        <v/>
      </c>
      <c r="J131" s="1118" t="str">
        <f t="shared" si="2"/>
        <v/>
      </c>
      <c r="K131" s="1110"/>
    </row>
    <row r="132" ht="18.75" customHeight="1">
      <c r="A132" s="1110"/>
      <c r="B132" s="1108" t="s">
        <v>8280</v>
      </c>
      <c r="C132" s="1108" t="s">
        <v>8537</v>
      </c>
      <c r="D132" s="1116" t="s">
        <v>8538</v>
      </c>
      <c r="E132" s="1116" t="s">
        <v>8539</v>
      </c>
      <c r="F132" s="1117">
        <v>0.1</v>
      </c>
      <c r="G132" s="1109">
        <v>0.02</v>
      </c>
      <c r="H132" s="1118">
        <v>19900.0</v>
      </c>
      <c r="I132" s="1118">
        <f t="shared" si="1"/>
        <v>18090</v>
      </c>
      <c r="J132" s="1118">
        <f t="shared" si="2"/>
        <v>19500</v>
      </c>
      <c r="K132" s="1110"/>
    </row>
    <row r="133" ht="18.75" customHeight="1">
      <c r="A133" s="1110"/>
      <c r="B133" s="1108" t="s">
        <v>8280</v>
      </c>
      <c r="C133" s="1108" t="s">
        <v>8537</v>
      </c>
      <c r="D133" s="1116" t="s">
        <v>8540</v>
      </c>
      <c r="E133" s="1116" t="s">
        <v>8541</v>
      </c>
      <c r="F133" s="1117">
        <v>0.1</v>
      </c>
      <c r="G133" s="1109">
        <v>0.02</v>
      </c>
      <c r="H133" s="1116"/>
      <c r="I133" s="1118" t="str">
        <f t="shared" si="1"/>
        <v/>
      </c>
      <c r="J133" s="1118" t="str">
        <f t="shared" si="2"/>
        <v/>
      </c>
      <c r="K133" s="1110"/>
    </row>
    <row r="134" ht="18.75" customHeight="1">
      <c r="A134" s="1110"/>
      <c r="B134" s="1108" t="s">
        <v>8280</v>
      </c>
      <c r="C134" s="1108" t="s">
        <v>8537</v>
      </c>
      <c r="D134" s="1116" t="s">
        <v>8542</v>
      </c>
      <c r="E134" s="1116" t="s">
        <v>8543</v>
      </c>
      <c r="F134" s="1117">
        <v>0.1</v>
      </c>
      <c r="G134" s="1109">
        <v>0.02</v>
      </c>
      <c r="H134" s="1118">
        <v>22100.0</v>
      </c>
      <c r="I134" s="1118">
        <f t="shared" si="1"/>
        <v>20090</v>
      </c>
      <c r="J134" s="1118">
        <f t="shared" si="2"/>
        <v>21660</v>
      </c>
      <c r="K134" s="1110"/>
    </row>
    <row r="135" ht="18.75" customHeight="1">
      <c r="A135" s="1110"/>
      <c r="B135" s="1108" t="s">
        <v>8280</v>
      </c>
      <c r="C135" s="1108" t="s">
        <v>8537</v>
      </c>
      <c r="D135" s="1116" t="s">
        <v>8544</v>
      </c>
      <c r="E135" s="1116" t="s">
        <v>8545</v>
      </c>
      <c r="F135" s="1117">
        <v>0.1</v>
      </c>
      <c r="G135" s="1109">
        <v>0.02</v>
      </c>
      <c r="H135" s="1118">
        <v>22100.0</v>
      </c>
      <c r="I135" s="1118">
        <f t="shared" si="1"/>
        <v>20090</v>
      </c>
      <c r="J135" s="1118">
        <f t="shared" si="2"/>
        <v>21660</v>
      </c>
      <c r="K135" s="1110"/>
    </row>
    <row r="136" ht="18.75" customHeight="1">
      <c r="A136" s="1110"/>
      <c r="B136" s="1108" t="s">
        <v>8280</v>
      </c>
      <c r="C136" s="1108" t="s">
        <v>8537</v>
      </c>
      <c r="D136" s="1116" t="s">
        <v>8546</v>
      </c>
      <c r="E136" s="1116" t="s">
        <v>8547</v>
      </c>
      <c r="F136" s="1117">
        <v>0.1</v>
      </c>
      <c r="G136" s="1109">
        <v>0.02</v>
      </c>
      <c r="H136" s="1118">
        <v>25500.0</v>
      </c>
      <c r="I136" s="1118">
        <f t="shared" si="1"/>
        <v>23180</v>
      </c>
      <c r="J136" s="1118">
        <f t="shared" si="2"/>
        <v>24990</v>
      </c>
      <c r="K136" s="1110"/>
    </row>
    <row r="137" ht="18.75" customHeight="1">
      <c r="A137" s="1110"/>
      <c r="B137" s="1108" t="s">
        <v>8280</v>
      </c>
      <c r="C137" s="1108" t="s">
        <v>8537</v>
      </c>
      <c r="D137" s="1116" t="s">
        <v>8548</v>
      </c>
      <c r="E137" s="1116" t="s">
        <v>8549</v>
      </c>
      <c r="F137" s="1117">
        <v>0.1</v>
      </c>
      <c r="G137" s="1109">
        <v>0.02</v>
      </c>
      <c r="H137" s="1118">
        <v>27800.0</v>
      </c>
      <c r="I137" s="1118">
        <f t="shared" si="1"/>
        <v>25270</v>
      </c>
      <c r="J137" s="1118">
        <f t="shared" si="2"/>
        <v>27240</v>
      </c>
      <c r="K137" s="1110"/>
    </row>
    <row r="138" ht="18.75" customHeight="1">
      <c r="A138" s="1110"/>
      <c r="B138" s="1108" t="s">
        <v>8280</v>
      </c>
      <c r="C138" s="1108" t="s">
        <v>8537</v>
      </c>
      <c r="D138" s="1116" t="s">
        <v>8550</v>
      </c>
      <c r="E138" s="1116" t="s">
        <v>8551</v>
      </c>
      <c r="F138" s="1117">
        <v>0.1</v>
      </c>
      <c r="G138" s="1109">
        <v>0.02</v>
      </c>
      <c r="H138" s="1118">
        <v>27900.0</v>
      </c>
      <c r="I138" s="1118">
        <f t="shared" si="1"/>
        <v>25360</v>
      </c>
      <c r="J138" s="1118">
        <f t="shared" si="2"/>
        <v>27340</v>
      </c>
      <c r="K138" s="1110"/>
    </row>
    <row r="139" ht="18.75" customHeight="1">
      <c r="A139" s="1110"/>
      <c r="B139" s="1108" t="s">
        <v>8280</v>
      </c>
      <c r="C139" s="1108" t="s">
        <v>8537</v>
      </c>
      <c r="D139" s="1116" t="s">
        <v>8552</v>
      </c>
      <c r="E139" s="1116" t="s">
        <v>8553</v>
      </c>
      <c r="F139" s="1117">
        <v>0.1</v>
      </c>
      <c r="G139" s="1109">
        <v>0.02</v>
      </c>
      <c r="H139" s="1118">
        <v>29800.0</v>
      </c>
      <c r="I139" s="1118">
        <f t="shared" si="1"/>
        <v>27090</v>
      </c>
      <c r="J139" s="1118">
        <f t="shared" si="2"/>
        <v>29200</v>
      </c>
      <c r="K139" s="1110"/>
    </row>
    <row r="140" ht="18.75" customHeight="1">
      <c r="A140" s="1110"/>
      <c r="B140" s="1108" t="s">
        <v>8280</v>
      </c>
      <c r="C140" s="1108" t="s">
        <v>8537</v>
      </c>
      <c r="D140" s="1116" t="s">
        <v>8554</v>
      </c>
      <c r="E140" s="1116" t="s">
        <v>8555</v>
      </c>
      <c r="F140" s="1117">
        <v>0.1</v>
      </c>
      <c r="G140" s="1109">
        <v>0.02</v>
      </c>
      <c r="H140" s="1118">
        <v>34200.0</v>
      </c>
      <c r="I140" s="1118">
        <f t="shared" si="1"/>
        <v>31090</v>
      </c>
      <c r="J140" s="1118">
        <f t="shared" si="2"/>
        <v>33520</v>
      </c>
      <c r="K140" s="1110"/>
    </row>
    <row r="141" ht="18.75" customHeight="1">
      <c r="A141" s="1110"/>
      <c r="B141" s="1108" t="s">
        <v>8280</v>
      </c>
      <c r="C141" s="1108" t="s">
        <v>8537</v>
      </c>
      <c r="D141" s="1116" t="s">
        <v>8556</v>
      </c>
      <c r="E141" s="1116" t="s">
        <v>8557</v>
      </c>
      <c r="F141" s="1117">
        <v>0.1</v>
      </c>
      <c r="G141" s="1109">
        <v>0.02</v>
      </c>
      <c r="H141" s="1118">
        <v>40400.0</v>
      </c>
      <c r="I141" s="1118">
        <f t="shared" si="1"/>
        <v>36730</v>
      </c>
      <c r="J141" s="1118">
        <f t="shared" si="2"/>
        <v>39590</v>
      </c>
      <c r="K141" s="1110"/>
    </row>
    <row r="142" ht="18.75" customHeight="1">
      <c r="A142" s="1110"/>
      <c r="B142" s="1108" t="s">
        <v>8280</v>
      </c>
      <c r="C142" s="1108" t="s">
        <v>8537</v>
      </c>
      <c r="D142" s="1116" t="s">
        <v>8558</v>
      </c>
      <c r="E142" s="1116" t="s">
        <v>8559</v>
      </c>
      <c r="F142" s="1117">
        <v>0.1</v>
      </c>
      <c r="G142" s="1109">
        <v>0.02</v>
      </c>
      <c r="H142" s="1118">
        <v>40400.0</v>
      </c>
      <c r="I142" s="1118">
        <f t="shared" si="1"/>
        <v>36730</v>
      </c>
      <c r="J142" s="1118">
        <f t="shared" si="2"/>
        <v>39590</v>
      </c>
      <c r="K142" s="1110"/>
    </row>
    <row r="143" ht="18.75" customHeight="1">
      <c r="A143" s="1110"/>
      <c r="B143" s="1108" t="s">
        <v>8280</v>
      </c>
      <c r="C143" s="1108" t="s">
        <v>8537</v>
      </c>
      <c r="D143" s="1116" t="s">
        <v>1137</v>
      </c>
      <c r="E143" s="1116" t="s">
        <v>1138</v>
      </c>
      <c r="F143" s="1117">
        <v>0.1</v>
      </c>
      <c r="G143" s="1109">
        <v>0.02</v>
      </c>
      <c r="H143" s="1118">
        <v>45300.0</v>
      </c>
      <c r="I143" s="1118">
        <f t="shared" si="1"/>
        <v>41180</v>
      </c>
      <c r="J143" s="1118">
        <f t="shared" si="2"/>
        <v>44390</v>
      </c>
      <c r="K143" s="1110"/>
    </row>
    <row r="144" ht="18.75" customHeight="1">
      <c r="A144" s="1110"/>
      <c r="B144" s="1108" t="s">
        <v>8280</v>
      </c>
      <c r="C144" s="1108" t="s">
        <v>8537</v>
      </c>
      <c r="D144" s="1116" t="s">
        <v>8560</v>
      </c>
      <c r="E144" s="1116" t="s">
        <v>8561</v>
      </c>
      <c r="F144" s="1117">
        <v>0.1</v>
      </c>
      <c r="G144" s="1109">
        <v>0.02</v>
      </c>
      <c r="H144" s="1118">
        <v>45300.0</v>
      </c>
      <c r="I144" s="1118">
        <f t="shared" si="1"/>
        <v>41180</v>
      </c>
      <c r="J144" s="1118">
        <f t="shared" si="2"/>
        <v>44390</v>
      </c>
      <c r="K144" s="1110"/>
    </row>
    <row r="145" ht="18.75" customHeight="1">
      <c r="A145" s="1110"/>
      <c r="B145" s="1108" t="s">
        <v>8280</v>
      </c>
      <c r="C145" s="1108" t="s">
        <v>8537</v>
      </c>
      <c r="D145" s="1116" t="s">
        <v>8562</v>
      </c>
      <c r="E145" s="1116" t="s">
        <v>8563</v>
      </c>
      <c r="F145" s="1117">
        <v>0.1</v>
      </c>
      <c r="G145" s="1109">
        <v>0.02</v>
      </c>
      <c r="H145" s="1118">
        <v>54900.0</v>
      </c>
      <c r="I145" s="1118">
        <f t="shared" si="1"/>
        <v>49910</v>
      </c>
      <c r="J145" s="1118">
        <f t="shared" si="2"/>
        <v>53800</v>
      </c>
      <c r="K145" s="1110"/>
    </row>
    <row r="146" ht="18.75" customHeight="1">
      <c r="A146" s="1110"/>
      <c r="B146" s="1108" t="s">
        <v>8280</v>
      </c>
      <c r="C146" s="1108" t="s">
        <v>8537</v>
      </c>
      <c r="D146" s="1116" t="s">
        <v>8564</v>
      </c>
      <c r="E146" s="1116" t="s">
        <v>8565</v>
      </c>
      <c r="F146" s="1117">
        <v>0.1</v>
      </c>
      <c r="G146" s="1109">
        <v>0.02</v>
      </c>
      <c r="H146" s="1118">
        <v>75900.0</v>
      </c>
      <c r="I146" s="1118">
        <f t="shared" si="1"/>
        <v>69000</v>
      </c>
      <c r="J146" s="1118">
        <f t="shared" si="2"/>
        <v>74380</v>
      </c>
      <c r="K146" s="1110"/>
    </row>
    <row r="147" ht="18.75" customHeight="1">
      <c r="A147" s="1110"/>
      <c r="B147" s="1108" t="s">
        <v>8280</v>
      </c>
      <c r="C147" s="1108" t="s">
        <v>8537</v>
      </c>
      <c r="D147" s="1116" t="s">
        <v>8566</v>
      </c>
      <c r="E147" s="1116" t="s">
        <v>8567</v>
      </c>
      <c r="F147" s="1117">
        <v>0.1</v>
      </c>
      <c r="G147" s="1109">
        <v>0.02</v>
      </c>
      <c r="H147" s="1118">
        <v>31800.0</v>
      </c>
      <c r="I147" s="1118">
        <f t="shared" si="1"/>
        <v>28910</v>
      </c>
      <c r="J147" s="1118">
        <f t="shared" si="2"/>
        <v>31160</v>
      </c>
      <c r="K147" s="1110"/>
    </row>
    <row r="148" ht="18.75" customHeight="1">
      <c r="A148" s="1110"/>
      <c r="B148" s="1108" t="s">
        <v>8280</v>
      </c>
      <c r="C148" s="1108" t="s">
        <v>8537</v>
      </c>
      <c r="D148" s="1116" t="s">
        <v>8568</v>
      </c>
      <c r="E148" s="1116" t="s">
        <v>8569</v>
      </c>
      <c r="F148" s="1117">
        <v>0.1</v>
      </c>
      <c r="G148" s="1109">
        <v>0.02</v>
      </c>
      <c r="H148" s="1118">
        <v>34500.0</v>
      </c>
      <c r="I148" s="1118">
        <f t="shared" si="1"/>
        <v>31360</v>
      </c>
      <c r="J148" s="1118">
        <f t="shared" si="2"/>
        <v>33810</v>
      </c>
      <c r="K148" s="1110"/>
    </row>
    <row r="149" ht="18.75" customHeight="1">
      <c r="A149" s="1110"/>
      <c r="B149" s="1108" t="s">
        <v>8280</v>
      </c>
      <c r="C149" s="1108" t="s">
        <v>8537</v>
      </c>
      <c r="D149" s="1116" t="s">
        <v>8570</v>
      </c>
      <c r="E149" s="1116" t="s">
        <v>8571</v>
      </c>
      <c r="F149" s="1117">
        <v>0.1</v>
      </c>
      <c r="G149" s="1109">
        <v>0.02</v>
      </c>
      <c r="H149" s="1118">
        <v>37600.0</v>
      </c>
      <c r="I149" s="1118">
        <f t="shared" si="1"/>
        <v>34180</v>
      </c>
      <c r="J149" s="1118">
        <f t="shared" si="2"/>
        <v>36850</v>
      </c>
      <c r="K149" s="1110"/>
    </row>
    <row r="150" ht="18.75" customHeight="1">
      <c r="A150" s="1110"/>
      <c r="B150" s="1108" t="s">
        <v>8280</v>
      </c>
      <c r="C150" s="1108" t="s">
        <v>8537</v>
      </c>
      <c r="D150" s="1116" t="s">
        <v>8572</v>
      </c>
      <c r="E150" s="1116" t="s">
        <v>8573</v>
      </c>
      <c r="F150" s="1117">
        <v>0.1</v>
      </c>
      <c r="G150" s="1109">
        <v>0.02</v>
      </c>
      <c r="H150" s="1118">
        <v>42200.0</v>
      </c>
      <c r="I150" s="1118">
        <f t="shared" si="1"/>
        <v>38360</v>
      </c>
      <c r="J150" s="1118">
        <f t="shared" si="2"/>
        <v>41360</v>
      </c>
      <c r="K150" s="1110"/>
    </row>
    <row r="151" ht="18.75" customHeight="1">
      <c r="A151" s="1110"/>
      <c r="B151" s="1108" t="s">
        <v>8280</v>
      </c>
      <c r="C151" s="1108" t="s">
        <v>8537</v>
      </c>
      <c r="D151" s="1116" t="s">
        <v>8574</v>
      </c>
      <c r="E151" s="1116" t="s">
        <v>8575</v>
      </c>
      <c r="F151" s="1117">
        <v>0.1</v>
      </c>
      <c r="G151" s="1109">
        <v>0.02</v>
      </c>
      <c r="H151" s="1118">
        <v>42400.0</v>
      </c>
      <c r="I151" s="1118">
        <f t="shared" si="1"/>
        <v>38550</v>
      </c>
      <c r="J151" s="1118">
        <f t="shared" si="2"/>
        <v>41550</v>
      </c>
      <c r="K151" s="1110"/>
    </row>
    <row r="152" ht="18.75" customHeight="1">
      <c r="A152" s="1110"/>
      <c r="B152" s="1108" t="s">
        <v>8280</v>
      </c>
      <c r="C152" s="1108" t="s">
        <v>8537</v>
      </c>
      <c r="D152" s="1116" t="s">
        <v>8576</v>
      </c>
      <c r="E152" s="1116" t="s">
        <v>8577</v>
      </c>
      <c r="F152" s="1117">
        <v>0.1</v>
      </c>
      <c r="G152" s="1109">
        <v>0.02</v>
      </c>
      <c r="H152" s="1118">
        <v>44700.0</v>
      </c>
      <c r="I152" s="1118">
        <f t="shared" si="1"/>
        <v>40640</v>
      </c>
      <c r="J152" s="1118">
        <f t="shared" si="2"/>
        <v>43810</v>
      </c>
      <c r="K152" s="1110"/>
    </row>
    <row r="153" ht="18.75" customHeight="1">
      <c r="A153" s="1110"/>
      <c r="B153" s="1108" t="s">
        <v>8280</v>
      </c>
      <c r="C153" s="1108" t="s">
        <v>8537</v>
      </c>
      <c r="D153" s="1116" t="s">
        <v>8578</v>
      </c>
      <c r="E153" s="1116" t="s">
        <v>8579</v>
      </c>
      <c r="F153" s="1117">
        <v>0.1</v>
      </c>
      <c r="G153" s="1109">
        <v>0.02</v>
      </c>
      <c r="H153" s="1118">
        <v>44700.0</v>
      </c>
      <c r="I153" s="1118">
        <f t="shared" si="1"/>
        <v>40640</v>
      </c>
      <c r="J153" s="1118">
        <f t="shared" si="2"/>
        <v>43810</v>
      </c>
      <c r="K153" s="1110"/>
    </row>
    <row r="154" ht="18.75" customHeight="1">
      <c r="A154" s="1110"/>
      <c r="B154" s="1108" t="s">
        <v>8280</v>
      </c>
      <c r="C154" s="1108" t="s">
        <v>8537</v>
      </c>
      <c r="D154" s="1116" t="s">
        <v>8580</v>
      </c>
      <c r="E154" s="1116" t="s">
        <v>8581</v>
      </c>
      <c r="F154" s="1117">
        <v>0.1</v>
      </c>
      <c r="G154" s="1109">
        <v>0.02</v>
      </c>
      <c r="H154" s="1118">
        <v>51000.0</v>
      </c>
      <c r="I154" s="1118">
        <f t="shared" si="1"/>
        <v>46360</v>
      </c>
      <c r="J154" s="1118">
        <f t="shared" si="2"/>
        <v>49980</v>
      </c>
      <c r="K154" s="1110"/>
    </row>
    <row r="155" ht="18.75" customHeight="1">
      <c r="A155" s="1110"/>
      <c r="B155" s="1108" t="s">
        <v>8280</v>
      </c>
      <c r="C155" s="1108" t="s">
        <v>8537</v>
      </c>
      <c r="D155" s="1116" t="s">
        <v>8582</v>
      </c>
      <c r="E155" s="1116" t="s">
        <v>8583</v>
      </c>
      <c r="F155" s="1117">
        <v>0.1</v>
      </c>
      <c r="G155" s="1109">
        <v>0.02</v>
      </c>
      <c r="H155" s="1118">
        <v>60600.0</v>
      </c>
      <c r="I155" s="1118">
        <f t="shared" si="1"/>
        <v>55090</v>
      </c>
      <c r="J155" s="1118">
        <f t="shared" si="2"/>
        <v>59390</v>
      </c>
      <c r="K155" s="1110"/>
    </row>
    <row r="156" ht="18.75" customHeight="1">
      <c r="A156" s="1110"/>
      <c r="B156" s="1108" t="s">
        <v>8280</v>
      </c>
      <c r="C156" s="1108" t="s">
        <v>8537</v>
      </c>
      <c r="D156" s="1116" t="s">
        <v>8584</v>
      </c>
      <c r="E156" s="1116" t="s">
        <v>8585</v>
      </c>
      <c r="F156" s="1117">
        <v>0.1</v>
      </c>
      <c r="G156" s="1109">
        <v>0.02</v>
      </c>
      <c r="H156" s="1118">
        <v>58900.0</v>
      </c>
      <c r="I156" s="1118">
        <f t="shared" si="1"/>
        <v>53550</v>
      </c>
      <c r="J156" s="1118">
        <f t="shared" si="2"/>
        <v>57720</v>
      </c>
      <c r="K156" s="1110"/>
    </row>
    <row r="157" ht="18.75" customHeight="1">
      <c r="A157" s="1110"/>
      <c r="B157" s="1108" t="s">
        <v>8280</v>
      </c>
      <c r="C157" s="1108" t="s">
        <v>8537</v>
      </c>
      <c r="D157" s="1116" t="s">
        <v>8586</v>
      </c>
      <c r="E157" s="1116" t="s">
        <v>8587</v>
      </c>
      <c r="F157" s="1117">
        <v>0.1</v>
      </c>
      <c r="G157" s="1109">
        <v>0.02</v>
      </c>
      <c r="H157" s="1118">
        <v>65500.0</v>
      </c>
      <c r="I157" s="1118">
        <f t="shared" si="1"/>
        <v>59550</v>
      </c>
      <c r="J157" s="1118">
        <f t="shared" si="2"/>
        <v>64190</v>
      </c>
      <c r="K157" s="1110"/>
    </row>
    <row r="158" ht="18.75" customHeight="1">
      <c r="A158" s="1110"/>
      <c r="B158" s="1108" t="s">
        <v>8280</v>
      </c>
      <c r="C158" s="1108" t="s">
        <v>8537</v>
      </c>
      <c r="D158" s="1116" t="s">
        <v>8588</v>
      </c>
      <c r="E158" s="1116" t="s">
        <v>8589</v>
      </c>
      <c r="F158" s="1117">
        <v>0.1</v>
      </c>
      <c r="G158" s="1109">
        <v>0.02</v>
      </c>
      <c r="H158" s="1118">
        <v>66400.0</v>
      </c>
      <c r="I158" s="1118">
        <f t="shared" si="1"/>
        <v>60360</v>
      </c>
      <c r="J158" s="1118">
        <f t="shared" si="2"/>
        <v>65070</v>
      </c>
      <c r="K158" s="1110"/>
    </row>
    <row r="159" ht="18.75" customHeight="1">
      <c r="A159" s="1110"/>
      <c r="B159" s="1108" t="s">
        <v>8280</v>
      </c>
      <c r="C159" s="1108" t="s">
        <v>8537</v>
      </c>
      <c r="D159" s="1116" t="s">
        <v>8590</v>
      </c>
      <c r="E159" s="1116" t="s">
        <v>8587</v>
      </c>
      <c r="F159" s="1117">
        <v>0.1</v>
      </c>
      <c r="G159" s="1109">
        <v>0.02</v>
      </c>
      <c r="H159" s="1118">
        <v>65500.0</v>
      </c>
      <c r="I159" s="1118">
        <f t="shared" si="1"/>
        <v>59550</v>
      </c>
      <c r="J159" s="1118">
        <f t="shared" si="2"/>
        <v>64190</v>
      </c>
      <c r="K159" s="1110"/>
    </row>
    <row r="160" ht="18.75" customHeight="1">
      <c r="A160" s="1110"/>
      <c r="B160" s="1108" t="s">
        <v>8280</v>
      </c>
      <c r="C160" s="1108" t="s">
        <v>8537</v>
      </c>
      <c r="D160" s="1116" t="s">
        <v>8591</v>
      </c>
      <c r="E160" s="1116" t="s">
        <v>8592</v>
      </c>
      <c r="F160" s="1117">
        <v>0.1</v>
      </c>
      <c r="G160" s="1109">
        <v>0.02</v>
      </c>
      <c r="H160" s="1118">
        <v>78900.0</v>
      </c>
      <c r="I160" s="1118">
        <f t="shared" si="1"/>
        <v>71730</v>
      </c>
      <c r="J160" s="1118">
        <f t="shared" si="2"/>
        <v>77320</v>
      </c>
      <c r="K160" s="1110"/>
    </row>
    <row r="161" ht="18.75" customHeight="1">
      <c r="A161" s="1110"/>
      <c r="B161" s="1108" t="s">
        <v>8280</v>
      </c>
      <c r="C161" s="1108" t="s">
        <v>8537</v>
      </c>
      <c r="D161" s="1116" t="s">
        <v>8593</v>
      </c>
      <c r="E161" s="1116" t="s">
        <v>8594</v>
      </c>
      <c r="F161" s="1117">
        <v>0.1</v>
      </c>
      <c r="G161" s="1109">
        <v>0.02</v>
      </c>
      <c r="H161" s="1118">
        <v>78200.0</v>
      </c>
      <c r="I161" s="1118">
        <f t="shared" si="1"/>
        <v>71090</v>
      </c>
      <c r="J161" s="1118">
        <f t="shared" si="2"/>
        <v>76640</v>
      </c>
      <c r="K161" s="1110"/>
    </row>
    <row r="162" ht="18.75" customHeight="1">
      <c r="A162" s="1110"/>
      <c r="B162" s="1108" t="s">
        <v>8280</v>
      </c>
      <c r="C162" s="1108" t="s">
        <v>8537</v>
      </c>
      <c r="D162" s="1116" t="s">
        <v>8595</v>
      </c>
      <c r="E162" s="1116" t="s">
        <v>8596</v>
      </c>
      <c r="F162" s="1117">
        <v>0.1</v>
      </c>
      <c r="G162" s="1109">
        <v>0.02</v>
      </c>
      <c r="H162" s="1118">
        <v>92400.0</v>
      </c>
      <c r="I162" s="1118">
        <f t="shared" si="1"/>
        <v>84000</v>
      </c>
      <c r="J162" s="1118">
        <f t="shared" si="2"/>
        <v>90550</v>
      </c>
      <c r="K162" s="1110"/>
    </row>
    <row r="163" ht="18.75" customHeight="1">
      <c r="A163" s="1110"/>
      <c r="B163" s="1108" t="s">
        <v>8280</v>
      </c>
      <c r="C163" s="1108" t="s">
        <v>8537</v>
      </c>
      <c r="D163" s="1116" t="s">
        <v>8597</v>
      </c>
      <c r="E163" s="1116" t="s">
        <v>8598</v>
      </c>
      <c r="F163" s="1117">
        <v>0.1</v>
      </c>
      <c r="G163" s="1109">
        <v>0.02</v>
      </c>
      <c r="H163" s="1118">
        <v>107800.0</v>
      </c>
      <c r="I163" s="1118">
        <f t="shared" si="1"/>
        <v>98000</v>
      </c>
      <c r="J163" s="1118">
        <f t="shared" si="2"/>
        <v>105640</v>
      </c>
      <c r="K163" s="1110"/>
    </row>
    <row r="164" ht="18.75" customHeight="1">
      <c r="A164" s="1110"/>
      <c r="B164" s="1108" t="s">
        <v>8280</v>
      </c>
      <c r="C164" s="1108" t="s">
        <v>8537</v>
      </c>
      <c r="D164" s="1116" t="s">
        <v>8599</v>
      </c>
      <c r="E164" s="1116" t="s">
        <v>8600</v>
      </c>
      <c r="F164" s="1117">
        <v>0.1</v>
      </c>
      <c r="G164" s="1109">
        <v>0.02</v>
      </c>
      <c r="H164" s="1118">
        <v>133700.0</v>
      </c>
      <c r="I164" s="1118">
        <f t="shared" si="1"/>
        <v>121550</v>
      </c>
      <c r="J164" s="1118">
        <f t="shared" si="2"/>
        <v>131030</v>
      </c>
      <c r="K164" s="1110"/>
    </row>
    <row r="165" ht="18.75" customHeight="1">
      <c r="A165" s="1110"/>
      <c r="B165" s="1108" t="s">
        <v>8280</v>
      </c>
      <c r="C165" s="1108" t="s">
        <v>8537</v>
      </c>
      <c r="D165" s="1116" t="s">
        <v>8601</v>
      </c>
      <c r="E165" s="1116" t="s">
        <v>8602</v>
      </c>
      <c r="F165" s="1117">
        <v>0.1</v>
      </c>
      <c r="G165" s="1109">
        <v>0.02</v>
      </c>
      <c r="H165" s="1116"/>
      <c r="I165" s="1118" t="str">
        <f t="shared" si="1"/>
        <v/>
      </c>
      <c r="J165" s="1118" t="str">
        <f t="shared" si="2"/>
        <v/>
      </c>
      <c r="K165" s="1110"/>
    </row>
    <row r="166" ht="18.75" customHeight="1">
      <c r="A166" s="1110"/>
      <c r="B166" s="1108" t="s">
        <v>8280</v>
      </c>
      <c r="C166" s="1108" t="s">
        <v>8537</v>
      </c>
      <c r="D166" s="1116" t="s">
        <v>8603</v>
      </c>
      <c r="E166" s="1116" t="s">
        <v>8604</v>
      </c>
      <c r="F166" s="1117">
        <v>0.1</v>
      </c>
      <c r="G166" s="1109">
        <v>0.02</v>
      </c>
      <c r="H166" s="1118">
        <v>161600.0</v>
      </c>
      <c r="I166" s="1118">
        <f t="shared" si="1"/>
        <v>146910</v>
      </c>
      <c r="J166" s="1118">
        <f t="shared" si="2"/>
        <v>158370</v>
      </c>
      <c r="K166" s="1110"/>
    </row>
    <row r="167" ht="18.75" customHeight="1">
      <c r="A167" s="1110"/>
      <c r="B167" s="1108" t="s">
        <v>8280</v>
      </c>
      <c r="C167" s="1108" t="s">
        <v>8537</v>
      </c>
      <c r="D167" s="1116" t="s">
        <v>8605</v>
      </c>
      <c r="E167" s="1116" t="s">
        <v>8606</v>
      </c>
      <c r="F167" s="1117">
        <v>0.1</v>
      </c>
      <c r="G167" s="1109">
        <v>0.02</v>
      </c>
      <c r="H167" s="1118">
        <v>185500.0</v>
      </c>
      <c r="I167" s="1118">
        <f t="shared" si="1"/>
        <v>168640</v>
      </c>
      <c r="J167" s="1118">
        <f t="shared" si="2"/>
        <v>181790</v>
      </c>
      <c r="K167" s="1110"/>
    </row>
    <row r="168" ht="18.75" customHeight="1">
      <c r="A168" s="1110"/>
      <c r="B168" s="1108" t="s">
        <v>8280</v>
      </c>
      <c r="C168" s="1108" t="s">
        <v>8537</v>
      </c>
      <c r="D168" s="1116" t="s">
        <v>8607</v>
      </c>
      <c r="E168" s="1116" t="s">
        <v>8608</v>
      </c>
      <c r="F168" s="1117">
        <v>0.1</v>
      </c>
      <c r="G168" s="1109">
        <v>0.02</v>
      </c>
      <c r="H168" s="1118">
        <v>45700.0</v>
      </c>
      <c r="I168" s="1118">
        <f t="shared" si="1"/>
        <v>41550</v>
      </c>
      <c r="J168" s="1118">
        <f t="shared" si="2"/>
        <v>44790</v>
      </c>
      <c r="K168" s="1110"/>
    </row>
    <row r="169" ht="18.75" customHeight="1">
      <c r="A169" s="1110"/>
      <c r="B169" s="1108" t="s">
        <v>8280</v>
      </c>
      <c r="C169" s="1108" t="s">
        <v>8537</v>
      </c>
      <c r="D169" s="1116" t="s">
        <v>8609</v>
      </c>
      <c r="E169" s="1116" t="s">
        <v>8610</v>
      </c>
      <c r="F169" s="1117">
        <v>0.1</v>
      </c>
      <c r="G169" s="1109">
        <v>0.02</v>
      </c>
      <c r="H169" s="1118">
        <v>45700.0</v>
      </c>
      <c r="I169" s="1118">
        <f t="shared" si="1"/>
        <v>41550</v>
      </c>
      <c r="J169" s="1118">
        <f t="shared" si="2"/>
        <v>44790</v>
      </c>
      <c r="K169" s="1110"/>
    </row>
    <row r="170" ht="18.75" customHeight="1">
      <c r="A170" s="1110"/>
      <c r="B170" s="1108" t="s">
        <v>8280</v>
      </c>
      <c r="C170" s="1108" t="s">
        <v>8537</v>
      </c>
      <c r="D170" s="1116" t="s">
        <v>8611</v>
      </c>
      <c r="E170" s="1116" t="s">
        <v>8612</v>
      </c>
      <c r="F170" s="1117">
        <v>0.1</v>
      </c>
      <c r="G170" s="1109">
        <v>0.02</v>
      </c>
      <c r="H170" s="1118">
        <v>49600.0</v>
      </c>
      <c r="I170" s="1118">
        <f t="shared" si="1"/>
        <v>45090</v>
      </c>
      <c r="J170" s="1118">
        <f t="shared" si="2"/>
        <v>48610</v>
      </c>
      <c r="K170" s="1110"/>
    </row>
    <row r="171" ht="18.75" customHeight="1">
      <c r="A171" s="1110"/>
      <c r="B171" s="1108" t="s">
        <v>8280</v>
      </c>
      <c r="C171" s="1108" t="s">
        <v>8537</v>
      </c>
      <c r="D171" s="1116" t="s">
        <v>8613</v>
      </c>
      <c r="E171" s="1116" t="s">
        <v>8614</v>
      </c>
      <c r="F171" s="1117">
        <v>0.1</v>
      </c>
      <c r="G171" s="1109">
        <v>0.02</v>
      </c>
      <c r="H171" s="1118">
        <v>49600.0</v>
      </c>
      <c r="I171" s="1118">
        <f t="shared" si="1"/>
        <v>45090</v>
      </c>
      <c r="J171" s="1118">
        <f t="shared" si="2"/>
        <v>48610</v>
      </c>
      <c r="K171" s="1110"/>
    </row>
    <row r="172" ht="18.75" customHeight="1">
      <c r="A172" s="1110"/>
      <c r="B172" s="1108" t="s">
        <v>8280</v>
      </c>
      <c r="C172" s="1108" t="s">
        <v>8537</v>
      </c>
      <c r="D172" s="1116" t="s">
        <v>8615</v>
      </c>
      <c r="E172" s="1116" t="s">
        <v>8616</v>
      </c>
      <c r="F172" s="1117">
        <v>0.1</v>
      </c>
      <c r="G172" s="1109">
        <v>0.02</v>
      </c>
      <c r="H172" s="1118">
        <v>49600.0</v>
      </c>
      <c r="I172" s="1118">
        <f t="shared" si="1"/>
        <v>45090</v>
      </c>
      <c r="J172" s="1118">
        <f t="shared" si="2"/>
        <v>48610</v>
      </c>
      <c r="K172" s="1110"/>
    </row>
    <row r="173" ht="18.75" customHeight="1">
      <c r="A173" s="1110"/>
      <c r="B173" s="1108" t="s">
        <v>8280</v>
      </c>
      <c r="C173" s="1108" t="s">
        <v>8537</v>
      </c>
      <c r="D173" s="1116" t="s">
        <v>8617</v>
      </c>
      <c r="E173" s="1116" t="s">
        <v>8618</v>
      </c>
      <c r="F173" s="1117">
        <v>0.1</v>
      </c>
      <c r="G173" s="1109">
        <v>0.02</v>
      </c>
      <c r="H173" s="1118">
        <v>53300.0</v>
      </c>
      <c r="I173" s="1118">
        <f t="shared" si="1"/>
        <v>48450</v>
      </c>
      <c r="J173" s="1118">
        <f t="shared" si="2"/>
        <v>52230</v>
      </c>
      <c r="K173" s="1110"/>
    </row>
    <row r="174" ht="18.75" customHeight="1">
      <c r="A174" s="1110"/>
      <c r="B174" s="1108" t="s">
        <v>8280</v>
      </c>
      <c r="C174" s="1108" t="s">
        <v>8537</v>
      </c>
      <c r="D174" s="1116" t="s">
        <v>8619</v>
      </c>
      <c r="E174" s="1116" t="s">
        <v>8620</v>
      </c>
      <c r="F174" s="1117">
        <v>0.1</v>
      </c>
      <c r="G174" s="1109">
        <v>0.02</v>
      </c>
      <c r="H174" s="1118">
        <v>53300.0</v>
      </c>
      <c r="I174" s="1118">
        <f t="shared" si="1"/>
        <v>48450</v>
      </c>
      <c r="J174" s="1118">
        <f t="shared" si="2"/>
        <v>52230</v>
      </c>
      <c r="K174" s="1110"/>
    </row>
    <row r="175" ht="18.75" customHeight="1">
      <c r="A175" s="1110"/>
      <c r="B175" s="1108" t="s">
        <v>8280</v>
      </c>
      <c r="C175" s="1108" t="s">
        <v>8537</v>
      </c>
      <c r="D175" s="1116" t="s">
        <v>8621</v>
      </c>
      <c r="E175" s="1116" t="s">
        <v>8622</v>
      </c>
      <c r="F175" s="1117">
        <v>0.1</v>
      </c>
      <c r="G175" s="1109">
        <v>0.02</v>
      </c>
      <c r="H175" s="1118">
        <v>53300.0</v>
      </c>
      <c r="I175" s="1118">
        <f t="shared" si="1"/>
        <v>48450</v>
      </c>
      <c r="J175" s="1118">
        <f t="shared" si="2"/>
        <v>52230</v>
      </c>
      <c r="K175" s="1110"/>
    </row>
    <row r="176" ht="18.75" customHeight="1">
      <c r="A176" s="1110"/>
      <c r="B176" s="1108" t="s">
        <v>8280</v>
      </c>
      <c r="C176" s="1108" t="s">
        <v>8537</v>
      </c>
      <c r="D176" s="1116" t="s">
        <v>1140</v>
      </c>
      <c r="E176" s="1116" t="s">
        <v>8623</v>
      </c>
      <c r="F176" s="1117">
        <v>0.1</v>
      </c>
      <c r="G176" s="1109">
        <v>0.02</v>
      </c>
      <c r="H176" s="1118">
        <v>59100.0</v>
      </c>
      <c r="I176" s="1118">
        <f t="shared" si="1"/>
        <v>53730</v>
      </c>
      <c r="J176" s="1118">
        <f t="shared" si="2"/>
        <v>57920</v>
      </c>
      <c r="K176" s="1110"/>
    </row>
    <row r="177" ht="18.75" customHeight="1">
      <c r="A177" s="1110"/>
      <c r="B177" s="1108" t="s">
        <v>8280</v>
      </c>
      <c r="C177" s="1108" t="s">
        <v>8537</v>
      </c>
      <c r="D177" s="1116" t="s">
        <v>8624</v>
      </c>
      <c r="E177" s="1116" t="s">
        <v>8625</v>
      </c>
      <c r="F177" s="1117">
        <v>0.1</v>
      </c>
      <c r="G177" s="1109">
        <v>0.02</v>
      </c>
      <c r="H177" s="1118">
        <v>59100.0</v>
      </c>
      <c r="I177" s="1118">
        <f t="shared" si="1"/>
        <v>53730</v>
      </c>
      <c r="J177" s="1118">
        <f t="shared" si="2"/>
        <v>57920</v>
      </c>
      <c r="K177" s="1110"/>
    </row>
    <row r="178" ht="18.75" customHeight="1">
      <c r="A178" s="1110"/>
      <c r="B178" s="1108" t="s">
        <v>8280</v>
      </c>
      <c r="C178" s="1108" t="s">
        <v>8537</v>
      </c>
      <c r="D178" s="1116" t="s">
        <v>8626</v>
      </c>
      <c r="E178" s="1116" t="s">
        <v>8627</v>
      </c>
      <c r="F178" s="1117">
        <v>0.1</v>
      </c>
      <c r="G178" s="1109">
        <v>0.02</v>
      </c>
      <c r="H178" s="1118">
        <v>59100.0</v>
      </c>
      <c r="I178" s="1118">
        <f t="shared" si="1"/>
        <v>53730</v>
      </c>
      <c r="J178" s="1118">
        <f t="shared" si="2"/>
        <v>57920</v>
      </c>
      <c r="K178" s="1110"/>
    </row>
    <row r="179" ht="18.75" customHeight="1">
      <c r="A179" s="1110"/>
      <c r="B179" s="1108" t="s">
        <v>8280</v>
      </c>
      <c r="C179" s="1108" t="s">
        <v>8537</v>
      </c>
      <c r="D179" s="1116" t="s">
        <v>8628</v>
      </c>
      <c r="E179" s="1116" t="s">
        <v>8629</v>
      </c>
      <c r="F179" s="1117">
        <v>0.1</v>
      </c>
      <c r="G179" s="1109">
        <v>0.02</v>
      </c>
      <c r="H179" s="1118">
        <v>62200.0</v>
      </c>
      <c r="I179" s="1118">
        <f t="shared" si="1"/>
        <v>56550</v>
      </c>
      <c r="J179" s="1118">
        <f t="shared" si="2"/>
        <v>60960</v>
      </c>
      <c r="K179" s="1110"/>
    </row>
    <row r="180" ht="18.75" customHeight="1">
      <c r="A180" s="1110"/>
      <c r="B180" s="1108" t="s">
        <v>8280</v>
      </c>
      <c r="C180" s="1108" t="s">
        <v>8537</v>
      </c>
      <c r="D180" s="1116" t="s">
        <v>8630</v>
      </c>
      <c r="E180" s="1116" t="s">
        <v>8631</v>
      </c>
      <c r="F180" s="1117">
        <v>0.1</v>
      </c>
      <c r="G180" s="1109">
        <v>0.02</v>
      </c>
      <c r="H180" s="1118">
        <v>62200.0</v>
      </c>
      <c r="I180" s="1118">
        <f t="shared" si="1"/>
        <v>56550</v>
      </c>
      <c r="J180" s="1118">
        <f t="shared" si="2"/>
        <v>60960</v>
      </c>
      <c r="K180" s="1110"/>
    </row>
    <row r="181" ht="18.75" customHeight="1">
      <c r="A181" s="1110"/>
      <c r="B181" s="1108" t="s">
        <v>8280</v>
      </c>
      <c r="C181" s="1108" t="s">
        <v>8537</v>
      </c>
      <c r="D181" s="1116" t="s">
        <v>8632</v>
      </c>
      <c r="E181" s="1116" t="s">
        <v>8633</v>
      </c>
      <c r="F181" s="1117">
        <v>0.1</v>
      </c>
      <c r="G181" s="1109">
        <v>0.02</v>
      </c>
      <c r="H181" s="1118">
        <v>69900.0</v>
      </c>
      <c r="I181" s="1118">
        <f t="shared" si="1"/>
        <v>63550</v>
      </c>
      <c r="J181" s="1118">
        <f t="shared" si="2"/>
        <v>68500</v>
      </c>
      <c r="K181" s="1110"/>
    </row>
    <row r="182" ht="18.75" customHeight="1">
      <c r="A182" s="1110"/>
      <c r="B182" s="1108" t="s">
        <v>8280</v>
      </c>
      <c r="C182" s="1108" t="s">
        <v>8537</v>
      </c>
      <c r="D182" s="1116" t="s">
        <v>8634</v>
      </c>
      <c r="E182" s="1116" t="s">
        <v>8635</v>
      </c>
      <c r="F182" s="1117">
        <v>0.1</v>
      </c>
      <c r="G182" s="1109">
        <v>0.02</v>
      </c>
      <c r="H182" s="1118">
        <v>69900.0</v>
      </c>
      <c r="I182" s="1118">
        <f t="shared" si="1"/>
        <v>63550</v>
      </c>
      <c r="J182" s="1118">
        <f t="shared" si="2"/>
        <v>68500</v>
      </c>
      <c r="K182" s="1110"/>
    </row>
    <row r="183" ht="18.75" customHeight="1">
      <c r="A183" s="1110"/>
      <c r="B183" s="1108" t="s">
        <v>8280</v>
      </c>
      <c r="C183" s="1108" t="s">
        <v>8537</v>
      </c>
      <c r="D183" s="1116" t="s">
        <v>8636</v>
      </c>
      <c r="E183" s="1116" t="s">
        <v>8637</v>
      </c>
      <c r="F183" s="1117">
        <v>0.1</v>
      </c>
      <c r="G183" s="1109">
        <v>0.02</v>
      </c>
      <c r="H183" s="1118">
        <v>69900.0</v>
      </c>
      <c r="I183" s="1118">
        <f t="shared" si="1"/>
        <v>63550</v>
      </c>
      <c r="J183" s="1118">
        <f t="shared" si="2"/>
        <v>68500</v>
      </c>
      <c r="K183" s="1110"/>
    </row>
    <row r="184" ht="18.75" customHeight="1">
      <c r="A184" s="1110"/>
      <c r="B184" s="1108" t="s">
        <v>8280</v>
      </c>
      <c r="C184" s="1108" t="s">
        <v>8537</v>
      </c>
      <c r="D184" s="1116" t="s">
        <v>8638</v>
      </c>
      <c r="E184" s="1116" t="s">
        <v>8639</v>
      </c>
      <c r="F184" s="1117">
        <v>0.1</v>
      </c>
      <c r="G184" s="1109">
        <v>0.02</v>
      </c>
      <c r="H184" s="1118">
        <v>80000.0</v>
      </c>
      <c r="I184" s="1118">
        <f t="shared" si="1"/>
        <v>72730</v>
      </c>
      <c r="J184" s="1118">
        <f t="shared" si="2"/>
        <v>78400</v>
      </c>
      <c r="K184" s="1110"/>
    </row>
    <row r="185" ht="18.75" customHeight="1">
      <c r="A185" s="1110"/>
      <c r="B185" s="1108" t="s">
        <v>8280</v>
      </c>
      <c r="C185" s="1108" t="s">
        <v>8537</v>
      </c>
      <c r="D185" s="1116" t="s">
        <v>8640</v>
      </c>
      <c r="E185" s="1116" t="s">
        <v>8641</v>
      </c>
      <c r="F185" s="1117">
        <v>0.1</v>
      </c>
      <c r="G185" s="1109">
        <v>0.02</v>
      </c>
      <c r="H185" s="1118">
        <v>80000.0</v>
      </c>
      <c r="I185" s="1118">
        <f t="shared" si="1"/>
        <v>72730</v>
      </c>
      <c r="J185" s="1118">
        <f t="shared" si="2"/>
        <v>78400</v>
      </c>
      <c r="K185" s="1110"/>
    </row>
    <row r="186" ht="18.75" customHeight="1">
      <c r="A186" s="1110"/>
      <c r="B186" s="1108" t="s">
        <v>8280</v>
      </c>
      <c r="C186" s="1108" t="s">
        <v>8537</v>
      </c>
      <c r="D186" s="1116" t="s">
        <v>8642</v>
      </c>
      <c r="E186" s="1116" t="s">
        <v>8643</v>
      </c>
      <c r="F186" s="1117">
        <v>0.1</v>
      </c>
      <c r="G186" s="1109">
        <v>0.02</v>
      </c>
      <c r="H186" s="1118">
        <v>80000.0</v>
      </c>
      <c r="I186" s="1118">
        <f t="shared" si="1"/>
        <v>72730</v>
      </c>
      <c r="J186" s="1118">
        <f t="shared" si="2"/>
        <v>78400</v>
      </c>
      <c r="K186" s="1110"/>
    </row>
    <row r="187" ht="18.75" customHeight="1">
      <c r="A187" s="1110"/>
      <c r="B187" s="1108" t="s">
        <v>8280</v>
      </c>
      <c r="C187" s="1108" t="s">
        <v>8537</v>
      </c>
      <c r="D187" s="1116" t="s">
        <v>8644</v>
      </c>
      <c r="E187" s="1116" t="s">
        <v>8645</v>
      </c>
      <c r="F187" s="1117">
        <v>0.1</v>
      </c>
      <c r="G187" s="1109">
        <v>0.02</v>
      </c>
      <c r="H187" s="1118">
        <v>88200.0</v>
      </c>
      <c r="I187" s="1118">
        <f t="shared" si="1"/>
        <v>80180</v>
      </c>
      <c r="J187" s="1118">
        <f t="shared" si="2"/>
        <v>86440</v>
      </c>
      <c r="K187" s="1110"/>
    </row>
    <row r="188" ht="18.75" customHeight="1">
      <c r="A188" s="1110"/>
      <c r="B188" s="1108" t="s">
        <v>8280</v>
      </c>
      <c r="C188" s="1108" t="s">
        <v>8537</v>
      </c>
      <c r="D188" s="1116" t="s">
        <v>8646</v>
      </c>
      <c r="E188" s="1116" t="s">
        <v>8647</v>
      </c>
      <c r="F188" s="1117">
        <v>0.1</v>
      </c>
      <c r="G188" s="1109">
        <v>0.02</v>
      </c>
      <c r="H188" s="1118">
        <v>88200.0</v>
      </c>
      <c r="I188" s="1118">
        <f t="shared" si="1"/>
        <v>80180</v>
      </c>
      <c r="J188" s="1118">
        <f t="shared" si="2"/>
        <v>86440</v>
      </c>
      <c r="K188" s="1110"/>
    </row>
    <row r="189" ht="18.75" customHeight="1">
      <c r="A189" s="1110"/>
      <c r="B189" s="1108" t="s">
        <v>8280</v>
      </c>
      <c r="C189" s="1108" t="s">
        <v>8537</v>
      </c>
      <c r="D189" s="1116" t="s">
        <v>8648</v>
      </c>
      <c r="E189" s="1116" t="s">
        <v>8649</v>
      </c>
      <c r="F189" s="1117">
        <v>0.1</v>
      </c>
      <c r="G189" s="1109">
        <v>0.02</v>
      </c>
      <c r="H189" s="1118">
        <v>88200.0</v>
      </c>
      <c r="I189" s="1118">
        <f t="shared" si="1"/>
        <v>80180</v>
      </c>
      <c r="J189" s="1118">
        <f t="shared" si="2"/>
        <v>86440</v>
      </c>
      <c r="K189" s="1110"/>
    </row>
    <row r="190" ht="18.75" customHeight="1">
      <c r="A190" s="1110"/>
      <c r="B190" s="1108" t="s">
        <v>8280</v>
      </c>
      <c r="C190" s="1108" t="s">
        <v>8537</v>
      </c>
      <c r="D190" s="1116" t="s">
        <v>8650</v>
      </c>
      <c r="E190" s="1116" t="s">
        <v>8651</v>
      </c>
      <c r="F190" s="1117">
        <v>0.1</v>
      </c>
      <c r="G190" s="1109">
        <v>0.02</v>
      </c>
      <c r="H190" s="1118">
        <v>100300.0</v>
      </c>
      <c r="I190" s="1118">
        <f t="shared" si="1"/>
        <v>91180</v>
      </c>
      <c r="J190" s="1118">
        <f t="shared" si="2"/>
        <v>98290</v>
      </c>
      <c r="K190" s="1110"/>
    </row>
    <row r="191" ht="18.75" customHeight="1">
      <c r="A191" s="1110"/>
      <c r="B191" s="1108" t="s">
        <v>8280</v>
      </c>
      <c r="C191" s="1108" t="s">
        <v>8537</v>
      </c>
      <c r="D191" s="1116" t="s">
        <v>8652</v>
      </c>
      <c r="E191" s="1116" t="s">
        <v>8653</v>
      </c>
      <c r="F191" s="1117">
        <v>0.1</v>
      </c>
      <c r="G191" s="1109">
        <v>0.02</v>
      </c>
      <c r="H191" s="1118">
        <v>104100.0</v>
      </c>
      <c r="I191" s="1118">
        <f t="shared" si="1"/>
        <v>94640</v>
      </c>
      <c r="J191" s="1118">
        <f t="shared" si="2"/>
        <v>102020</v>
      </c>
      <c r="K191" s="1110"/>
    </row>
    <row r="192" ht="18.75" customHeight="1">
      <c r="A192" s="1110"/>
      <c r="B192" s="1108" t="s">
        <v>8280</v>
      </c>
      <c r="C192" s="1108" t="s">
        <v>8537</v>
      </c>
      <c r="D192" s="1116" t="s">
        <v>8654</v>
      </c>
      <c r="E192" s="1116" t="s">
        <v>8655</v>
      </c>
      <c r="F192" s="1117">
        <v>0.1</v>
      </c>
      <c r="G192" s="1109">
        <v>0.02</v>
      </c>
      <c r="H192" s="1118">
        <v>104100.0</v>
      </c>
      <c r="I192" s="1118">
        <f t="shared" si="1"/>
        <v>94640</v>
      </c>
      <c r="J192" s="1118">
        <f t="shared" si="2"/>
        <v>102020</v>
      </c>
      <c r="K192" s="1110"/>
    </row>
    <row r="193" ht="18.75" customHeight="1">
      <c r="A193" s="1110"/>
      <c r="B193" s="1108" t="s">
        <v>8280</v>
      </c>
      <c r="C193" s="1108" t="s">
        <v>8537</v>
      </c>
      <c r="D193" s="1116" t="s">
        <v>8656</v>
      </c>
      <c r="E193" s="1116" t="s">
        <v>8657</v>
      </c>
      <c r="F193" s="1117">
        <v>0.1</v>
      </c>
      <c r="G193" s="1109">
        <v>0.02</v>
      </c>
      <c r="H193" s="1118">
        <v>104100.0</v>
      </c>
      <c r="I193" s="1118">
        <f t="shared" si="1"/>
        <v>94640</v>
      </c>
      <c r="J193" s="1118">
        <f t="shared" si="2"/>
        <v>102020</v>
      </c>
      <c r="K193" s="1110"/>
    </row>
    <row r="194" ht="18.75" customHeight="1">
      <c r="A194" s="1110"/>
      <c r="B194" s="1108" t="s">
        <v>8280</v>
      </c>
      <c r="C194" s="1108" t="s">
        <v>8537</v>
      </c>
      <c r="D194" s="1116" t="s">
        <v>8658</v>
      </c>
      <c r="E194" s="1116" t="s">
        <v>8659</v>
      </c>
      <c r="F194" s="1117">
        <v>0.1</v>
      </c>
      <c r="G194" s="1109">
        <v>0.02</v>
      </c>
      <c r="H194" s="1118">
        <v>116100.0</v>
      </c>
      <c r="I194" s="1118">
        <f t="shared" si="1"/>
        <v>105550</v>
      </c>
      <c r="J194" s="1118">
        <f t="shared" si="2"/>
        <v>113780</v>
      </c>
      <c r="K194" s="1110"/>
    </row>
    <row r="195" ht="18.75" customHeight="1">
      <c r="A195" s="1110"/>
      <c r="B195" s="1108" t="s">
        <v>8280</v>
      </c>
      <c r="C195" s="1108" t="s">
        <v>8537</v>
      </c>
      <c r="D195" s="1116" t="s">
        <v>8660</v>
      </c>
      <c r="E195" s="1116" t="s">
        <v>8661</v>
      </c>
      <c r="F195" s="1117">
        <v>0.1</v>
      </c>
      <c r="G195" s="1109">
        <v>0.02</v>
      </c>
      <c r="H195" s="1118">
        <v>120700.0</v>
      </c>
      <c r="I195" s="1118">
        <f t="shared" si="1"/>
        <v>109730</v>
      </c>
      <c r="J195" s="1118">
        <f t="shared" si="2"/>
        <v>118290</v>
      </c>
      <c r="K195" s="1110"/>
    </row>
    <row r="196" ht="18.75" customHeight="1">
      <c r="A196" s="1110"/>
      <c r="B196" s="1108" t="s">
        <v>8280</v>
      </c>
      <c r="C196" s="1108" t="s">
        <v>8537</v>
      </c>
      <c r="D196" s="1116" t="s">
        <v>8662</v>
      </c>
      <c r="E196" s="1116" t="s">
        <v>8663</v>
      </c>
      <c r="F196" s="1117">
        <v>0.1</v>
      </c>
      <c r="G196" s="1109">
        <v>0.02</v>
      </c>
      <c r="H196" s="1118">
        <v>120700.0</v>
      </c>
      <c r="I196" s="1118">
        <f t="shared" si="1"/>
        <v>109730</v>
      </c>
      <c r="J196" s="1118">
        <f t="shared" si="2"/>
        <v>118290</v>
      </c>
      <c r="K196" s="1110"/>
    </row>
    <row r="197" ht="18.75" customHeight="1">
      <c r="A197" s="1110"/>
      <c r="B197" s="1108" t="s">
        <v>8280</v>
      </c>
      <c r="C197" s="1108" t="s">
        <v>8537</v>
      </c>
      <c r="D197" s="1116" t="s">
        <v>8664</v>
      </c>
      <c r="E197" s="1116" t="s">
        <v>8665</v>
      </c>
      <c r="F197" s="1117">
        <v>0.1</v>
      </c>
      <c r="G197" s="1109">
        <v>0.02</v>
      </c>
      <c r="H197" s="1118">
        <v>120700.0</v>
      </c>
      <c r="I197" s="1118">
        <f t="shared" si="1"/>
        <v>109730</v>
      </c>
      <c r="J197" s="1118">
        <f t="shared" si="2"/>
        <v>118290</v>
      </c>
      <c r="K197" s="1110"/>
    </row>
    <row r="198" ht="18.75" customHeight="1">
      <c r="A198" s="1110"/>
      <c r="B198" s="1108" t="s">
        <v>8280</v>
      </c>
      <c r="C198" s="1108" t="s">
        <v>8537</v>
      </c>
      <c r="D198" s="1116" t="s">
        <v>8666</v>
      </c>
      <c r="E198" s="1116" t="s">
        <v>8667</v>
      </c>
      <c r="F198" s="1117">
        <v>0.1</v>
      </c>
      <c r="G198" s="1109">
        <v>0.02</v>
      </c>
      <c r="H198" s="1118">
        <v>139000.0</v>
      </c>
      <c r="I198" s="1118">
        <f t="shared" si="1"/>
        <v>126360</v>
      </c>
      <c r="J198" s="1118">
        <f t="shared" si="2"/>
        <v>136220</v>
      </c>
      <c r="K198" s="1110"/>
    </row>
    <row r="199" ht="18.75" customHeight="1">
      <c r="A199" s="1110"/>
      <c r="B199" s="1108" t="s">
        <v>8280</v>
      </c>
      <c r="C199" s="1108" t="s">
        <v>8537</v>
      </c>
      <c r="D199" s="1116" t="s">
        <v>8668</v>
      </c>
      <c r="E199" s="1116" t="s">
        <v>8669</v>
      </c>
      <c r="F199" s="1117">
        <v>0.1</v>
      </c>
      <c r="G199" s="1109">
        <v>0.02</v>
      </c>
      <c r="H199" s="1118">
        <v>139000.0</v>
      </c>
      <c r="I199" s="1118">
        <f t="shared" si="1"/>
        <v>126360</v>
      </c>
      <c r="J199" s="1118">
        <f t="shared" si="2"/>
        <v>136220</v>
      </c>
      <c r="K199" s="1110"/>
    </row>
    <row r="200" ht="18.75" customHeight="1">
      <c r="A200" s="1110"/>
      <c r="B200" s="1108" t="s">
        <v>8280</v>
      </c>
      <c r="C200" s="1108" t="s">
        <v>8537</v>
      </c>
      <c r="D200" s="1116" t="s">
        <v>8670</v>
      </c>
      <c r="E200" s="1116" t="s">
        <v>8671</v>
      </c>
      <c r="F200" s="1117">
        <v>0.1</v>
      </c>
      <c r="G200" s="1109">
        <v>0.02</v>
      </c>
      <c r="H200" s="1118">
        <v>139000.0</v>
      </c>
      <c r="I200" s="1118">
        <f t="shared" si="1"/>
        <v>126360</v>
      </c>
      <c r="J200" s="1118">
        <f t="shared" si="2"/>
        <v>136220</v>
      </c>
      <c r="K200" s="1110"/>
    </row>
    <row r="201" ht="18.75" customHeight="1">
      <c r="A201" s="1110"/>
      <c r="B201" s="1108" t="s">
        <v>8280</v>
      </c>
      <c r="C201" s="1108" t="s">
        <v>8537</v>
      </c>
      <c r="D201" s="1116" t="s">
        <v>8672</v>
      </c>
      <c r="E201" s="1116" t="s">
        <v>8673</v>
      </c>
      <c r="F201" s="1117">
        <v>0.1</v>
      </c>
      <c r="G201" s="1109">
        <v>0.02</v>
      </c>
      <c r="H201" s="1118">
        <v>170800.0</v>
      </c>
      <c r="I201" s="1118">
        <f t="shared" si="1"/>
        <v>155270</v>
      </c>
      <c r="J201" s="1118">
        <f t="shared" si="2"/>
        <v>167380</v>
      </c>
      <c r="K201" s="1110"/>
    </row>
    <row r="202" ht="18.75" customHeight="1">
      <c r="A202" s="1110"/>
      <c r="B202" s="1108" t="s">
        <v>8280</v>
      </c>
      <c r="C202" s="1108" t="s">
        <v>8537</v>
      </c>
      <c r="D202" s="1116" t="s">
        <v>8674</v>
      </c>
      <c r="E202" s="1116" t="s">
        <v>8675</v>
      </c>
      <c r="F202" s="1117">
        <v>0.1</v>
      </c>
      <c r="G202" s="1109">
        <v>0.02</v>
      </c>
      <c r="H202" s="1118">
        <v>170800.0</v>
      </c>
      <c r="I202" s="1118">
        <f t="shared" si="1"/>
        <v>155270</v>
      </c>
      <c r="J202" s="1118">
        <f t="shared" si="2"/>
        <v>167380</v>
      </c>
      <c r="K202" s="1110"/>
    </row>
    <row r="203" ht="18.75" customHeight="1">
      <c r="A203" s="1110"/>
      <c r="B203" s="1108" t="s">
        <v>8280</v>
      </c>
      <c r="C203" s="1108" t="s">
        <v>8537</v>
      </c>
      <c r="D203" s="1116" t="s">
        <v>8676</v>
      </c>
      <c r="E203" s="1116" t="s">
        <v>8677</v>
      </c>
      <c r="F203" s="1117">
        <v>0.1</v>
      </c>
      <c r="G203" s="1109">
        <v>0.02</v>
      </c>
      <c r="H203" s="1118">
        <v>170800.0</v>
      </c>
      <c r="I203" s="1118">
        <f t="shared" si="1"/>
        <v>155270</v>
      </c>
      <c r="J203" s="1118">
        <f t="shared" si="2"/>
        <v>167380</v>
      </c>
      <c r="K203" s="1110"/>
    </row>
    <row r="204" ht="18.75" customHeight="1">
      <c r="A204" s="1110"/>
      <c r="B204" s="1108" t="s">
        <v>8280</v>
      </c>
      <c r="C204" s="1108" t="s">
        <v>8537</v>
      </c>
      <c r="D204" s="1116" t="s">
        <v>8678</v>
      </c>
      <c r="E204" s="1116" t="s">
        <v>8679</v>
      </c>
      <c r="F204" s="1117">
        <v>0.1</v>
      </c>
      <c r="G204" s="1109">
        <v>0.02</v>
      </c>
      <c r="H204" s="1116"/>
      <c r="I204" s="1118" t="str">
        <f t="shared" si="1"/>
        <v/>
      </c>
      <c r="J204" s="1118" t="str">
        <f t="shared" si="2"/>
        <v/>
      </c>
      <c r="K204" s="1110"/>
    </row>
    <row r="205" ht="18.75" customHeight="1">
      <c r="A205" s="1110"/>
      <c r="B205" s="1108" t="s">
        <v>8280</v>
      </c>
      <c r="C205" s="1108" t="s">
        <v>8537</v>
      </c>
      <c r="D205" s="1116" t="s">
        <v>8680</v>
      </c>
      <c r="E205" s="1116" t="s">
        <v>8681</v>
      </c>
      <c r="F205" s="1117">
        <v>0.1</v>
      </c>
      <c r="G205" s="1109">
        <v>0.02</v>
      </c>
      <c r="H205" s="1116"/>
      <c r="I205" s="1118" t="str">
        <f t="shared" si="1"/>
        <v/>
      </c>
      <c r="J205" s="1118" t="str">
        <f t="shared" si="2"/>
        <v/>
      </c>
      <c r="K205" s="1110"/>
    </row>
    <row r="206" ht="18.75" customHeight="1">
      <c r="A206" s="1110"/>
      <c r="B206" s="1108" t="s">
        <v>8280</v>
      </c>
      <c r="C206" s="1108" t="s">
        <v>8537</v>
      </c>
      <c r="D206" s="1116" t="s">
        <v>8682</v>
      </c>
      <c r="E206" s="1116" t="s">
        <v>8683</v>
      </c>
      <c r="F206" s="1117">
        <v>0.1</v>
      </c>
      <c r="G206" s="1109">
        <v>0.02</v>
      </c>
      <c r="H206" s="1118">
        <v>205000.0</v>
      </c>
      <c r="I206" s="1118">
        <f t="shared" si="1"/>
        <v>186360</v>
      </c>
      <c r="J206" s="1118">
        <f t="shared" si="2"/>
        <v>200900</v>
      </c>
      <c r="K206" s="1110"/>
    </row>
    <row r="207" ht="18.75" customHeight="1">
      <c r="A207" s="1110"/>
      <c r="B207" s="1108" t="s">
        <v>8280</v>
      </c>
      <c r="C207" s="1108" t="s">
        <v>8537</v>
      </c>
      <c r="D207" s="1116" t="s">
        <v>8684</v>
      </c>
      <c r="E207" s="1116" t="s">
        <v>8685</v>
      </c>
      <c r="F207" s="1117">
        <v>0.1</v>
      </c>
      <c r="G207" s="1109">
        <v>0.02</v>
      </c>
      <c r="H207" s="1118">
        <v>205000.0</v>
      </c>
      <c r="I207" s="1118">
        <f t="shared" si="1"/>
        <v>186360</v>
      </c>
      <c r="J207" s="1118">
        <f t="shared" si="2"/>
        <v>200900</v>
      </c>
      <c r="K207" s="1110"/>
    </row>
    <row r="208" ht="18.75" customHeight="1">
      <c r="A208" s="1110"/>
      <c r="B208" s="1108" t="s">
        <v>8280</v>
      </c>
      <c r="C208" s="1108" t="s">
        <v>8537</v>
      </c>
      <c r="D208" s="1116" t="s">
        <v>8686</v>
      </c>
      <c r="E208" s="1116" t="s">
        <v>8687</v>
      </c>
      <c r="F208" s="1117">
        <v>0.1</v>
      </c>
      <c r="G208" s="1109">
        <v>0.02</v>
      </c>
      <c r="H208" s="1118">
        <v>205000.0</v>
      </c>
      <c r="I208" s="1118">
        <f t="shared" si="1"/>
        <v>186360</v>
      </c>
      <c r="J208" s="1118">
        <f t="shared" si="2"/>
        <v>200900</v>
      </c>
      <c r="K208" s="1110"/>
    </row>
    <row r="209" ht="18.75" customHeight="1">
      <c r="A209" s="1110"/>
      <c r="B209" s="1108" t="s">
        <v>8280</v>
      </c>
      <c r="C209" s="1108" t="s">
        <v>8537</v>
      </c>
      <c r="D209" s="1116" t="s">
        <v>8688</v>
      </c>
      <c r="E209" s="1116" t="s">
        <v>8689</v>
      </c>
      <c r="F209" s="1117">
        <v>0.1</v>
      </c>
      <c r="G209" s="1109">
        <v>0.02</v>
      </c>
      <c r="H209" s="1118">
        <v>205000.0</v>
      </c>
      <c r="I209" s="1118">
        <f t="shared" si="1"/>
        <v>186360</v>
      </c>
      <c r="J209" s="1118">
        <f t="shared" si="2"/>
        <v>200900</v>
      </c>
      <c r="K209" s="1110"/>
    </row>
    <row r="210" ht="18.75" customHeight="1">
      <c r="A210" s="1110"/>
      <c r="B210" s="1108" t="s">
        <v>8280</v>
      </c>
      <c r="C210" s="1108" t="s">
        <v>8537</v>
      </c>
      <c r="D210" s="1116" t="s">
        <v>8690</v>
      </c>
      <c r="E210" s="1116" t="s">
        <v>8691</v>
      </c>
      <c r="F210" s="1117">
        <v>0.1</v>
      </c>
      <c r="G210" s="1109">
        <v>0.02</v>
      </c>
      <c r="H210" s="1118">
        <v>238000.0</v>
      </c>
      <c r="I210" s="1118">
        <f t="shared" si="1"/>
        <v>216360</v>
      </c>
      <c r="J210" s="1118">
        <f t="shared" si="2"/>
        <v>233240</v>
      </c>
      <c r="K210" s="1110"/>
    </row>
    <row r="211" ht="18.75" customHeight="1">
      <c r="A211" s="1110"/>
      <c r="B211" s="1108" t="s">
        <v>8280</v>
      </c>
      <c r="C211" s="1108" t="s">
        <v>8537</v>
      </c>
      <c r="D211" s="1116" t="s">
        <v>8692</v>
      </c>
      <c r="E211" s="1116" t="s">
        <v>8693</v>
      </c>
      <c r="F211" s="1117">
        <v>0.1</v>
      </c>
      <c r="G211" s="1109">
        <v>0.02</v>
      </c>
      <c r="H211" s="1118">
        <v>238000.0</v>
      </c>
      <c r="I211" s="1118">
        <f t="shared" si="1"/>
        <v>216360</v>
      </c>
      <c r="J211" s="1118">
        <f t="shared" si="2"/>
        <v>233240</v>
      </c>
      <c r="K211" s="1110"/>
    </row>
    <row r="212" ht="18.75" customHeight="1">
      <c r="A212" s="1110"/>
      <c r="B212" s="1108" t="s">
        <v>8280</v>
      </c>
      <c r="C212" s="1108" t="s">
        <v>8537</v>
      </c>
      <c r="D212" s="1116" t="s">
        <v>8694</v>
      </c>
      <c r="E212" s="1116" t="s">
        <v>8695</v>
      </c>
      <c r="F212" s="1117">
        <v>0.1</v>
      </c>
      <c r="G212" s="1109">
        <v>0.02</v>
      </c>
      <c r="H212" s="1118">
        <v>238000.0</v>
      </c>
      <c r="I212" s="1118">
        <f t="shared" si="1"/>
        <v>216360</v>
      </c>
      <c r="J212" s="1118">
        <f t="shared" si="2"/>
        <v>233240</v>
      </c>
      <c r="K212" s="1110"/>
    </row>
    <row r="213" ht="18.75" customHeight="1">
      <c r="A213" s="1110"/>
      <c r="B213" s="1108" t="s">
        <v>8280</v>
      </c>
      <c r="C213" s="1108" t="s">
        <v>8537</v>
      </c>
      <c r="D213" s="1116" t="s">
        <v>8696</v>
      </c>
      <c r="E213" s="1116" t="s">
        <v>8697</v>
      </c>
      <c r="F213" s="1117">
        <v>0.1</v>
      </c>
      <c r="G213" s="1109">
        <v>0.02</v>
      </c>
      <c r="H213" s="1116"/>
      <c r="I213" s="1118" t="str">
        <f t="shared" si="1"/>
        <v/>
      </c>
      <c r="J213" s="1118" t="str">
        <f t="shared" si="2"/>
        <v/>
      </c>
      <c r="K213" s="1110"/>
    </row>
    <row r="214" ht="18.75" customHeight="1">
      <c r="A214" s="1110"/>
      <c r="B214" s="1108" t="s">
        <v>8280</v>
      </c>
      <c r="C214" s="1108" t="s">
        <v>8537</v>
      </c>
      <c r="D214" s="1116" t="s">
        <v>8698</v>
      </c>
      <c r="E214" s="1116" t="s">
        <v>8699</v>
      </c>
      <c r="F214" s="1117">
        <v>0.1</v>
      </c>
      <c r="G214" s="1109">
        <v>0.02</v>
      </c>
      <c r="H214" s="1116"/>
      <c r="I214" s="1118" t="str">
        <f t="shared" si="1"/>
        <v/>
      </c>
      <c r="J214" s="1118" t="str">
        <f t="shared" si="2"/>
        <v/>
      </c>
      <c r="K214" s="1110"/>
    </row>
    <row r="215" ht="18.75" customHeight="1">
      <c r="A215" s="1110"/>
      <c r="B215" s="1108" t="s">
        <v>8280</v>
      </c>
      <c r="C215" s="1108" t="s">
        <v>8537</v>
      </c>
      <c r="D215" s="1116" t="s">
        <v>8700</v>
      </c>
      <c r="E215" s="1116" t="s">
        <v>8701</v>
      </c>
      <c r="F215" s="1117">
        <v>0.1</v>
      </c>
      <c r="G215" s="1109">
        <v>0.02</v>
      </c>
      <c r="H215" s="1116"/>
      <c r="I215" s="1118" t="str">
        <f t="shared" si="1"/>
        <v/>
      </c>
      <c r="J215" s="1118" t="str">
        <f t="shared" si="2"/>
        <v/>
      </c>
      <c r="K215" s="1110"/>
    </row>
    <row r="216" ht="18.75" customHeight="1">
      <c r="A216" s="1110"/>
      <c r="B216" s="1108" t="s">
        <v>8280</v>
      </c>
      <c r="C216" s="1108" t="s">
        <v>8537</v>
      </c>
      <c r="D216" s="1116" t="s">
        <v>8702</v>
      </c>
      <c r="E216" s="1116" t="s">
        <v>8703</v>
      </c>
      <c r="F216" s="1117">
        <v>0.1</v>
      </c>
      <c r="G216" s="1109">
        <v>0.02</v>
      </c>
      <c r="H216" s="1116"/>
      <c r="I216" s="1118" t="str">
        <f t="shared" si="1"/>
        <v/>
      </c>
      <c r="J216" s="1118" t="str">
        <f t="shared" si="2"/>
        <v/>
      </c>
      <c r="K216" s="1110"/>
    </row>
    <row r="217" ht="18.75" customHeight="1">
      <c r="A217" s="1110"/>
      <c r="B217" s="1108" t="s">
        <v>8280</v>
      </c>
      <c r="C217" s="1108" t="s">
        <v>8537</v>
      </c>
      <c r="D217" s="1116" t="s">
        <v>8704</v>
      </c>
      <c r="E217" s="1116" t="s">
        <v>8705</v>
      </c>
      <c r="F217" s="1117">
        <v>0.1</v>
      </c>
      <c r="G217" s="1109">
        <v>0.02</v>
      </c>
      <c r="H217" s="1116"/>
      <c r="I217" s="1118" t="str">
        <f t="shared" si="1"/>
        <v/>
      </c>
      <c r="J217" s="1118" t="str">
        <f t="shared" si="2"/>
        <v/>
      </c>
      <c r="K217" s="1110"/>
    </row>
    <row r="218" ht="18.75" customHeight="1">
      <c r="A218" s="1110"/>
      <c r="B218" s="1108" t="s">
        <v>8280</v>
      </c>
      <c r="C218" s="1108" t="s">
        <v>8537</v>
      </c>
      <c r="D218" s="1116" t="s">
        <v>8706</v>
      </c>
      <c r="E218" s="1116" t="s">
        <v>8707</v>
      </c>
      <c r="F218" s="1117">
        <v>0.1</v>
      </c>
      <c r="G218" s="1109">
        <v>0.02</v>
      </c>
      <c r="H218" s="1118">
        <v>301600.0</v>
      </c>
      <c r="I218" s="1118">
        <f t="shared" si="1"/>
        <v>274180</v>
      </c>
      <c r="J218" s="1118">
        <f t="shared" si="2"/>
        <v>295570</v>
      </c>
      <c r="K218" s="1110"/>
    </row>
    <row r="219" ht="18.75" customHeight="1">
      <c r="A219" s="1110"/>
      <c r="B219" s="1108" t="s">
        <v>8280</v>
      </c>
      <c r="C219" s="1108" t="s">
        <v>8537</v>
      </c>
      <c r="D219" s="1116" t="s">
        <v>8708</v>
      </c>
      <c r="E219" s="1116" t="s">
        <v>8709</v>
      </c>
      <c r="F219" s="1117">
        <v>0.1</v>
      </c>
      <c r="G219" s="1109">
        <v>0.02</v>
      </c>
      <c r="H219" s="1118">
        <v>78500.0</v>
      </c>
      <c r="I219" s="1118">
        <f t="shared" si="1"/>
        <v>71360</v>
      </c>
      <c r="J219" s="1118">
        <f t="shared" si="2"/>
        <v>76930</v>
      </c>
      <c r="K219" s="1110"/>
    </row>
    <row r="220" ht="18.75" customHeight="1">
      <c r="A220" s="1110"/>
      <c r="B220" s="1108" t="s">
        <v>8280</v>
      </c>
      <c r="C220" s="1108" t="s">
        <v>8537</v>
      </c>
      <c r="D220" s="1116" t="s">
        <v>8710</v>
      </c>
      <c r="E220" s="1116" t="s">
        <v>8711</v>
      </c>
      <c r="F220" s="1117">
        <v>0.1</v>
      </c>
      <c r="G220" s="1109">
        <v>0.02</v>
      </c>
      <c r="H220" s="1116"/>
      <c r="I220" s="1118" t="str">
        <f t="shared" si="1"/>
        <v/>
      </c>
      <c r="J220" s="1118" t="str">
        <f t="shared" si="2"/>
        <v/>
      </c>
      <c r="K220" s="1110"/>
    </row>
    <row r="221" ht="18.75" customHeight="1">
      <c r="A221" s="1110"/>
      <c r="B221" s="1108" t="s">
        <v>8280</v>
      </c>
      <c r="C221" s="1108" t="s">
        <v>8537</v>
      </c>
      <c r="D221" s="1116" t="s">
        <v>8712</v>
      </c>
      <c r="E221" s="1116" t="s">
        <v>8713</v>
      </c>
      <c r="F221" s="1117">
        <v>0.1</v>
      </c>
      <c r="G221" s="1109">
        <v>0.02</v>
      </c>
      <c r="H221" s="1118">
        <v>223600.0</v>
      </c>
      <c r="I221" s="1118">
        <f t="shared" si="1"/>
        <v>203270</v>
      </c>
      <c r="J221" s="1118">
        <f t="shared" si="2"/>
        <v>219130</v>
      </c>
      <c r="K221" s="1110"/>
    </row>
    <row r="222" ht="18.75" customHeight="1">
      <c r="A222" s="1110"/>
      <c r="B222" s="1108" t="s">
        <v>8280</v>
      </c>
      <c r="C222" s="1108" t="s">
        <v>8537</v>
      </c>
      <c r="D222" s="1116" t="s">
        <v>8714</v>
      </c>
      <c r="E222" s="1116" t="s">
        <v>8715</v>
      </c>
      <c r="F222" s="1117">
        <v>0.1</v>
      </c>
      <c r="G222" s="1109">
        <v>0.02</v>
      </c>
      <c r="H222" s="1118">
        <v>115900.0</v>
      </c>
      <c r="I222" s="1118">
        <f t="shared" si="1"/>
        <v>105360</v>
      </c>
      <c r="J222" s="1118">
        <f t="shared" si="2"/>
        <v>113580</v>
      </c>
      <c r="K222" s="1110"/>
    </row>
    <row r="223" ht="18.75" customHeight="1">
      <c r="A223" s="1110"/>
      <c r="B223" s="1108" t="s">
        <v>8280</v>
      </c>
      <c r="C223" s="1108" t="s">
        <v>8537</v>
      </c>
      <c r="D223" s="1116" t="s">
        <v>8716</v>
      </c>
      <c r="E223" s="1116" t="s">
        <v>8717</v>
      </c>
      <c r="F223" s="1117">
        <v>0.1</v>
      </c>
      <c r="G223" s="1109">
        <v>0.02</v>
      </c>
      <c r="H223" s="1118">
        <v>142200.0</v>
      </c>
      <c r="I223" s="1118">
        <f t="shared" si="1"/>
        <v>129270</v>
      </c>
      <c r="J223" s="1118">
        <f t="shared" si="2"/>
        <v>139360</v>
      </c>
      <c r="K223" s="1110"/>
    </row>
    <row r="224" ht="18.75" customHeight="1">
      <c r="A224" s="1110"/>
      <c r="B224" s="1108" t="s">
        <v>8280</v>
      </c>
      <c r="C224" s="1108" t="s">
        <v>8537</v>
      </c>
      <c r="D224" s="1116" t="s">
        <v>8718</v>
      </c>
      <c r="E224" s="1116" t="s">
        <v>8719</v>
      </c>
      <c r="F224" s="1117">
        <v>0.1</v>
      </c>
      <c r="G224" s="1109">
        <v>0.02</v>
      </c>
      <c r="H224" s="1118">
        <v>171700.0</v>
      </c>
      <c r="I224" s="1118">
        <f t="shared" si="1"/>
        <v>156090</v>
      </c>
      <c r="J224" s="1118">
        <f t="shared" si="2"/>
        <v>168270</v>
      </c>
      <c r="K224" s="1110"/>
    </row>
    <row r="225" ht="18.75" customHeight="1">
      <c r="A225" s="1110"/>
      <c r="B225" s="1108" t="s">
        <v>8280</v>
      </c>
      <c r="C225" s="1108" t="s">
        <v>8537</v>
      </c>
      <c r="D225" s="1116" t="s">
        <v>8720</v>
      </c>
      <c r="E225" s="1116" t="s">
        <v>8721</v>
      </c>
      <c r="F225" s="1117">
        <v>0.1</v>
      </c>
      <c r="G225" s="1109">
        <v>0.02</v>
      </c>
      <c r="H225" s="1118">
        <v>197100.0</v>
      </c>
      <c r="I225" s="1118">
        <f t="shared" si="1"/>
        <v>179180</v>
      </c>
      <c r="J225" s="1118">
        <f t="shared" si="2"/>
        <v>193160</v>
      </c>
      <c r="K225" s="1110"/>
    </row>
    <row r="226" ht="18.75" customHeight="1">
      <c r="A226" s="1110"/>
      <c r="B226" s="1108" t="s">
        <v>8280</v>
      </c>
      <c r="C226" s="1108" t="s">
        <v>8537</v>
      </c>
      <c r="D226" s="1116" t="s">
        <v>8722</v>
      </c>
      <c r="E226" s="1116" t="s">
        <v>8723</v>
      </c>
      <c r="F226" s="1117">
        <v>0.1</v>
      </c>
      <c r="G226" s="1109">
        <v>0.02</v>
      </c>
      <c r="H226" s="1118">
        <v>253000.0</v>
      </c>
      <c r="I226" s="1118">
        <f t="shared" si="1"/>
        <v>230000</v>
      </c>
      <c r="J226" s="1118">
        <f t="shared" si="2"/>
        <v>247940</v>
      </c>
      <c r="K226" s="1110"/>
    </row>
    <row r="227" ht="18.75" customHeight="1">
      <c r="A227" s="1110"/>
      <c r="B227" s="1108" t="s">
        <v>8280</v>
      </c>
      <c r="C227" s="1108" t="s">
        <v>8537</v>
      </c>
      <c r="D227" s="1116" t="s">
        <v>8724</v>
      </c>
      <c r="E227" s="1116" t="s">
        <v>8725</v>
      </c>
      <c r="F227" s="1117">
        <v>0.1</v>
      </c>
      <c r="G227" s="1109">
        <v>0.02</v>
      </c>
      <c r="H227" s="1118">
        <v>303800.0</v>
      </c>
      <c r="I227" s="1118">
        <f t="shared" si="1"/>
        <v>276180</v>
      </c>
      <c r="J227" s="1118">
        <f t="shared" si="2"/>
        <v>297720</v>
      </c>
      <c r="K227" s="1110"/>
    </row>
    <row r="228" ht="18.75" customHeight="1">
      <c r="A228" s="1110"/>
      <c r="B228" s="1108" t="s">
        <v>8280</v>
      </c>
      <c r="C228" s="1108" t="s">
        <v>8537</v>
      </c>
      <c r="D228" s="1116" t="s">
        <v>8726</v>
      </c>
      <c r="E228" s="1116" t="s">
        <v>8727</v>
      </c>
      <c r="F228" s="1117">
        <v>0.1</v>
      </c>
      <c r="G228" s="1109">
        <v>0.02</v>
      </c>
      <c r="H228" s="1118">
        <v>358600.0</v>
      </c>
      <c r="I228" s="1118">
        <f t="shared" si="1"/>
        <v>326000</v>
      </c>
      <c r="J228" s="1118">
        <f t="shared" si="2"/>
        <v>351430</v>
      </c>
      <c r="K228" s="1110"/>
    </row>
    <row r="229" ht="18.75" customHeight="1">
      <c r="A229" s="1110"/>
      <c r="B229" s="1108" t="s">
        <v>8280</v>
      </c>
      <c r="C229" s="1108" t="s">
        <v>8537</v>
      </c>
      <c r="D229" s="1116" t="s">
        <v>8728</v>
      </c>
      <c r="E229" s="1116" t="s">
        <v>8729</v>
      </c>
      <c r="F229" s="1117">
        <v>0.1</v>
      </c>
      <c r="G229" s="1109">
        <v>0.02</v>
      </c>
      <c r="H229" s="1118">
        <v>411500.0</v>
      </c>
      <c r="I229" s="1118">
        <f t="shared" si="1"/>
        <v>374090</v>
      </c>
      <c r="J229" s="1118">
        <f t="shared" si="2"/>
        <v>403270</v>
      </c>
      <c r="K229" s="1110"/>
    </row>
    <row r="230" ht="18.75" customHeight="1">
      <c r="A230" s="1110"/>
      <c r="B230" s="1108" t="s">
        <v>8280</v>
      </c>
      <c r="C230" s="1108" t="s">
        <v>8537</v>
      </c>
      <c r="D230" s="1116" t="s">
        <v>8730</v>
      </c>
      <c r="E230" s="1116" t="s">
        <v>8731</v>
      </c>
      <c r="F230" s="1117">
        <v>0.1</v>
      </c>
      <c r="G230" s="1109">
        <v>0.02</v>
      </c>
      <c r="H230" s="1118">
        <v>513000.0</v>
      </c>
      <c r="I230" s="1118">
        <f t="shared" si="1"/>
        <v>466360</v>
      </c>
      <c r="J230" s="1118">
        <f t="shared" si="2"/>
        <v>502740</v>
      </c>
      <c r="K230" s="1110"/>
    </row>
    <row r="231" ht="18.75" customHeight="1">
      <c r="A231" s="1110"/>
      <c r="B231" s="1108" t="s">
        <v>8280</v>
      </c>
      <c r="C231" s="1108" t="s">
        <v>8732</v>
      </c>
      <c r="D231" s="1116" t="s">
        <v>8733</v>
      </c>
      <c r="E231" s="1116" t="s">
        <v>8734</v>
      </c>
      <c r="F231" s="1117">
        <v>0.1</v>
      </c>
      <c r="G231" s="1109">
        <v>0.02</v>
      </c>
      <c r="H231" s="1116"/>
      <c r="I231" s="1118" t="str">
        <f t="shared" si="1"/>
        <v/>
      </c>
      <c r="J231" s="1118" t="str">
        <f t="shared" si="2"/>
        <v/>
      </c>
      <c r="K231" s="1110"/>
    </row>
    <row r="232" ht="18.75" customHeight="1">
      <c r="A232" s="1110"/>
      <c r="B232" s="1108" t="s">
        <v>8280</v>
      </c>
      <c r="C232" s="1108" t="s">
        <v>8732</v>
      </c>
      <c r="D232" s="1116" t="s">
        <v>8735</v>
      </c>
      <c r="E232" s="1116" t="s">
        <v>8736</v>
      </c>
      <c r="F232" s="1117">
        <v>0.1</v>
      </c>
      <c r="G232" s="1109">
        <v>0.02</v>
      </c>
      <c r="H232" s="1116"/>
      <c r="I232" s="1118" t="str">
        <f t="shared" si="1"/>
        <v/>
      </c>
      <c r="J232" s="1118" t="str">
        <f t="shared" si="2"/>
        <v/>
      </c>
      <c r="K232" s="1110"/>
    </row>
    <row r="233" ht="18.75" customHeight="1">
      <c r="A233" s="1110"/>
      <c r="B233" s="1108" t="s">
        <v>8280</v>
      </c>
      <c r="C233" s="1108" t="s">
        <v>8732</v>
      </c>
      <c r="D233" s="1116" t="s">
        <v>8737</v>
      </c>
      <c r="E233" s="1116" t="s">
        <v>8738</v>
      </c>
      <c r="F233" s="1117">
        <v>0.1</v>
      </c>
      <c r="G233" s="1109">
        <v>0.02</v>
      </c>
      <c r="H233" s="1116"/>
      <c r="I233" s="1118" t="str">
        <f t="shared" si="1"/>
        <v/>
      </c>
      <c r="J233" s="1118" t="str">
        <f t="shared" si="2"/>
        <v/>
      </c>
      <c r="K233" s="1110"/>
    </row>
    <row r="234" ht="18.75" customHeight="1">
      <c r="A234" s="1110"/>
      <c r="B234" s="1108" t="s">
        <v>8280</v>
      </c>
      <c r="C234" s="1108" t="s">
        <v>8732</v>
      </c>
      <c r="D234" s="1116" t="s">
        <v>8739</v>
      </c>
      <c r="E234" s="1116" t="s">
        <v>8740</v>
      </c>
      <c r="F234" s="1117">
        <v>0.1</v>
      </c>
      <c r="G234" s="1109">
        <v>0.02</v>
      </c>
      <c r="H234" s="1118">
        <v>846800.0</v>
      </c>
      <c r="I234" s="1118">
        <f t="shared" si="1"/>
        <v>769820</v>
      </c>
      <c r="J234" s="1118">
        <f t="shared" si="2"/>
        <v>829860</v>
      </c>
      <c r="K234" s="1110"/>
    </row>
    <row r="235" ht="18.75" customHeight="1">
      <c r="A235" s="1110"/>
      <c r="B235" s="1108" t="s">
        <v>8280</v>
      </c>
      <c r="C235" s="1108" t="s">
        <v>8732</v>
      </c>
      <c r="D235" s="1116" t="s">
        <v>8741</v>
      </c>
      <c r="E235" s="1116" t="s">
        <v>8742</v>
      </c>
      <c r="F235" s="1117">
        <v>0.1</v>
      </c>
      <c r="G235" s="1109">
        <v>0.02</v>
      </c>
      <c r="H235" s="1116"/>
      <c r="I235" s="1118" t="str">
        <f t="shared" si="1"/>
        <v/>
      </c>
      <c r="J235" s="1118" t="str">
        <f t="shared" si="2"/>
        <v/>
      </c>
      <c r="K235" s="1110"/>
    </row>
    <row r="236" ht="18.75" customHeight="1">
      <c r="A236" s="1110"/>
      <c r="B236" s="1108" t="s">
        <v>8280</v>
      </c>
      <c r="C236" s="1108" t="s">
        <v>8732</v>
      </c>
      <c r="D236" s="1116" t="s">
        <v>8743</v>
      </c>
      <c r="E236" s="1116" t="s">
        <v>8744</v>
      </c>
      <c r="F236" s="1117">
        <v>0.1</v>
      </c>
      <c r="G236" s="1109">
        <v>0.02</v>
      </c>
      <c r="H236" s="1118">
        <v>837200.0</v>
      </c>
      <c r="I236" s="1118">
        <f t="shared" si="1"/>
        <v>761090</v>
      </c>
      <c r="J236" s="1118">
        <f t="shared" si="2"/>
        <v>820460</v>
      </c>
      <c r="K236" s="1110"/>
    </row>
    <row r="237" ht="18.75" customHeight="1">
      <c r="A237" s="1110"/>
      <c r="B237" s="1108" t="s">
        <v>8280</v>
      </c>
      <c r="C237" s="1108" t="s">
        <v>8732</v>
      </c>
      <c r="D237" s="1116" t="s">
        <v>8745</v>
      </c>
      <c r="E237" s="1116" t="s">
        <v>8746</v>
      </c>
      <c r="F237" s="1117">
        <v>0.1</v>
      </c>
      <c r="G237" s="1109">
        <v>0.02</v>
      </c>
      <c r="H237" s="1118">
        <v>920900.0</v>
      </c>
      <c r="I237" s="1118">
        <f t="shared" si="1"/>
        <v>837180</v>
      </c>
      <c r="J237" s="1118">
        <f t="shared" si="2"/>
        <v>902480</v>
      </c>
      <c r="K237" s="1110"/>
    </row>
    <row r="238" ht="18.75" customHeight="1">
      <c r="A238" s="1110"/>
      <c r="B238" s="1108" t="s">
        <v>8280</v>
      </c>
      <c r="C238" s="1108" t="s">
        <v>8732</v>
      </c>
      <c r="D238" s="1116" t="s">
        <v>8747</v>
      </c>
      <c r="E238" s="1116" t="s">
        <v>8748</v>
      </c>
      <c r="F238" s="1117">
        <v>0.1</v>
      </c>
      <c r="G238" s="1109">
        <v>0.02</v>
      </c>
      <c r="H238" s="1118">
        <v>1048000.0</v>
      </c>
      <c r="I238" s="1118">
        <f t="shared" si="1"/>
        <v>952730</v>
      </c>
      <c r="J238" s="1118">
        <f t="shared" si="2"/>
        <v>1027040</v>
      </c>
      <c r="K238" s="1110"/>
    </row>
    <row r="239" ht="18.75" customHeight="1">
      <c r="A239" s="1110"/>
      <c r="B239" s="1108" t="s">
        <v>8280</v>
      </c>
      <c r="C239" s="1108" t="s">
        <v>8732</v>
      </c>
      <c r="D239" s="1116" t="s">
        <v>8749</v>
      </c>
      <c r="E239" s="1116" t="s">
        <v>8750</v>
      </c>
      <c r="F239" s="1117">
        <v>0.1</v>
      </c>
      <c r="G239" s="1109">
        <v>0.02</v>
      </c>
      <c r="H239" s="1116"/>
      <c r="I239" s="1118" t="str">
        <f t="shared" si="1"/>
        <v/>
      </c>
      <c r="J239" s="1118" t="str">
        <f t="shared" si="2"/>
        <v/>
      </c>
      <c r="K239" s="1110"/>
    </row>
    <row r="240" ht="18.75" customHeight="1">
      <c r="A240" s="1110"/>
      <c r="B240" s="1108" t="s">
        <v>8280</v>
      </c>
      <c r="C240" s="1108" t="s">
        <v>8732</v>
      </c>
      <c r="D240" s="1116" t="s">
        <v>8751</v>
      </c>
      <c r="E240" s="1116" t="s">
        <v>8752</v>
      </c>
      <c r="F240" s="1117">
        <v>0.1</v>
      </c>
      <c r="G240" s="1109">
        <v>0.02</v>
      </c>
      <c r="H240" s="1116"/>
      <c r="I240" s="1118" t="str">
        <f t="shared" si="1"/>
        <v/>
      </c>
      <c r="J240" s="1118" t="str">
        <f t="shared" si="2"/>
        <v/>
      </c>
      <c r="K240" s="1110"/>
    </row>
    <row r="241" ht="18.75" customHeight="1">
      <c r="A241" s="1110"/>
      <c r="B241" s="1108" t="s">
        <v>8280</v>
      </c>
      <c r="C241" s="1108" t="s">
        <v>8732</v>
      </c>
      <c r="D241" s="1116" t="s">
        <v>8753</v>
      </c>
      <c r="E241" s="1116" t="s">
        <v>8754</v>
      </c>
      <c r="F241" s="1117">
        <v>0.1</v>
      </c>
      <c r="G241" s="1109">
        <v>0.02</v>
      </c>
      <c r="H241" s="1116"/>
      <c r="I241" s="1118" t="str">
        <f t="shared" si="1"/>
        <v/>
      </c>
      <c r="J241" s="1118" t="str">
        <f t="shared" si="2"/>
        <v/>
      </c>
      <c r="K241" s="1110"/>
    </row>
    <row r="242" ht="18.75" customHeight="1">
      <c r="A242" s="1110"/>
      <c r="B242" s="1108" t="s">
        <v>8280</v>
      </c>
      <c r="C242" s="1108" t="s">
        <v>8732</v>
      </c>
      <c r="D242" s="1116" t="s">
        <v>8755</v>
      </c>
      <c r="E242" s="1116" t="s">
        <v>8756</v>
      </c>
      <c r="F242" s="1117">
        <v>0.1</v>
      </c>
      <c r="G242" s="1109">
        <v>0.02</v>
      </c>
      <c r="H242" s="1118">
        <v>815100.0</v>
      </c>
      <c r="I242" s="1118">
        <f t="shared" si="1"/>
        <v>741000</v>
      </c>
      <c r="J242" s="1118">
        <f t="shared" si="2"/>
        <v>798800</v>
      </c>
      <c r="K242" s="1110"/>
    </row>
    <row r="243" ht="18.75" customHeight="1">
      <c r="A243" s="1110"/>
      <c r="B243" s="1108" t="s">
        <v>8280</v>
      </c>
      <c r="C243" s="1108" t="s">
        <v>8732</v>
      </c>
      <c r="D243" s="1116" t="s">
        <v>8757</v>
      </c>
      <c r="E243" s="1116" t="s">
        <v>8758</v>
      </c>
      <c r="F243" s="1117">
        <v>0.1</v>
      </c>
      <c r="G243" s="1109">
        <v>0.02</v>
      </c>
      <c r="H243" s="1118">
        <v>673700.0</v>
      </c>
      <c r="I243" s="1118">
        <f t="shared" si="1"/>
        <v>612450</v>
      </c>
      <c r="J243" s="1118">
        <f t="shared" si="2"/>
        <v>660230</v>
      </c>
      <c r="K243" s="1110"/>
    </row>
    <row r="244" ht="18.75" customHeight="1">
      <c r="A244" s="1110"/>
      <c r="B244" s="1108" t="s">
        <v>8280</v>
      </c>
      <c r="C244" s="1108" t="s">
        <v>8732</v>
      </c>
      <c r="D244" s="1116" t="s">
        <v>8759</v>
      </c>
      <c r="E244" s="1116" t="s">
        <v>8760</v>
      </c>
      <c r="F244" s="1117">
        <v>0.1</v>
      </c>
      <c r="G244" s="1109">
        <v>0.02</v>
      </c>
      <c r="H244" s="1116"/>
      <c r="I244" s="1118" t="str">
        <f t="shared" si="1"/>
        <v/>
      </c>
      <c r="J244" s="1118" t="str">
        <f t="shared" si="2"/>
        <v/>
      </c>
      <c r="K244" s="1110"/>
    </row>
    <row r="245" ht="18.75" customHeight="1">
      <c r="A245" s="1110"/>
      <c r="B245" s="1108" t="s">
        <v>8280</v>
      </c>
      <c r="C245" s="1108" t="s">
        <v>8732</v>
      </c>
      <c r="D245" s="1116" t="s">
        <v>8761</v>
      </c>
      <c r="E245" s="1116" t="s">
        <v>8762</v>
      </c>
      <c r="F245" s="1117">
        <v>0.1</v>
      </c>
      <c r="G245" s="1109">
        <v>0.02</v>
      </c>
      <c r="H245" s="1118">
        <v>868000.0</v>
      </c>
      <c r="I245" s="1118">
        <f t="shared" si="1"/>
        <v>789090</v>
      </c>
      <c r="J245" s="1118">
        <f t="shared" si="2"/>
        <v>850640</v>
      </c>
      <c r="K245" s="1110"/>
    </row>
    <row r="246" ht="18.75" customHeight="1">
      <c r="A246" s="1110"/>
      <c r="B246" s="1108" t="s">
        <v>8280</v>
      </c>
      <c r="C246" s="1108" t="s">
        <v>8732</v>
      </c>
      <c r="D246" s="1116" t="s">
        <v>8763</v>
      </c>
      <c r="E246" s="1116" t="s">
        <v>8764</v>
      </c>
      <c r="F246" s="1117">
        <v>0.1</v>
      </c>
      <c r="G246" s="1109">
        <v>0.02</v>
      </c>
      <c r="H246" s="1118">
        <v>995000.0</v>
      </c>
      <c r="I246" s="1118">
        <f t="shared" si="1"/>
        <v>904550</v>
      </c>
      <c r="J246" s="1118">
        <f t="shared" si="2"/>
        <v>975100</v>
      </c>
      <c r="K246" s="1110"/>
    </row>
    <row r="247" ht="18.75" customHeight="1">
      <c r="A247" s="1110"/>
      <c r="B247" s="1108" t="s">
        <v>8280</v>
      </c>
      <c r="C247" s="1108" t="s">
        <v>8732</v>
      </c>
      <c r="D247" s="1116" t="s">
        <v>8765</v>
      </c>
      <c r="E247" s="1116" t="s">
        <v>8766</v>
      </c>
      <c r="F247" s="1117">
        <v>0.1</v>
      </c>
      <c r="G247" s="1109">
        <v>0.02</v>
      </c>
      <c r="H247" s="1116"/>
      <c r="I247" s="1118" t="str">
        <f t="shared" si="1"/>
        <v/>
      </c>
      <c r="J247" s="1118" t="str">
        <f t="shared" si="2"/>
        <v/>
      </c>
      <c r="K247" s="1110"/>
    </row>
    <row r="248" ht="18.75" customHeight="1">
      <c r="A248" s="1110"/>
      <c r="B248" s="1108" t="s">
        <v>8280</v>
      </c>
      <c r="C248" s="1108" t="s">
        <v>8732</v>
      </c>
      <c r="D248" s="1116" t="s">
        <v>8767</v>
      </c>
      <c r="E248" s="1116" t="s">
        <v>8768</v>
      </c>
      <c r="F248" s="1117">
        <v>0.1</v>
      </c>
      <c r="G248" s="1109">
        <v>0.02</v>
      </c>
      <c r="H248" s="1116"/>
      <c r="I248" s="1118" t="str">
        <f t="shared" si="1"/>
        <v/>
      </c>
      <c r="J248" s="1118" t="str">
        <f t="shared" si="2"/>
        <v/>
      </c>
      <c r="K248" s="1110"/>
    </row>
    <row r="249" ht="18.75" customHeight="1">
      <c r="A249" s="1110"/>
      <c r="B249" s="1108" t="s">
        <v>8769</v>
      </c>
      <c r="C249" s="1108" t="s">
        <v>8770</v>
      </c>
      <c r="D249" s="1116" t="s">
        <v>8771</v>
      </c>
      <c r="E249" s="1116" t="s">
        <v>8772</v>
      </c>
      <c r="F249" s="1117">
        <v>0.1</v>
      </c>
      <c r="G249" s="1109">
        <v>0.02</v>
      </c>
      <c r="H249" s="1118">
        <v>769900.0</v>
      </c>
      <c r="I249" s="1118">
        <f t="shared" si="1"/>
        <v>699910</v>
      </c>
      <c r="J249" s="1118">
        <f t="shared" si="2"/>
        <v>754500</v>
      </c>
      <c r="K249" s="1110"/>
    </row>
    <row r="250" ht="18.75" customHeight="1">
      <c r="A250" s="1110"/>
      <c r="B250" s="1108" t="s">
        <v>8769</v>
      </c>
      <c r="C250" s="1108" t="s">
        <v>8770</v>
      </c>
      <c r="D250" s="1116" t="s">
        <v>8773</v>
      </c>
      <c r="E250" s="1116" t="s">
        <v>8774</v>
      </c>
      <c r="F250" s="1117">
        <v>0.1</v>
      </c>
      <c r="G250" s="1109">
        <v>0.02</v>
      </c>
      <c r="H250" s="1116"/>
      <c r="I250" s="1118" t="str">
        <f t="shared" si="1"/>
        <v/>
      </c>
      <c r="J250" s="1118" t="str">
        <f t="shared" si="2"/>
        <v/>
      </c>
      <c r="K250" s="1110"/>
    </row>
    <row r="251" ht="18.75" customHeight="1">
      <c r="A251" s="1110"/>
      <c r="B251" s="1108" t="s">
        <v>8769</v>
      </c>
      <c r="C251" s="1108" t="s">
        <v>8770</v>
      </c>
      <c r="D251" s="1116" t="s">
        <v>8775</v>
      </c>
      <c r="E251" s="1116" t="s">
        <v>8776</v>
      </c>
      <c r="F251" s="1117">
        <v>0.1</v>
      </c>
      <c r="G251" s="1109">
        <v>0.02</v>
      </c>
      <c r="H251" s="1118">
        <v>856500.0</v>
      </c>
      <c r="I251" s="1118">
        <f t="shared" si="1"/>
        <v>778640</v>
      </c>
      <c r="J251" s="1118">
        <f t="shared" si="2"/>
        <v>839370</v>
      </c>
      <c r="K251" s="1110"/>
    </row>
    <row r="252" ht="18.75" customHeight="1">
      <c r="A252" s="1110"/>
      <c r="B252" s="1108" t="s">
        <v>8769</v>
      </c>
      <c r="C252" s="1108" t="s">
        <v>8770</v>
      </c>
      <c r="D252" s="1116" t="s">
        <v>8777</v>
      </c>
      <c r="E252" s="1116" t="s">
        <v>8778</v>
      </c>
      <c r="F252" s="1117">
        <v>0.1</v>
      </c>
      <c r="G252" s="1109">
        <v>0.02</v>
      </c>
      <c r="H252" s="1118">
        <v>837200.0</v>
      </c>
      <c r="I252" s="1118">
        <f t="shared" si="1"/>
        <v>761090</v>
      </c>
      <c r="J252" s="1118">
        <f t="shared" si="2"/>
        <v>820460</v>
      </c>
      <c r="K252" s="1110"/>
    </row>
    <row r="253" ht="18.75" customHeight="1">
      <c r="A253" s="1110"/>
      <c r="B253" s="1108" t="s">
        <v>8769</v>
      </c>
      <c r="C253" s="1108" t="s">
        <v>8770</v>
      </c>
      <c r="D253" s="1116" t="s">
        <v>8779</v>
      </c>
      <c r="E253" s="1116" t="s">
        <v>8780</v>
      </c>
      <c r="F253" s="1117">
        <v>0.1</v>
      </c>
      <c r="G253" s="1109">
        <v>0.02</v>
      </c>
      <c r="H253" s="1118">
        <v>952700.0</v>
      </c>
      <c r="I253" s="1118">
        <f t="shared" si="1"/>
        <v>866090</v>
      </c>
      <c r="J253" s="1118">
        <f t="shared" si="2"/>
        <v>933650</v>
      </c>
      <c r="K253" s="1110"/>
    </row>
    <row r="254" ht="18.75" customHeight="1">
      <c r="A254" s="1110"/>
      <c r="B254" s="1108" t="s">
        <v>8769</v>
      </c>
      <c r="C254" s="1108" t="s">
        <v>8770</v>
      </c>
      <c r="D254" s="1116" t="s">
        <v>8781</v>
      </c>
      <c r="E254" s="1116" t="s">
        <v>8782</v>
      </c>
      <c r="F254" s="1117">
        <v>0.1</v>
      </c>
      <c r="G254" s="1109">
        <v>0.02</v>
      </c>
      <c r="H254" s="1116"/>
      <c r="I254" s="1118" t="str">
        <f t="shared" si="1"/>
        <v/>
      </c>
      <c r="J254" s="1118" t="str">
        <f t="shared" si="2"/>
        <v/>
      </c>
      <c r="K254" s="1110"/>
    </row>
    <row r="255" ht="18.75" customHeight="1">
      <c r="A255" s="1110"/>
      <c r="B255" s="1108" t="s">
        <v>8769</v>
      </c>
      <c r="C255" s="1108" t="s">
        <v>8770</v>
      </c>
      <c r="D255" s="1116" t="s">
        <v>8783</v>
      </c>
      <c r="E255" s="1116" t="s">
        <v>8784</v>
      </c>
      <c r="F255" s="1117">
        <v>0.1</v>
      </c>
      <c r="G255" s="1109">
        <v>0.02</v>
      </c>
      <c r="H255" s="1118">
        <v>741000.0</v>
      </c>
      <c r="I255" s="1118">
        <f t="shared" si="1"/>
        <v>673640</v>
      </c>
      <c r="J255" s="1118">
        <f t="shared" si="2"/>
        <v>726180</v>
      </c>
      <c r="K255" s="1110"/>
    </row>
    <row r="256" ht="18.75" customHeight="1">
      <c r="A256" s="1110"/>
      <c r="B256" s="1108" t="s">
        <v>8769</v>
      </c>
      <c r="C256" s="1108" t="s">
        <v>8770</v>
      </c>
      <c r="D256" s="1116" t="s">
        <v>8785</v>
      </c>
      <c r="E256" s="1116" t="s">
        <v>8786</v>
      </c>
      <c r="F256" s="1117">
        <v>0.1</v>
      </c>
      <c r="G256" s="1109">
        <v>0.02</v>
      </c>
      <c r="H256" s="1118">
        <v>692900.0</v>
      </c>
      <c r="I256" s="1118">
        <f t="shared" si="1"/>
        <v>629910</v>
      </c>
      <c r="J256" s="1118">
        <f t="shared" si="2"/>
        <v>679040</v>
      </c>
      <c r="K256" s="1110"/>
    </row>
    <row r="257" ht="18.75" customHeight="1">
      <c r="A257" s="1110"/>
      <c r="B257" s="1108" t="s">
        <v>8769</v>
      </c>
      <c r="C257" s="1108" t="s">
        <v>8770</v>
      </c>
      <c r="D257" s="1116" t="s">
        <v>8787</v>
      </c>
      <c r="E257" s="1116" t="s">
        <v>8788</v>
      </c>
      <c r="F257" s="1117">
        <v>0.1</v>
      </c>
      <c r="G257" s="1109">
        <v>0.02</v>
      </c>
      <c r="H257" s="1118">
        <v>789200.0</v>
      </c>
      <c r="I257" s="1118">
        <f t="shared" si="1"/>
        <v>717450</v>
      </c>
      <c r="J257" s="1118">
        <f t="shared" si="2"/>
        <v>773420</v>
      </c>
      <c r="K257" s="1110"/>
    </row>
    <row r="258" ht="18.75" customHeight="1">
      <c r="A258" s="1110"/>
      <c r="B258" s="1108" t="s">
        <v>8769</v>
      </c>
      <c r="C258" s="1108" t="s">
        <v>8770</v>
      </c>
      <c r="D258" s="1116" t="s">
        <v>8789</v>
      </c>
      <c r="E258" s="1116" t="s">
        <v>8790</v>
      </c>
      <c r="F258" s="1117">
        <v>0.1</v>
      </c>
      <c r="G258" s="1109">
        <v>0.02</v>
      </c>
      <c r="H258" s="1118">
        <v>904500.0</v>
      </c>
      <c r="I258" s="1118">
        <f t="shared" si="1"/>
        <v>822270</v>
      </c>
      <c r="J258" s="1118">
        <f t="shared" si="2"/>
        <v>886410</v>
      </c>
      <c r="K258" s="1110"/>
    </row>
    <row r="259" ht="18.75" customHeight="1">
      <c r="A259" s="1110"/>
      <c r="B259" s="1108" t="s">
        <v>8769</v>
      </c>
      <c r="C259" s="1108" t="s">
        <v>8770</v>
      </c>
      <c r="D259" s="1116" t="s">
        <v>8791</v>
      </c>
      <c r="E259" s="1116" t="s">
        <v>8792</v>
      </c>
      <c r="F259" s="1117">
        <v>0.1</v>
      </c>
      <c r="G259" s="1109">
        <v>0.02</v>
      </c>
      <c r="H259" s="1116"/>
      <c r="I259" s="1118" t="str">
        <f t="shared" si="1"/>
        <v/>
      </c>
      <c r="J259" s="1118" t="str">
        <f t="shared" si="2"/>
        <v/>
      </c>
      <c r="K259" s="1110"/>
    </row>
    <row r="260" ht="18.75" customHeight="1">
      <c r="A260" s="1110"/>
      <c r="B260" s="1108" t="s">
        <v>8769</v>
      </c>
      <c r="C260" s="1108" t="s">
        <v>8770</v>
      </c>
      <c r="D260" s="1116" t="s">
        <v>8793</v>
      </c>
      <c r="E260" s="1116" t="s">
        <v>8794</v>
      </c>
      <c r="F260" s="1117">
        <v>0.1</v>
      </c>
      <c r="G260" s="1109">
        <v>0.02</v>
      </c>
      <c r="H260" s="1116"/>
      <c r="I260" s="1118" t="str">
        <f t="shared" si="1"/>
        <v/>
      </c>
      <c r="J260" s="1118" t="str">
        <f t="shared" si="2"/>
        <v/>
      </c>
      <c r="K260" s="1110"/>
    </row>
  </sheetData>
  <mergeCells count="1">
    <mergeCell ref="A1:K2"/>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2" max="2" width="20.13"/>
    <col customWidth="1" min="3" max="3" width="15.25"/>
    <col customWidth="1" min="4" max="4" width="24.25"/>
    <col customWidth="1" min="5" max="5" width="55.38"/>
    <col customWidth="1" min="6" max="6" width="12.25"/>
    <col customWidth="1" min="7" max="7" width="11.38"/>
    <col customWidth="1" min="8" max="10" width="13.38"/>
    <col customWidth="1" min="11" max="11" width="4.5"/>
  </cols>
  <sheetData>
    <row r="1" ht="12.75" customHeight="1">
      <c r="A1" s="1121" t="s">
        <v>8190</v>
      </c>
      <c r="B1" s="456"/>
      <c r="C1" s="456"/>
      <c r="D1" s="456"/>
      <c r="E1" s="456"/>
      <c r="F1" s="456"/>
      <c r="G1" s="456"/>
      <c r="H1" s="456"/>
      <c r="I1" s="456"/>
      <c r="J1" s="456"/>
      <c r="K1" s="457"/>
    </row>
    <row r="2" ht="12.75" customHeight="1">
      <c r="A2" s="435"/>
      <c r="B2" s="418"/>
      <c r="C2" s="418"/>
      <c r="D2" s="418"/>
      <c r="E2" s="418"/>
      <c r="F2" s="418"/>
      <c r="G2" s="418"/>
      <c r="H2" s="418"/>
      <c r="I2" s="418"/>
      <c r="J2" s="418"/>
      <c r="K2" s="419"/>
    </row>
    <row r="3" ht="12.75" customHeight="1">
      <c r="A3" s="1110"/>
      <c r="B3" s="1110"/>
      <c r="C3" s="1110"/>
      <c r="D3" s="1110"/>
      <c r="E3" s="1110"/>
      <c r="F3" s="1110"/>
      <c r="G3" s="1110"/>
      <c r="H3" s="1110"/>
      <c r="I3" s="1110"/>
      <c r="J3" s="1110"/>
      <c r="K3" s="1110"/>
    </row>
    <row r="4" ht="22.5" customHeight="1">
      <c r="A4" s="1110"/>
      <c r="B4" s="1106" t="s">
        <v>1279</v>
      </c>
      <c r="C4" s="1106" t="s">
        <v>1280</v>
      </c>
      <c r="D4" s="1113" t="s">
        <v>1281</v>
      </c>
      <c r="E4" s="1113" t="s">
        <v>1282</v>
      </c>
      <c r="F4" s="1106" t="s">
        <v>1283</v>
      </c>
      <c r="G4" s="1106" t="s">
        <v>1284</v>
      </c>
      <c r="H4" s="1123" t="s">
        <v>68</v>
      </c>
      <c r="I4" s="1123" t="s">
        <v>70</v>
      </c>
      <c r="J4" s="1123" t="s">
        <v>71</v>
      </c>
      <c r="K4" s="1110"/>
    </row>
    <row r="5" ht="18.75" customHeight="1">
      <c r="A5" s="1110"/>
      <c r="B5" s="1108" t="s">
        <v>8795</v>
      </c>
      <c r="C5" s="1108" t="s">
        <v>8796</v>
      </c>
      <c r="D5" s="1116" t="s">
        <v>414</v>
      </c>
      <c r="E5" s="1116" t="s">
        <v>8797</v>
      </c>
      <c r="F5" s="1117">
        <v>0.1</v>
      </c>
      <c r="G5" s="1109">
        <v>0.08</v>
      </c>
      <c r="H5" s="1118">
        <v>3952300.0</v>
      </c>
      <c r="I5" s="1118">
        <f t="shared" ref="I5:I81" si="1">IF(ISBLANK(H5),,ROUND(H5/(1+F5),-1))</f>
        <v>3593000</v>
      </c>
      <c r="J5" s="1118">
        <f t="shared" ref="J5:J81" si="2">IF(ISBLANK(H5),,ROUND(H5*(1-G5),-1))</f>
        <v>3636120</v>
      </c>
      <c r="K5" s="1110"/>
    </row>
    <row r="6" ht="18.75" customHeight="1">
      <c r="A6" s="1110"/>
      <c r="B6" s="1108" t="s">
        <v>8795</v>
      </c>
      <c r="C6" s="1108" t="s">
        <v>8796</v>
      </c>
      <c r="D6" s="1116" t="s">
        <v>415</v>
      </c>
      <c r="E6" s="1116" t="s">
        <v>8798</v>
      </c>
      <c r="F6" s="1117">
        <v>0.1</v>
      </c>
      <c r="G6" s="1109">
        <v>0.08</v>
      </c>
      <c r="H6" s="1118">
        <v>2679200.0</v>
      </c>
      <c r="I6" s="1118">
        <f t="shared" si="1"/>
        <v>2435640</v>
      </c>
      <c r="J6" s="1118">
        <f t="shared" si="2"/>
        <v>2464860</v>
      </c>
      <c r="K6" s="1110"/>
    </row>
    <row r="7" ht="18.75" customHeight="1">
      <c r="A7" s="1110"/>
      <c r="B7" s="1108" t="s">
        <v>8795</v>
      </c>
      <c r="C7" s="1108" t="s">
        <v>8796</v>
      </c>
      <c r="D7" s="1116" t="s">
        <v>416</v>
      </c>
      <c r="E7" s="1116" t="s">
        <v>8799</v>
      </c>
      <c r="F7" s="1117">
        <v>0.1</v>
      </c>
      <c r="G7" s="1109">
        <v>0.08</v>
      </c>
      <c r="H7" s="1118">
        <v>3199500.0</v>
      </c>
      <c r="I7" s="1118">
        <f t="shared" si="1"/>
        <v>2908640</v>
      </c>
      <c r="J7" s="1118">
        <f t="shared" si="2"/>
        <v>2943540</v>
      </c>
      <c r="K7" s="1110"/>
    </row>
    <row r="8" ht="18.75" customHeight="1">
      <c r="A8" s="1110"/>
      <c r="B8" s="1108" t="s">
        <v>8795</v>
      </c>
      <c r="C8" s="1108" t="s">
        <v>8796</v>
      </c>
      <c r="D8" s="1116" t="s">
        <v>417</v>
      </c>
      <c r="E8" s="1116" t="s">
        <v>8800</v>
      </c>
      <c r="F8" s="1117">
        <v>0.1</v>
      </c>
      <c r="G8" s="1109">
        <v>0.08</v>
      </c>
      <c r="H8" s="1118">
        <v>1804600.0</v>
      </c>
      <c r="I8" s="1118">
        <f t="shared" si="1"/>
        <v>1640550</v>
      </c>
      <c r="J8" s="1118">
        <f t="shared" si="2"/>
        <v>1660230</v>
      </c>
      <c r="K8" s="1110"/>
    </row>
    <row r="9" ht="18.75" customHeight="1">
      <c r="A9" s="1110"/>
      <c r="B9" s="1108" t="s">
        <v>8795</v>
      </c>
      <c r="C9" s="1108" t="s">
        <v>8796</v>
      </c>
      <c r="D9" s="1116" t="s">
        <v>418</v>
      </c>
      <c r="E9" s="1116" t="s">
        <v>8801</v>
      </c>
      <c r="F9" s="1117">
        <v>0.1</v>
      </c>
      <c r="G9" s="1109">
        <v>0.08</v>
      </c>
      <c r="H9" s="1118">
        <v>1893100.0</v>
      </c>
      <c r="I9" s="1118">
        <f t="shared" si="1"/>
        <v>1721000</v>
      </c>
      <c r="J9" s="1118">
        <f t="shared" si="2"/>
        <v>1741650</v>
      </c>
      <c r="K9" s="1110"/>
    </row>
    <row r="10" ht="18.75" customHeight="1">
      <c r="A10" s="1110"/>
      <c r="B10" s="1108" t="s">
        <v>8795</v>
      </c>
      <c r="C10" s="1108" t="s">
        <v>8796</v>
      </c>
      <c r="D10" s="1116" t="s">
        <v>419</v>
      </c>
      <c r="E10" s="1116" t="s">
        <v>8802</v>
      </c>
      <c r="F10" s="1117">
        <v>0.1</v>
      </c>
      <c r="G10" s="1109">
        <v>0.08</v>
      </c>
      <c r="H10" s="1118">
        <v>2106500.0</v>
      </c>
      <c r="I10" s="1118">
        <f t="shared" si="1"/>
        <v>1915000</v>
      </c>
      <c r="J10" s="1118">
        <f t="shared" si="2"/>
        <v>1937980</v>
      </c>
      <c r="K10" s="1110"/>
    </row>
    <row r="11" ht="18.75" customHeight="1">
      <c r="A11" s="1110"/>
      <c r="B11" s="1108" t="s">
        <v>8795</v>
      </c>
      <c r="C11" s="1108" t="s">
        <v>8796</v>
      </c>
      <c r="D11" s="1116" t="s">
        <v>8803</v>
      </c>
      <c r="E11" s="1116" t="s">
        <v>8804</v>
      </c>
      <c r="F11" s="1117">
        <v>0.1</v>
      </c>
      <c r="G11" s="1109">
        <v>0.08</v>
      </c>
      <c r="H11" s="1118">
        <v>2416200.0</v>
      </c>
      <c r="I11" s="1118">
        <f t="shared" si="1"/>
        <v>2196550</v>
      </c>
      <c r="J11" s="1118">
        <f t="shared" si="2"/>
        <v>2222900</v>
      </c>
      <c r="K11" s="1110"/>
    </row>
    <row r="12" ht="18.75" customHeight="1">
      <c r="A12" s="1110"/>
      <c r="B12" s="1108" t="s">
        <v>8795</v>
      </c>
      <c r="C12" s="1108" t="s">
        <v>8796</v>
      </c>
      <c r="D12" s="1116" t="s">
        <v>420</v>
      </c>
      <c r="E12" s="1116" t="s">
        <v>8805</v>
      </c>
      <c r="F12" s="1117">
        <v>0.1</v>
      </c>
      <c r="G12" s="1109">
        <v>0.08</v>
      </c>
      <c r="H12" s="1118">
        <v>611200.0</v>
      </c>
      <c r="I12" s="1118">
        <f t="shared" si="1"/>
        <v>555640</v>
      </c>
      <c r="J12" s="1118">
        <f t="shared" si="2"/>
        <v>562300</v>
      </c>
      <c r="K12" s="1110"/>
    </row>
    <row r="13" ht="18.75" customHeight="1">
      <c r="A13" s="1110"/>
      <c r="B13" s="1108" t="s">
        <v>8795</v>
      </c>
      <c r="C13" s="1108" t="s">
        <v>8806</v>
      </c>
      <c r="D13" s="1116" t="s">
        <v>8807</v>
      </c>
      <c r="E13" s="1116" t="s">
        <v>8808</v>
      </c>
      <c r="F13" s="1117">
        <v>0.1</v>
      </c>
      <c r="G13" s="1109">
        <v>0.08</v>
      </c>
      <c r="H13" s="1118"/>
      <c r="I13" s="1118" t="str">
        <f t="shared" si="1"/>
        <v/>
      </c>
      <c r="J13" s="1118" t="str">
        <f t="shared" si="2"/>
        <v/>
      </c>
      <c r="K13" s="1110"/>
    </row>
    <row r="14" ht="18.75" customHeight="1">
      <c r="A14" s="1110"/>
      <c r="B14" s="1108" t="s">
        <v>8795</v>
      </c>
      <c r="C14" s="1108" t="s">
        <v>8806</v>
      </c>
      <c r="D14" s="1116" t="s">
        <v>8809</v>
      </c>
      <c r="E14" s="1116" t="s">
        <v>8810</v>
      </c>
      <c r="F14" s="1117">
        <v>0.1</v>
      </c>
      <c r="G14" s="1109">
        <v>0.08</v>
      </c>
      <c r="H14" s="1118"/>
      <c r="I14" s="1118" t="str">
        <f t="shared" si="1"/>
        <v/>
      </c>
      <c r="J14" s="1118" t="str">
        <f t="shared" si="2"/>
        <v/>
      </c>
      <c r="K14" s="1110"/>
    </row>
    <row r="15" ht="18.75" customHeight="1">
      <c r="A15" s="1110"/>
      <c r="B15" s="1108" t="s">
        <v>8795</v>
      </c>
      <c r="C15" s="1108" t="s">
        <v>8806</v>
      </c>
      <c r="D15" s="1116" t="s">
        <v>8811</v>
      </c>
      <c r="E15" s="1116" t="s">
        <v>8812</v>
      </c>
      <c r="F15" s="1117">
        <v>0.1</v>
      </c>
      <c r="G15" s="1109">
        <v>0.08</v>
      </c>
      <c r="H15" s="1118"/>
      <c r="I15" s="1118" t="str">
        <f t="shared" si="1"/>
        <v/>
      </c>
      <c r="J15" s="1118" t="str">
        <f t="shared" si="2"/>
        <v/>
      </c>
      <c r="K15" s="1110"/>
    </row>
    <row r="16" ht="18.75" customHeight="1">
      <c r="A16" s="1110"/>
      <c r="B16" s="1108" t="s">
        <v>8795</v>
      </c>
      <c r="C16" s="1108" t="s">
        <v>8806</v>
      </c>
      <c r="D16" s="1116" t="s">
        <v>8813</v>
      </c>
      <c r="E16" s="1116" t="s">
        <v>8814</v>
      </c>
      <c r="F16" s="1117">
        <v>0.1</v>
      </c>
      <c r="G16" s="1109">
        <v>0.08</v>
      </c>
      <c r="H16" s="1118"/>
      <c r="I16" s="1118" t="str">
        <f t="shared" si="1"/>
        <v/>
      </c>
      <c r="J16" s="1118" t="str">
        <f t="shared" si="2"/>
        <v/>
      </c>
      <c r="K16" s="1110"/>
    </row>
    <row r="17" ht="18.75" customHeight="1">
      <c r="A17" s="1110"/>
      <c r="B17" s="1108" t="s">
        <v>8795</v>
      </c>
      <c r="C17" s="1108" t="s">
        <v>8806</v>
      </c>
      <c r="D17" s="1116" t="s">
        <v>8815</v>
      </c>
      <c r="E17" s="1116" t="s">
        <v>8816</v>
      </c>
      <c r="F17" s="1117">
        <v>0.1</v>
      </c>
      <c r="G17" s="1109">
        <v>0.08</v>
      </c>
      <c r="H17" s="1118"/>
      <c r="I17" s="1118" t="str">
        <f t="shared" si="1"/>
        <v/>
      </c>
      <c r="J17" s="1118" t="str">
        <f t="shared" si="2"/>
        <v/>
      </c>
      <c r="K17" s="1110"/>
    </row>
    <row r="18" ht="18.75" customHeight="1">
      <c r="A18" s="1110"/>
      <c r="B18" s="1108" t="s">
        <v>8795</v>
      </c>
      <c r="C18" s="1108" t="s">
        <v>8806</v>
      </c>
      <c r="D18" s="1116" t="s">
        <v>8817</v>
      </c>
      <c r="E18" s="1116" t="s">
        <v>8818</v>
      </c>
      <c r="F18" s="1117">
        <v>0.1</v>
      </c>
      <c r="G18" s="1109">
        <v>0.08</v>
      </c>
      <c r="H18" s="1118">
        <v>947200.0</v>
      </c>
      <c r="I18" s="1118">
        <f t="shared" si="1"/>
        <v>861090</v>
      </c>
      <c r="J18" s="1118">
        <f t="shared" si="2"/>
        <v>871420</v>
      </c>
      <c r="K18" s="1110"/>
    </row>
    <row r="19" ht="18.75" customHeight="1">
      <c r="A19" s="1110"/>
      <c r="B19" s="1108" t="s">
        <v>8795</v>
      </c>
      <c r="C19" s="1108" t="s">
        <v>8806</v>
      </c>
      <c r="D19" s="1116" t="s">
        <v>8819</v>
      </c>
      <c r="E19" s="1116" t="s">
        <v>8820</v>
      </c>
      <c r="F19" s="1117">
        <v>0.1</v>
      </c>
      <c r="G19" s="1109">
        <v>0.08</v>
      </c>
      <c r="H19" s="1118">
        <v>998100.0</v>
      </c>
      <c r="I19" s="1118">
        <f t="shared" si="1"/>
        <v>907360</v>
      </c>
      <c r="J19" s="1118">
        <f t="shared" si="2"/>
        <v>918250</v>
      </c>
      <c r="K19" s="1110"/>
    </row>
    <row r="20" ht="18.75" customHeight="1">
      <c r="A20" s="1110"/>
      <c r="B20" s="1108" t="s">
        <v>8795</v>
      </c>
      <c r="C20" s="1108" t="s">
        <v>8806</v>
      </c>
      <c r="D20" s="1116" t="s">
        <v>8821</v>
      </c>
      <c r="E20" s="1116" t="s">
        <v>8822</v>
      </c>
      <c r="F20" s="1117">
        <v>0.1</v>
      </c>
      <c r="G20" s="1109">
        <v>0.08</v>
      </c>
      <c r="H20" s="1118">
        <v>1364800.0</v>
      </c>
      <c r="I20" s="1118">
        <f t="shared" si="1"/>
        <v>1240730</v>
      </c>
      <c r="J20" s="1118">
        <f t="shared" si="2"/>
        <v>1255620</v>
      </c>
      <c r="K20" s="1110"/>
    </row>
    <row r="21" ht="18.75" customHeight="1">
      <c r="A21" s="1110"/>
      <c r="B21" s="1108" t="s">
        <v>8795</v>
      </c>
      <c r="C21" s="1108" t="s">
        <v>8823</v>
      </c>
      <c r="D21" s="1116" t="s">
        <v>399</v>
      </c>
      <c r="E21" s="1116" t="s">
        <v>8824</v>
      </c>
      <c r="F21" s="1117">
        <v>0.1</v>
      </c>
      <c r="G21" s="1109">
        <v>0.08</v>
      </c>
      <c r="H21" s="1118">
        <v>1107000.0</v>
      </c>
      <c r="I21" s="1118">
        <f t="shared" si="1"/>
        <v>1006360</v>
      </c>
      <c r="J21" s="1118">
        <f t="shared" si="2"/>
        <v>1018440</v>
      </c>
      <c r="K21" s="1110"/>
    </row>
    <row r="22" ht="18.75" customHeight="1">
      <c r="A22" s="1110"/>
      <c r="B22" s="1108" t="s">
        <v>8795</v>
      </c>
      <c r="C22" s="1108" t="s">
        <v>8823</v>
      </c>
      <c r="D22" s="1116" t="s">
        <v>401</v>
      </c>
      <c r="E22" s="1116" t="s">
        <v>8825</v>
      </c>
      <c r="F22" s="1117">
        <v>0.1</v>
      </c>
      <c r="G22" s="1109">
        <v>0.08</v>
      </c>
      <c r="H22" s="1118">
        <v>1162500.0</v>
      </c>
      <c r="I22" s="1118">
        <f t="shared" si="1"/>
        <v>1056820</v>
      </c>
      <c r="J22" s="1118">
        <f t="shared" si="2"/>
        <v>1069500</v>
      </c>
      <c r="K22" s="1110"/>
    </row>
    <row r="23" ht="18.75" customHeight="1">
      <c r="A23" s="1110"/>
      <c r="B23" s="1108" t="s">
        <v>8795</v>
      </c>
      <c r="C23" s="1108" t="s">
        <v>8823</v>
      </c>
      <c r="D23" s="1116" t="s">
        <v>403</v>
      </c>
      <c r="E23" s="1116" t="s">
        <v>8826</v>
      </c>
      <c r="F23" s="1117">
        <v>0.1</v>
      </c>
      <c r="G23" s="1109">
        <v>0.08</v>
      </c>
      <c r="H23" s="1118">
        <v>1682800.0</v>
      </c>
      <c r="I23" s="1118">
        <f t="shared" si="1"/>
        <v>1529820</v>
      </c>
      <c r="J23" s="1118">
        <f t="shared" si="2"/>
        <v>1548180</v>
      </c>
      <c r="K23" s="1110"/>
    </row>
    <row r="24" ht="18.75" customHeight="1">
      <c r="A24" s="1110"/>
      <c r="B24" s="1108" t="s">
        <v>8795</v>
      </c>
      <c r="C24" s="1108" t="s">
        <v>8823</v>
      </c>
      <c r="D24" s="1116" t="s">
        <v>405</v>
      </c>
      <c r="E24" s="1116" t="s">
        <v>8827</v>
      </c>
      <c r="F24" s="1117">
        <v>0.1</v>
      </c>
      <c r="G24" s="1109">
        <v>0.08</v>
      </c>
      <c r="H24" s="1118">
        <v>1018500.0</v>
      </c>
      <c r="I24" s="1118">
        <f t="shared" si="1"/>
        <v>925910</v>
      </c>
      <c r="J24" s="1118">
        <f t="shared" si="2"/>
        <v>937020</v>
      </c>
      <c r="K24" s="1110"/>
    </row>
    <row r="25" ht="18.75" customHeight="1">
      <c r="A25" s="1110"/>
      <c r="B25" s="1108" t="s">
        <v>8795</v>
      </c>
      <c r="C25" s="1108" t="s">
        <v>8823</v>
      </c>
      <c r="D25" s="1116" t="s">
        <v>407</v>
      </c>
      <c r="E25" s="1116" t="s">
        <v>8828</v>
      </c>
      <c r="F25" s="1117">
        <v>0.1</v>
      </c>
      <c r="G25" s="1109">
        <v>0.08</v>
      </c>
      <c r="H25" s="1118">
        <v>1284300.0</v>
      </c>
      <c r="I25" s="1118">
        <f t="shared" si="1"/>
        <v>1167550</v>
      </c>
      <c r="J25" s="1118">
        <f t="shared" si="2"/>
        <v>1181560</v>
      </c>
      <c r="K25" s="1110"/>
    </row>
    <row r="26" ht="18.75" customHeight="1">
      <c r="A26" s="1110"/>
      <c r="B26" s="1108" t="s">
        <v>8795</v>
      </c>
      <c r="C26" s="1108" t="s">
        <v>8823</v>
      </c>
      <c r="D26" s="1116" t="s">
        <v>409</v>
      </c>
      <c r="E26" s="1116" t="s">
        <v>8829</v>
      </c>
      <c r="F26" s="1117">
        <v>0.1</v>
      </c>
      <c r="G26" s="1109">
        <v>0.08</v>
      </c>
      <c r="H26" s="1118">
        <v>1523300.0</v>
      </c>
      <c r="I26" s="1118">
        <f t="shared" si="1"/>
        <v>1384820</v>
      </c>
      <c r="J26" s="1118">
        <f t="shared" si="2"/>
        <v>1401440</v>
      </c>
      <c r="K26" s="1110"/>
    </row>
    <row r="27" ht="18.75" customHeight="1">
      <c r="A27" s="1110"/>
      <c r="B27" s="1108" t="s">
        <v>8795</v>
      </c>
      <c r="C27" s="1108" t="s">
        <v>8823</v>
      </c>
      <c r="D27" s="1116" t="s">
        <v>8830</v>
      </c>
      <c r="E27" s="1116" t="s">
        <v>8831</v>
      </c>
      <c r="F27" s="1117">
        <v>0.1</v>
      </c>
      <c r="G27" s="1109">
        <v>0.08</v>
      </c>
      <c r="H27" s="1118">
        <v>1675400.0</v>
      </c>
      <c r="I27" s="1118">
        <f t="shared" si="1"/>
        <v>1523090</v>
      </c>
      <c r="J27" s="1118">
        <f t="shared" si="2"/>
        <v>1541370</v>
      </c>
      <c r="K27" s="1110"/>
    </row>
    <row r="28" ht="18.75" customHeight="1">
      <c r="A28" s="1110"/>
      <c r="B28" s="1108" t="s">
        <v>8795</v>
      </c>
      <c r="C28" s="1108" t="s">
        <v>8823</v>
      </c>
      <c r="D28" s="1116" t="s">
        <v>8832</v>
      </c>
      <c r="E28" s="1116" t="s">
        <v>8833</v>
      </c>
      <c r="F28" s="1117">
        <v>0.1</v>
      </c>
      <c r="G28" s="1109">
        <v>0.08</v>
      </c>
      <c r="H28" s="1118">
        <v>2066600.0</v>
      </c>
      <c r="I28" s="1118">
        <f t="shared" si="1"/>
        <v>1878730</v>
      </c>
      <c r="J28" s="1118">
        <f t="shared" si="2"/>
        <v>1901270</v>
      </c>
      <c r="K28" s="1110"/>
    </row>
    <row r="29" ht="18.75" customHeight="1">
      <c r="A29" s="1110"/>
      <c r="B29" s="1108" t="s">
        <v>8795</v>
      </c>
      <c r="C29" s="1108" t="s">
        <v>8823</v>
      </c>
      <c r="D29" s="1116" t="s">
        <v>411</v>
      </c>
      <c r="E29" s="1116" t="s">
        <v>8834</v>
      </c>
      <c r="F29" s="1117">
        <v>0.1</v>
      </c>
      <c r="G29" s="1109">
        <v>0.08</v>
      </c>
      <c r="H29" s="1118">
        <v>449000.0</v>
      </c>
      <c r="I29" s="1118">
        <f t="shared" si="1"/>
        <v>408180</v>
      </c>
      <c r="J29" s="1118">
        <f t="shared" si="2"/>
        <v>413080</v>
      </c>
      <c r="K29" s="1110"/>
    </row>
    <row r="30" ht="18.75" customHeight="1">
      <c r="A30" s="1110"/>
      <c r="B30" s="1108" t="s">
        <v>8835</v>
      </c>
      <c r="C30" s="1108" t="s">
        <v>8836</v>
      </c>
      <c r="D30" s="1116" t="s">
        <v>8837</v>
      </c>
      <c r="E30" s="1116" t="s">
        <v>8838</v>
      </c>
      <c r="F30" s="1117">
        <v>0.1</v>
      </c>
      <c r="G30" s="1109">
        <v>0.08</v>
      </c>
      <c r="H30" s="1118"/>
      <c r="I30" s="1118" t="str">
        <f t="shared" si="1"/>
        <v/>
      </c>
      <c r="J30" s="1118" t="str">
        <f t="shared" si="2"/>
        <v/>
      </c>
      <c r="K30" s="1110"/>
    </row>
    <row r="31" ht="18.75" customHeight="1">
      <c r="A31" s="1110"/>
      <c r="B31" s="1108" t="s">
        <v>8835</v>
      </c>
      <c r="C31" s="1108" t="s">
        <v>8836</v>
      </c>
      <c r="D31" s="1116" t="s">
        <v>8839</v>
      </c>
      <c r="E31" s="1116" t="s">
        <v>8840</v>
      </c>
      <c r="F31" s="1117">
        <v>0.1</v>
      </c>
      <c r="G31" s="1109">
        <v>0.08</v>
      </c>
      <c r="H31" s="1118"/>
      <c r="I31" s="1118" t="str">
        <f t="shared" si="1"/>
        <v/>
      </c>
      <c r="J31" s="1118" t="str">
        <f t="shared" si="2"/>
        <v/>
      </c>
      <c r="K31" s="1110"/>
    </row>
    <row r="32" ht="18.75" customHeight="1">
      <c r="A32" s="1110"/>
      <c r="B32" s="1108" t="s">
        <v>8835</v>
      </c>
      <c r="C32" s="1108" t="s">
        <v>8836</v>
      </c>
      <c r="D32" s="1116" t="s">
        <v>8841</v>
      </c>
      <c r="E32" s="1116" t="s">
        <v>8842</v>
      </c>
      <c r="F32" s="1117">
        <v>0.1</v>
      </c>
      <c r="G32" s="1109">
        <v>0.08</v>
      </c>
      <c r="H32" s="1118"/>
      <c r="I32" s="1118" t="str">
        <f t="shared" si="1"/>
        <v/>
      </c>
      <c r="J32" s="1118" t="str">
        <f t="shared" si="2"/>
        <v/>
      </c>
      <c r="K32" s="1110"/>
    </row>
    <row r="33" ht="18.75" customHeight="1">
      <c r="A33" s="1110"/>
      <c r="B33" s="1108" t="s">
        <v>8835</v>
      </c>
      <c r="C33" s="1108" t="s">
        <v>8836</v>
      </c>
      <c r="D33" s="1116" t="s">
        <v>8843</v>
      </c>
      <c r="E33" s="1116" t="s">
        <v>8844</v>
      </c>
      <c r="F33" s="1117">
        <v>0.1</v>
      </c>
      <c r="G33" s="1109">
        <v>0.08</v>
      </c>
      <c r="H33" s="1118">
        <v>977800.0</v>
      </c>
      <c r="I33" s="1118">
        <f t="shared" si="1"/>
        <v>888910</v>
      </c>
      <c r="J33" s="1118">
        <f t="shared" si="2"/>
        <v>899580</v>
      </c>
      <c r="K33" s="1110"/>
    </row>
    <row r="34" ht="18.75" customHeight="1">
      <c r="A34" s="1110"/>
      <c r="B34" s="1108" t="s">
        <v>8835</v>
      </c>
      <c r="C34" s="1108" t="s">
        <v>8836</v>
      </c>
      <c r="D34" s="1116" t="s">
        <v>8845</v>
      </c>
      <c r="E34" s="1116" t="s">
        <v>8846</v>
      </c>
      <c r="F34" s="1117">
        <v>0.1</v>
      </c>
      <c r="G34" s="1109">
        <v>0.08</v>
      </c>
      <c r="H34" s="1118">
        <v>1038800.0</v>
      </c>
      <c r="I34" s="1118">
        <f t="shared" si="1"/>
        <v>944360</v>
      </c>
      <c r="J34" s="1118">
        <f t="shared" si="2"/>
        <v>955700</v>
      </c>
      <c r="K34" s="1110"/>
    </row>
    <row r="35" ht="18.75" customHeight="1">
      <c r="A35" s="1110"/>
      <c r="B35" s="1108" t="s">
        <v>8835</v>
      </c>
      <c r="C35" s="1108" t="s">
        <v>8836</v>
      </c>
      <c r="D35" s="1116" t="s">
        <v>8847</v>
      </c>
      <c r="E35" s="1116" t="s">
        <v>8848</v>
      </c>
      <c r="F35" s="1117">
        <v>0.1</v>
      </c>
      <c r="G35" s="1109">
        <v>0.08</v>
      </c>
      <c r="H35" s="1118">
        <v>976900.0</v>
      </c>
      <c r="I35" s="1118">
        <f t="shared" si="1"/>
        <v>888090</v>
      </c>
      <c r="J35" s="1118">
        <f t="shared" si="2"/>
        <v>898750</v>
      </c>
      <c r="K35" s="1110"/>
    </row>
    <row r="36" ht="18.75" customHeight="1">
      <c r="A36" s="1110"/>
      <c r="B36" s="1108" t="s">
        <v>8835</v>
      </c>
      <c r="C36" s="1108" t="s">
        <v>8836</v>
      </c>
      <c r="D36" s="1116" t="s">
        <v>8849</v>
      </c>
      <c r="E36" s="1116" t="s">
        <v>8850</v>
      </c>
      <c r="F36" s="1117">
        <v>0.1</v>
      </c>
      <c r="G36" s="1109">
        <v>0.08</v>
      </c>
      <c r="H36" s="1118">
        <v>1032200.0</v>
      </c>
      <c r="I36" s="1118">
        <f t="shared" si="1"/>
        <v>938360</v>
      </c>
      <c r="J36" s="1118">
        <f t="shared" si="2"/>
        <v>949620</v>
      </c>
      <c r="K36" s="1110"/>
    </row>
    <row r="37" ht="18.75" customHeight="1">
      <c r="A37" s="1110"/>
      <c r="B37" s="1108" t="s">
        <v>8835</v>
      </c>
      <c r="C37" s="1108" t="s">
        <v>8836</v>
      </c>
      <c r="D37" s="1116" t="s">
        <v>8851</v>
      </c>
      <c r="E37" s="1116" t="s">
        <v>8852</v>
      </c>
      <c r="F37" s="1117">
        <v>0.1</v>
      </c>
      <c r="G37" s="1109">
        <v>0.08</v>
      </c>
      <c r="H37" s="1118">
        <v>1165100.0</v>
      </c>
      <c r="I37" s="1118">
        <f t="shared" si="1"/>
        <v>1059180</v>
      </c>
      <c r="J37" s="1118">
        <f t="shared" si="2"/>
        <v>1071890</v>
      </c>
      <c r="K37" s="1110"/>
    </row>
    <row r="38" ht="18.75" customHeight="1">
      <c r="A38" s="1110"/>
      <c r="B38" s="1108" t="s">
        <v>8835</v>
      </c>
      <c r="C38" s="1108" t="s">
        <v>8836</v>
      </c>
      <c r="D38" s="1116" t="s">
        <v>8853</v>
      </c>
      <c r="E38" s="1116" t="s">
        <v>8854</v>
      </c>
      <c r="F38" s="1117">
        <v>0.1</v>
      </c>
      <c r="G38" s="1109">
        <v>0.08</v>
      </c>
      <c r="H38" s="1118">
        <v>1253700.0</v>
      </c>
      <c r="I38" s="1118">
        <f t="shared" si="1"/>
        <v>1139730</v>
      </c>
      <c r="J38" s="1118">
        <f t="shared" si="2"/>
        <v>1153400</v>
      </c>
      <c r="K38" s="1110"/>
    </row>
    <row r="39" ht="18.75" customHeight="1">
      <c r="A39" s="1110"/>
      <c r="B39" s="1108" t="s">
        <v>8835</v>
      </c>
      <c r="C39" s="1108" t="s">
        <v>8836</v>
      </c>
      <c r="D39" s="1116" t="s">
        <v>8855</v>
      </c>
      <c r="E39" s="1116" t="s">
        <v>8856</v>
      </c>
      <c r="F39" s="1117">
        <v>0.1</v>
      </c>
      <c r="G39" s="1109">
        <v>0.08</v>
      </c>
      <c r="H39" s="1118">
        <v>1364300.0</v>
      </c>
      <c r="I39" s="1118">
        <f t="shared" si="1"/>
        <v>1240270</v>
      </c>
      <c r="J39" s="1118">
        <f t="shared" si="2"/>
        <v>1255160</v>
      </c>
      <c r="K39" s="1110"/>
    </row>
    <row r="40" ht="18.75" customHeight="1">
      <c r="A40" s="1110"/>
      <c r="B40" s="1108" t="s">
        <v>8835</v>
      </c>
      <c r="C40" s="1108" t="s">
        <v>8857</v>
      </c>
      <c r="D40" s="1116" t="s">
        <v>387</v>
      </c>
      <c r="E40" s="1116" t="s">
        <v>8858</v>
      </c>
      <c r="F40" s="1117">
        <v>0.1</v>
      </c>
      <c r="G40" s="1109">
        <v>0.08</v>
      </c>
      <c r="H40" s="1118">
        <v>907800.0</v>
      </c>
      <c r="I40" s="1118">
        <f t="shared" si="1"/>
        <v>825270</v>
      </c>
      <c r="J40" s="1118">
        <f t="shared" si="2"/>
        <v>835180</v>
      </c>
      <c r="K40" s="1110"/>
    </row>
    <row r="41" ht="18.75" customHeight="1">
      <c r="A41" s="1110"/>
      <c r="B41" s="1108" t="s">
        <v>8835</v>
      </c>
      <c r="C41" s="1108" t="s">
        <v>8857</v>
      </c>
      <c r="D41" s="1116" t="s">
        <v>390</v>
      </c>
      <c r="E41" s="1116" t="s">
        <v>8859</v>
      </c>
      <c r="F41" s="1117">
        <v>0.1</v>
      </c>
      <c r="G41" s="1109">
        <v>0.08</v>
      </c>
      <c r="H41" s="1118">
        <v>941100.0</v>
      </c>
      <c r="I41" s="1118">
        <f t="shared" si="1"/>
        <v>855550</v>
      </c>
      <c r="J41" s="1118">
        <f t="shared" si="2"/>
        <v>865810</v>
      </c>
      <c r="K41" s="1110"/>
    </row>
    <row r="42" ht="18.75" customHeight="1">
      <c r="A42" s="1110"/>
      <c r="B42" s="1108" t="s">
        <v>8835</v>
      </c>
      <c r="C42" s="1108" t="s">
        <v>8857</v>
      </c>
      <c r="D42" s="1116" t="s">
        <v>392</v>
      </c>
      <c r="E42" s="1116" t="s">
        <v>8860</v>
      </c>
      <c r="F42" s="1117">
        <v>0.1</v>
      </c>
      <c r="G42" s="1109">
        <v>0.08</v>
      </c>
      <c r="H42" s="1118">
        <v>1162500.0</v>
      </c>
      <c r="I42" s="1118">
        <f t="shared" si="1"/>
        <v>1056820</v>
      </c>
      <c r="J42" s="1118">
        <f t="shared" si="2"/>
        <v>1069500</v>
      </c>
      <c r="K42" s="1110"/>
    </row>
    <row r="43" ht="18.75" customHeight="1">
      <c r="A43" s="1110"/>
      <c r="B43" s="1108" t="s">
        <v>8835</v>
      </c>
      <c r="C43" s="1108" t="s">
        <v>8857</v>
      </c>
      <c r="D43" s="1116" t="s">
        <v>394</v>
      </c>
      <c r="E43" s="1116" t="s">
        <v>8861</v>
      </c>
      <c r="F43" s="1117">
        <v>0.1</v>
      </c>
      <c r="G43" s="1109">
        <v>0.08</v>
      </c>
      <c r="H43" s="1118">
        <v>1328500.0</v>
      </c>
      <c r="I43" s="1118">
        <f t="shared" si="1"/>
        <v>1207730</v>
      </c>
      <c r="J43" s="1118">
        <f t="shared" si="2"/>
        <v>1222220</v>
      </c>
      <c r="K43" s="1110"/>
    </row>
    <row r="44" ht="18.75" customHeight="1">
      <c r="A44" s="1110"/>
      <c r="B44" s="1108" t="s">
        <v>8835</v>
      </c>
      <c r="C44" s="1108" t="s">
        <v>8857</v>
      </c>
      <c r="D44" s="1116" t="s">
        <v>396</v>
      </c>
      <c r="E44" s="1116" t="s">
        <v>8862</v>
      </c>
      <c r="F44" s="1117">
        <v>0.1</v>
      </c>
      <c r="G44" s="1109">
        <v>0.08</v>
      </c>
      <c r="H44" s="1118">
        <v>1549900.0</v>
      </c>
      <c r="I44" s="1118">
        <f t="shared" si="1"/>
        <v>1409000</v>
      </c>
      <c r="J44" s="1118">
        <f t="shared" si="2"/>
        <v>1425910</v>
      </c>
      <c r="K44" s="1110"/>
    </row>
    <row r="45" ht="18.75" customHeight="1">
      <c r="A45" s="1110"/>
      <c r="B45" s="1108" t="s">
        <v>8835</v>
      </c>
      <c r="C45" s="1108" t="s">
        <v>8857</v>
      </c>
      <c r="D45" s="1116" t="s">
        <v>8863</v>
      </c>
      <c r="E45" s="1116" t="s">
        <v>8864</v>
      </c>
      <c r="F45" s="1117">
        <v>0.1</v>
      </c>
      <c r="G45" s="1109">
        <v>0.08</v>
      </c>
      <c r="H45" s="1118">
        <v>1018500.0</v>
      </c>
      <c r="I45" s="1118">
        <f t="shared" si="1"/>
        <v>925910</v>
      </c>
      <c r="J45" s="1118">
        <f t="shared" si="2"/>
        <v>937020</v>
      </c>
      <c r="K45" s="1110"/>
    </row>
    <row r="46" ht="18.75" customHeight="1">
      <c r="A46" s="1110"/>
      <c r="B46" s="1108" t="s">
        <v>8835</v>
      </c>
      <c r="C46" s="1108" t="s">
        <v>8857</v>
      </c>
      <c r="D46" s="1116" t="s">
        <v>8865</v>
      </c>
      <c r="E46" s="1116" t="s">
        <v>8866</v>
      </c>
      <c r="F46" s="1117">
        <v>0.1</v>
      </c>
      <c r="G46" s="1109">
        <v>0.08</v>
      </c>
      <c r="H46" s="1118">
        <v>1073800.0</v>
      </c>
      <c r="I46" s="1118">
        <f t="shared" si="1"/>
        <v>976180</v>
      </c>
      <c r="J46" s="1118">
        <f t="shared" si="2"/>
        <v>987900</v>
      </c>
      <c r="K46" s="1110"/>
    </row>
    <row r="47" ht="18.75" customHeight="1">
      <c r="A47" s="1110"/>
      <c r="B47" s="1108" t="s">
        <v>8835</v>
      </c>
      <c r="C47" s="1108" t="s">
        <v>8857</v>
      </c>
      <c r="D47" s="1116" t="s">
        <v>8867</v>
      </c>
      <c r="E47" s="1116" t="s">
        <v>8868</v>
      </c>
      <c r="F47" s="1117">
        <v>0.1</v>
      </c>
      <c r="G47" s="1109">
        <v>0.08</v>
      </c>
      <c r="H47" s="1118"/>
      <c r="I47" s="1118" t="str">
        <f t="shared" si="1"/>
        <v/>
      </c>
      <c r="J47" s="1118" t="str">
        <f t="shared" si="2"/>
        <v/>
      </c>
      <c r="K47" s="1110"/>
    </row>
    <row r="48" ht="18.75" customHeight="1">
      <c r="A48" s="1110"/>
      <c r="B48" s="1108" t="s">
        <v>8835</v>
      </c>
      <c r="C48" s="1108" t="s">
        <v>8857</v>
      </c>
      <c r="D48" s="1116" t="s">
        <v>8869</v>
      </c>
      <c r="E48" s="1116" t="s">
        <v>8870</v>
      </c>
      <c r="F48" s="1117">
        <v>0.1</v>
      </c>
      <c r="G48" s="1109">
        <v>0.08</v>
      </c>
      <c r="H48" s="1118"/>
      <c r="I48" s="1118" t="str">
        <f t="shared" si="1"/>
        <v/>
      </c>
      <c r="J48" s="1118" t="str">
        <f t="shared" si="2"/>
        <v/>
      </c>
      <c r="K48" s="1110"/>
    </row>
    <row r="49" ht="18.75" customHeight="1">
      <c r="A49" s="1110"/>
      <c r="B49" s="1108" t="s">
        <v>8835</v>
      </c>
      <c r="C49" s="1108" t="s">
        <v>8857</v>
      </c>
      <c r="D49" s="1116" t="s">
        <v>8871</v>
      </c>
      <c r="E49" s="1116" t="s">
        <v>8872</v>
      </c>
      <c r="F49" s="1117">
        <v>0.1</v>
      </c>
      <c r="G49" s="1109">
        <v>0.08</v>
      </c>
      <c r="H49" s="1118"/>
      <c r="I49" s="1118" t="str">
        <f t="shared" si="1"/>
        <v/>
      </c>
      <c r="J49" s="1118" t="str">
        <f t="shared" si="2"/>
        <v/>
      </c>
      <c r="K49" s="1110"/>
    </row>
    <row r="50" ht="18.75" customHeight="1">
      <c r="A50" s="1110"/>
      <c r="B50" s="1108" t="s">
        <v>8835</v>
      </c>
      <c r="C50" s="1108" t="s">
        <v>8857</v>
      </c>
      <c r="D50" s="1116" t="s">
        <v>8873</v>
      </c>
      <c r="E50" s="1116" t="s">
        <v>8874</v>
      </c>
      <c r="F50" s="1117">
        <v>0.1</v>
      </c>
      <c r="G50" s="1109">
        <v>0.08</v>
      </c>
      <c r="H50" s="1118">
        <v>1029600.0</v>
      </c>
      <c r="I50" s="1118">
        <f t="shared" si="1"/>
        <v>936000</v>
      </c>
      <c r="J50" s="1118">
        <f t="shared" si="2"/>
        <v>947230</v>
      </c>
      <c r="K50" s="1110"/>
    </row>
    <row r="51" ht="18.75" customHeight="1">
      <c r="A51" s="1110"/>
      <c r="B51" s="1108" t="s">
        <v>8835</v>
      </c>
      <c r="C51" s="1108" t="s">
        <v>8857</v>
      </c>
      <c r="D51" s="1116" t="s">
        <v>8875</v>
      </c>
      <c r="E51" s="1116" t="s">
        <v>8876</v>
      </c>
      <c r="F51" s="1117">
        <v>0.1</v>
      </c>
      <c r="G51" s="1109">
        <v>0.08</v>
      </c>
      <c r="H51" s="1118">
        <v>1084900.0</v>
      </c>
      <c r="I51" s="1118">
        <f t="shared" si="1"/>
        <v>986270</v>
      </c>
      <c r="J51" s="1118">
        <f t="shared" si="2"/>
        <v>998110</v>
      </c>
      <c r="K51" s="1110"/>
    </row>
    <row r="52" ht="18.75" customHeight="1">
      <c r="A52" s="1110"/>
      <c r="B52" s="1108" t="s">
        <v>8835</v>
      </c>
      <c r="C52" s="1108" t="s">
        <v>8857</v>
      </c>
      <c r="D52" s="1116" t="s">
        <v>8877</v>
      </c>
      <c r="E52" s="1116" t="s">
        <v>8878</v>
      </c>
      <c r="F52" s="1117">
        <v>0.1</v>
      </c>
      <c r="G52" s="1109">
        <v>0.08</v>
      </c>
      <c r="H52" s="1118">
        <v>1317500.0</v>
      </c>
      <c r="I52" s="1118">
        <f t="shared" si="1"/>
        <v>1197730</v>
      </c>
      <c r="J52" s="1118">
        <f t="shared" si="2"/>
        <v>1212100</v>
      </c>
      <c r="K52" s="1110"/>
    </row>
    <row r="53" ht="18.75" customHeight="1">
      <c r="A53" s="1110"/>
      <c r="B53" s="1108" t="s">
        <v>8835</v>
      </c>
      <c r="C53" s="1108" t="s">
        <v>8857</v>
      </c>
      <c r="D53" s="1116" t="s">
        <v>8879</v>
      </c>
      <c r="E53" s="1116" t="s">
        <v>8880</v>
      </c>
      <c r="F53" s="1117">
        <v>0.1</v>
      </c>
      <c r="G53" s="1109">
        <v>0.08</v>
      </c>
      <c r="H53" s="1118">
        <v>1483500.0</v>
      </c>
      <c r="I53" s="1118">
        <f t="shared" si="1"/>
        <v>1348640</v>
      </c>
      <c r="J53" s="1118">
        <f t="shared" si="2"/>
        <v>1364820</v>
      </c>
      <c r="K53" s="1110"/>
    </row>
    <row r="54" ht="18.75" customHeight="1">
      <c r="A54" s="1110"/>
      <c r="B54" s="1108" t="s">
        <v>8835</v>
      </c>
      <c r="C54" s="1108" t="s">
        <v>8857</v>
      </c>
      <c r="D54" s="1116" t="s">
        <v>8881</v>
      </c>
      <c r="E54" s="1116" t="s">
        <v>8882</v>
      </c>
      <c r="F54" s="1117">
        <v>0.1</v>
      </c>
      <c r="G54" s="1109">
        <v>0.08</v>
      </c>
      <c r="H54" s="1118">
        <v>1716000.0</v>
      </c>
      <c r="I54" s="1118">
        <f t="shared" si="1"/>
        <v>1560000</v>
      </c>
      <c r="J54" s="1118">
        <f t="shared" si="2"/>
        <v>1578720</v>
      </c>
      <c r="K54" s="1110"/>
    </row>
    <row r="55" ht="18.75" customHeight="1">
      <c r="A55" s="1110"/>
      <c r="B55" s="1108" t="s">
        <v>8835</v>
      </c>
      <c r="C55" s="1108" t="s">
        <v>8857</v>
      </c>
      <c r="D55" s="1116" t="s">
        <v>8883</v>
      </c>
      <c r="E55" s="1116" t="s">
        <v>8884</v>
      </c>
      <c r="F55" s="1117">
        <v>0.1</v>
      </c>
      <c r="G55" s="1109">
        <v>0.08</v>
      </c>
      <c r="H55" s="1118">
        <v>1018500.0</v>
      </c>
      <c r="I55" s="1118">
        <f t="shared" si="1"/>
        <v>925910</v>
      </c>
      <c r="J55" s="1118">
        <f t="shared" si="2"/>
        <v>937020</v>
      </c>
      <c r="K55" s="1110"/>
    </row>
    <row r="56" ht="18.75" customHeight="1">
      <c r="A56" s="1110"/>
      <c r="B56" s="1108" t="s">
        <v>8835</v>
      </c>
      <c r="C56" s="1108" t="s">
        <v>8857</v>
      </c>
      <c r="D56" s="1116" t="s">
        <v>8885</v>
      </c>
      <c r="E56" s="1116" t="s">
        <v>8886</v>
      </c>
      <c r="F56" s="1117">
        <v>0.1</v>
      </c>
      <c r="G56" s="1109">
        <v>0.08</v>
      </c>
      <c r="H56" s="1118">
        <v>1073800.0</v>
      </c>
      <c r="I56" s="1118">
        <f t="shared" si="1"/>
        <v>976180</v>
      </c>
      <c r="J56" s="1118">
        <f t="shared" si="2"/>
        <v>987900</v>
      </c>
      <c r="K56" s="1110"/>
    </row>
    <row r="57" ht="18.75" customHeight="1">
      <c r="A57" s="1110"/>
      <c r="B57" s="1108" t="s">
        <v>8835</v>
      </c>
      <c r="C57" s="1108" t="s">
        <v>8857</v>
      </c>
      <c r="D57" s="1116" t="s">
        <v>8887</v>
      </c>
      <c r="E57" s="1116" t="s">
        <v>8888</v>
      </c>
      <c r="F57" s="1117">
        <v>0.1</v>
      </c>
      <c r="G57" s="1109">
        <v>0.08</v>
      </c>
      <c r="H57" s="1118"/>
      <c r="I57" s="1118" t="str">
        <f t="shared" si="1"/>
        <v/>
      </c>
      <c r="J57" s="1118" t="str">
        <f t="shared" si="2"/>
        <v/>
      </c>
      <c r="K57" s="1110"/>
    </row>
    <row r="58" ht="18.75" customHeight="1">
      <c r="A58" s="1110"/>
      <c r="B58" s="1108" t="s">
        <v>8835</v>
      </c>
      <c r="C58" s="1108" t="s">
        <v>8857</v>
      </c>
      <c r="D58" s="1116" t="s">
        <v>8889</v>
      </c>
      <c r="E58" s="1116" t="s">
        <v>8890</v>
      </c>
      <c r="F58" s="1117">
        <v>0.1</v>
      </c>
      <c r="G58" s="1109">
        <v>0.08</v>
      </c>
      <c r="H58" s="1118"/>
      <c r="I58" s="1118" t="str">
        <f t="shared" si="1"/>
        <v/>
      </c>
      <c r="J58" s="1118" t="str">
        <f t="shared" si="2"/>
        <v/>
      </c>
      <c r="K58" s="1110"/>
    </row>
    <row r="59" ht="18.75" customHeight="1">
      <c r="A59" s="1110"/>
      <c r="B59" s="1108" t="s">
        <v>8835</v>
      </c>
      <c r="C59" s="1108" t="s">
        <v>8857</v>
      </c>
      <c r="D59" s="1116" t="s">
        <v>8891</v>
      </c>
      <c r="E59" s="1116" t="s">
        <v>8892</v>
      </c>
      <c r="F59" s="1117">
        <v>0.1</v>
      </c>
      <c r="G59" s="1109">
        <v>0.08</v>
      </c>
      <c r="H59" s="1118"/>
      <c r="I59" s="1118" t="str">
        <f t="shared" si="1"/>
        <v/>
      </c>
      <c r="J59" s="1118" t="str">
        <f t="shared" si="2"/>
        <v/>
      </c>
      <c r="K59" s="1110"/>
    </row>
    <row r="60" ht="18.75" customHeight="1">
      <c r="A60" s="1110"/>
      <c r="B60" s="1108" t="s">
        <v>8835</v>
      </c>
      <c r="C60" s="1108" t="s">
        <v>8857</v>
      </c>
      <c r="D60" s="1116" t="s">
        <v>8893</v>
      </c>
      <c r="E60" s="1116" t="s">
        <v>8894</v>
      </c>
      <c r="F60" s="1117">
        <v>0.1</v>
      </c>
      <c r="G60" s="1109">
        <v>0.08</v>
      </c>
      <c r="H60" s="1118">
        <v>1029600.0</v>
      </c>
      <c r="I60" s="1118">
        <f t="shared" si="1"/>
        <v>936000</v>
      </c>
      <c r="J60" s="1118">
        <f t="shared" si="2"/>
        <v>947230</v>
      </c>
      <c r="K60" s="1110"/>
    </row>
    <row r="61" ht="18.75" customHeight="1">
      <c r="A61" s="1110"/>
      <c r="B61" s="1108" t="s">
        <v>8835</v>
      </c>
      <c r="C61" s="1108" t="s">
        <v>8857</v>
      </c>
      <c r="D61" s="1116" t="s">
        <v>8895</v>
      </c>
      <c r="E61" s="1116" t="s">
        <v>8896</v>
      </c>
      <c r="F61" s="1117">
        <v>0.1</v>
      </c>
      <c r="G61" s="1109">
        <v>0.08</v>
      </c>
      <c r="H61" s="1118">
        <v>1084900.0</v>
      </c>
      <c r="I61" s="1118">
        <f t="shared" si="1"/>
        <v>986270</v>
      </c>
      <c r="J61" s="1118">
        <f t="shared" si="2"/>
        <v>998110</v>
      </c>
      <c r="K61" s="1110"/>
    </row>
    <row r="62" ht="18.75" customHeight="1">
      <c r="A62" s="1110"/>
      <c r="B62" s="1108" t="s">
        <v>8835</v>
      </c>
      <c r="C62" s="1108" t="s">
        <v>8857</v>
      </c>
      <c r="D62" s="1116" t="s">
        <v>8897</v>
      </c>
      <c r="E62" s="1116" t="s">
        <v>8898</v>
      </c>
      <c r="F62" s="1117">
        <v>0.1</v>
      </c>
      <c r="G62" s="1109">
        <v>0.08</v>
      </c>
      <c r="H62" s="1118">
        <v>1317500.0</v>
      </c>
      <c r="I62" s="1118">
        <f t="shared" si="1"/>
        <v>1197730</v>
      </c>
      <c r="J62" s="1118">
        <f t="shared" si="2"/>
        <v>1212100</v>
      </c>
      <c r="K62" s="1110"/>
    </row>
    <row r="63" ht="18.75" customHeight="1">
      <c r="A63" s="1110"/>
      <c r="B63" s="1108" t="s">
        <v>8835</v>
      </c>
      <c r="C63" s="1108" t="s">
        <v>8857</v>
      </c>
      <c r="D63" s="1116" t="s">
        <v>8899</v>
      </c>
      <c r="E63" s="1116" t="s">
        <v>8900</v>
      </c>
      <c r="F63" s="1117">
        <v>0.1</v>
      </c>
      <c r="G63" s="1109">
        <v>0.08</v>
      </c>
      <c r="H63" s="1118">
        <v>1483500.0</v>
      </c>
      <c r="I63" s="1118">
        <f t="shared" si="1"/>
        <v>1348640</v>
      </c>
      <c r="J63" s="1118">
        <f t="shared" si="2"/>
        <v>1364820</v>
      </c>
      <c r="K63" s="1110"/>
    </row>
    <row r="64" ht="18.75" customHeight="1">
      <c r="A64" s="1110"/>
      <c r="B64" s="1108" t="s">
        <v>8835</v>
      </c>
      <c r="C64" s="1108" t="s">
        <v>8857</v>
      </c>
      <c r="D64" s="1116" t="s">
        <v>8901</v>
      </c>
      <c r="E64" s="1116" t="s">
        <v>8902</v>
      </c>
      <c r="F64" s="1117">
        <v>0.1</v>
      </c>
      <c r="G64" s="1109">
        <v>0.08</v>
      </c>
      <c r="H64" s="1118">
        <v>1716000.0</v>
      </c>
      <c r="I64" s="1118">
        <f t="shared" si="1"/>
        <v>1560000</v>
      </c>
      <c r="J64" s="1118">
        <f t="shared" si="2"/>
        <v>1578720</v>
      </c>
      <c r="K64" s="1110"/>
    </row>
    <row r="65" ht="18.75" customHeight="1">
      <c r="A65" s="1110"/>
      <c r="B65" s="1108" t="s">
        <v>8903</v>
      </c>
      <c r="C65" s="1108" t="s">
        <v>8904</v>
      </c>
      <c r="D65" s="1116" t="s">
        <v>8905</v>
      </c>
      <c r="E65" s="1116" t="s">
        <v>8906</v>
      </c>
      <c r="F65" s="1117">
        <v>0.1</v>
      </c>
      <c r="G65" s="1117">
        <v>0.0</v>
      </c>
      <c r="H65" s="1118">
        <v>95000.0</v>
      </c>
      <c r="I65" s="1118">
        <f t="shared" si="1"/>
        <v>86360</v>
      </c>
      <c r="J65" s="1118">
        <f t="shared" si="2"/>
        <v>95000</v>
      </c>
      <c r="K65" s="1110"/>
    </row>
    <row r="66" ht="18.75" customHeight="1">
      <c r="A66" s="1110"/>
      <c r="B66" s="1108" t="s">
        <v>8903</v>
      </c>
      <c r="C66" s="1108" t="s">
        <v>8904</v>
      </c>
      <c r="D66" s="1116" t="s">
        <v>8907</v>
      </c>
      <c r="E66" s="1116" t="s">
        <v>8908</v>
      </c>
      <c r="F66" s="1117">
        <v>0.1</v>
      </c>
      <c r="G66" s="1117">
        <v>0.0</v>
      </c>
      <c r="H66" s="1118">
        <v>82400.0</v>
      </c>
      <c r="I66" s="1118">
        <f t="shared" si="1"/>
        <v>74910</v>
      </c>
      <c r="J66" s="1118">
        <f t="shared" si="2"/>
        <v>82400</v>
      </c>
      <c r="K66" s="1110"/>
    </row>
    <row r="67" ht="18.75" customHeight="1">
      <c r="A67" s="1110"/>
      <c r="B67" s="1108" t="s">
        <v>8903</v>
      </c>
      <c r="C67" s="1108" t="s">
        <v>8904</v>
      </c>
      <c r="D67" s="1116" t="s">
        <v>8909</v>
      </c>
      <c r="E67" s="1116" t="s">
        <v>8910</v>
      </c>
      <c r="F67" s="1117">
        <v>0.1</v>
      </c>
      <c r="G67" s="1117">
        <v>0.0</v>
      </c>
      <c r="H67" s="1118">
        <v>83500.0</v>
      </c>
      <c r="I67" s="1118">
        <f t="shared" si="1"/>
        <v>75910</v>
      </c>
      <c r="J67" s="1118">
        <f t="shared" si="2"/>
        <v>83500</v>
      </c>
      <c r="K67" s="1110"/>
    </row>
    <row r="68" ht="18.75" customHeight="1">
      <c r="A68" s="1110"/>
      <c r="B68" s="1108" t="s">
        <v>8903</v>
      </c>
      <c r="C68" s="1108" t="s">
        <v>8904</v>
      </c>
      <c r="D68" s="1116" t="s">
        <v>8911</v>
      </c>
      <c r="E68" s="1116" t="s">
        <v>8912</v>
      </c>
      <c r="F68" s="1117">
        <v>0.1</v>
      </c>
      <c r="G68" s="1117">
        <v>0.0</v>
      </c>
      <c r="H68" s="1118">
        <v>95000.0</v>
      </c>
      <c r="I68" s="1118">
        <f t="shared" si="1"/>
        <v>86360</v>
      </c>
      <c r="J68" s="1118">
        <f t="shared" si="2"/>
        <v>95000</v>
      </c>
      <c r="K68" s="1110"/>
    </row>
    <row r="69" ht="18.75" customHeight="1">
      <c r="A69" s="1110"/>
      <c r="B69" s="1108" t="s">
        <v>8903</v>
      </c>
      <c r="C69" s="1108" t="s">
        <v>8904</v>
      </c>
      <c r="D69" s="1116" t="s">
        <v>8913</v>
      </c>
      <c r="E69" s="1116" t="s">
        <v>8914</v>
      </c>
      <c r="F69" s="1117">
        <v>0.1</v>
      </c>
      <c r="G69" s="1117">
        <v>0.0</v>
      </c>
      <c r="H69" s="1118">
        <v>82300.0</v>
      </c>
      <c r="I69" s="1118">
        <f t="shared" si="1"/>
        <v>74820</v>
      </c>
      <c r="J69" s="1118">
        <f t="shared" si="2"/>
        <v>82300</v>
      </c>
      <c r="K69" s="1110"/>
    </row>
    <row r="70" ht="18.75" customHeight="1">
      <c r="A70" s="1110"/>
      <c r="B70" s="1108" t="s">
        <v>1014</v>
      </c>
      <c r="C70" s="1108" t="s">
        <v>8915</v>
      </c>
      <c r="D70" s="1116" t="s">
        <v>8916</v>
      </c>
      <c r="E70" s="1116" t="s">
        <v>8917</v>
      </c>
      <c r="F70" s="1117">
        <v>0.1</v>
      </c>
      <c r="G70" s="1109">
        <v>0.05</v>
      </c>
      <c r="H70" s="1118">
        <v>30800.0</v>
      </c>
      <c r="I70" s="1118">
        <f t="shared" si="1"/>
        <v>28000</v>
      </c>
      <c r="J70" s="1118">
        <f t="shared" si="2"/>
        <v>29260</v>
      </c>
      <c r="K70" s="1110"/>
    </row>
    <row r="71" ht="18.75" customHeight="1">
      <c r="A71" s="1110"/>
      <c r="B71" s="1108" t="s">
        <v>1014</v>
      </c>
      <c r="C71" s="1108" t="s">
        <v>8915</v>
      </c>
      <c r="D71" s="1116" t="s">
        <v>8918</v>
      </c>
      <c r="E71" s="1116" t="s">
        <v>8919</v>
      </c>
      <c r="F71" s="1117">
        <v>0.1</v>
      </c>
      <c r="G71" s="1109">
        <v>0.05</v>
      </c>
      <c r="H71" s="1118"/>
      <c r="I71" s="1118" t="str">
        <f t="shared" si="1"/>
        <v/>
      </c>
      <c r="J71" s="1118" t="str">
        <f t="shared" si="2"/>
        <v/>
      </c>
      <c r="K71" s="1110"/>
    </row>
    <row r="72" ht="18.75" customHeight="1">
      <c r="A72" s="1110"/>
      <c r="B72" s="1108" t="s">
        <v>1014</v>
      </c>
      <c r="C72" s="1108" t="s">
        <v>8915</v>
      </c>
      <c r="D72" s="1116" t="s">
        <v>8920</v>
      </c>
      <c r="E72" s="1116" t="s">
        <v>8921</v>
      </c>
      <c r="F72" s="1117">
        <v>0.1</v>
      </c>
      <c r="G72" s="1109">
        <v>0.05</v>
      </c>
      <c r="H72" s="1118"/>
      <c r="I72" s="1118" t="str">
        <f t="shared" si="1"/>
        <v/>
      </c>
      <c r="J72" s="1118" t="str">
        <f t="shared" si="2"/>
        <v/>
      </c>
      <c r="K72" s="1110"/>
    </row>
    <row r="73" ht="18.75" customHeight="1">
      <c r="A73" s="1110"/>
      <c r="B73" s="1108" t="s">
        <v>1014</v>
      </c>
      <c r="C73" s="1108" t="s">
        <v>8915</v>
      </c>
      <c r="D73" s="1116" t="s">
        <v>8922</v>
      </c>
      <c r="E73" s="1116" t="s">
        <v>8923</v>
      </c>
      <c r="F73" s="1117">
        <v>0.1</v>
      </c>
      <c r="G73" s="1109">
        <v>0.05</v>
      </c>
      <c r="H73" s="1118">
        <v>44000.0</v>
      </c>
      <c r="I73" s="1118">
        <f t="shared" si="1"/>
        <v>40000</v>
      </c>
      <c r="J73" s="1118">
        <f t="shared" si="2"/>
        <v>41800</v>
      </c>
      <c r="K73" s="1110"/>
    </row>
    <row r="74" ht="18.75" customHeight="1">
      <c r="A74" s="1110"/>
      <c r="B74" s="1108" t="s">
        <v>1014</v>
      </c>
      <c r="C74" s="1108" t="s">
        <v>8915</v>
      </c>
      <c r="D74" s="1116" t="s">
        <v>8924</v>
      </c>
      <c r="E74" s="1116" t="s">
        <v>8925</v>
      </c>
      <c r="F74" s="1117">
        <v>0.1</v>
      </c>
      <c r="G74" s="1109">
        <v>0.05</v>
      </c>
      <c r="H74" s="1118">
        <v>24400.0</v>
      </c>
      <c r="I74" s="1118">
        <f t="shared" si="1"/>
        <v>22180</v>
      </c>
      <c r="J74" s="1118">
        <f t="shared" si="2"/>
        <v>23180</v>
      </c>
      <c r="K74" s="1110"/>
    </row>
    <row r="75" ht="18.75" customHeight="1">
      <c r="A75" s="1110"/>
      <c r="B75" s="1108" t="s">
        <v>1014</v>
      </c>
      <c r="C75" s="1108" t="s">
        <v>8915</v>
      </c>
      <c r="D75" s="1116" t="s">
        <v>8926</v>
      </c>
      <c r="E75" s="1116" t="s">
        <v>8925</v>
      </c>
      <c r="F75" s="1117">
        <v>0.1</v>
      </c>
      <c r="G75" s="1109">
        <v>0.05</v>
      </c>
      <c r="H75" s="1118">
        <v>24400.0</v>
      </c>
      <c r="I75" s="1118">
        <f t="shared" si="1"/>
        <v>22180</v>
      </c>
      <c r="J75" s="1118">
        <f t="shared" si="2"/>
        <v>23180</v>
      </c>
      <c r="K75" s="1110"/>
    </row>
    <row r="76" ht="18.75" customHeight="1">
      <c r="A76" s="1110"/>
      <c r="B76" s="1108" t="s">
        <v>1014</v>
      </c>
      <c r="C76" s="1108" t="s">
        <v>8915</v>
      </c>
      <c r="D76" s="1116" t="s">
        <v>8927</v>
      </c>
      <c r="E76" s="1116" t="s">
        <v>8928</v>
      </c>
      <c r="F76" s="1117">
        <v>0.1</v>
      </c>
      <c r="G76" s="1109">
        <v>0.05</v>
      </c>
      <c r="H76" s="1118">
        <v>34200.0</v>
      </c>
      <c r="I76" s="1118">
        <f t="shared" si="1"/>
        <v>31090</v>
      </c>
      <c r="J76" s="1118">
        <f t="shared" si="2"/>
        <v>32490</v>
      </c>
      <c r="K76" s="1110"/>
    </row>
    <row r="77" ht="18.75" customHeight="1">
      <c r="A77" s="1110"/>
      <c r="B77" s="1108" t="s">
        <v>1014</v>
      </c>
      <c r="C77" s="1108" t="s">
        <v>8915</v>
      </c>
      <c r="D77" s="1116" t="s">
        <v>8929</v>
      </c>
      <c r="E77" s="1116" t="s">
        <v>8930</v>
      </c>
      <c r="F77" s="1117">
        <v>0.1</v>
      </c>
      <c r="G77" s="1109">
        <v>0.05</v>
      </c>
      <c r="H77" s="1118">
        <v>44000.0</v>
      </c>
      <c r="I77" s="1118">
        <f t="shared" si="1"/>
        <v>40000</v>
      </c>
      <c r="J77" s="1118">
        <f t="shared" si="2"/>
        <v>41800</v>
      </c>
      <c r="K77" s="1110"/>
    </row>
    <row r="78" ht="18.75" customHeight="1">
      <c r="A78" s="1110"/>
      <c r="B78" s="1108" t="s">
        <v>1014</v>
      </c>
      <c r="C78" s="1108" t="s">
        <v>8915</v>
      </c>
      <c r="D78" s="1116" t="s">
        <v>8931</v>
      </c>
      <c r="E78" s="1116" t="s">
        <v>8932</v>
      </c>
      <c r="F78" s="1117">
        <v>0.1</v>
      </c>
      <c r="G78" s="1109">
        <v>0.05</v>
      </c>
      <c r="H78" s="1118"/>
      <c r="I78" s="1118" t="str">
        <f t="shared" si="1"/>
        <v/>
      </c>
      <c r="J78" s="1118" t="str">
        <f t="shared" si="2"/>
        <v/>
      </c>
      <c r="K78" s="1110"/>
    </row>
    <row r="79" ht="18.75" customHeight="1">
      <c r="A79" s="1110"/>
      <c r="B79" s="1108" t="s">
        <v>1014</v>
      </c>
      <c r="C79" s="1108" t="s">
        <v>8915</v>
      </c>
      <c r="D79" s="1116" t="s">
        <v>8933</v>
      </c>
      <c r="E79" s="1116" t="s">
        <v>8934</v>
      </c>
      <c r="F79" s="1117">
        <v>0.1</v>
      </c>
      <c r="G79" s="1109">
        <v>0.05</v>
      </c>
      <c r="H79" s="1118"/>
      <c r="I79" s="1118" t="str">
        <f t="shared" si="1"/>
        <v/>
      </c>
      <c r="J79" s="1118" t="str">
        <f t="shared" si="2"/>
        <v/>
      </c>
      <c r="K79" s="1110"/>
    </row>
    <row r="80" ht="18.75" customHeight="1">
      <c r="A80" s="1110"/>
      <c r="B80" s="1108" t="s">
        <v>1014</v>
      </c>
      <c r="C80" s="1108" t="s">
        <v>8915</v>
      </c>
      <c r="D80" s="1116" t="s">
        <v>1181</v>
      </c>
      <c r="E80" s="1116" t="s">
        <v>1182</v>
      </c>
      <c r="F80" s="1117">
        <v>0.1</v>
      </c>
      <c r="G80" s="1109">
        <v>0.05</v>
      </c>
      <c r="H80" s="1118">
        <v>69100.0</v>
      </c>
      <c r="I80" s="1118">
        <f t="shared" si="1"/>
        <v>62820</v>
      </c>
      <c r="J80" s="1118">
        <f t="shared" si="2"/>
        <v>65650</v>
      </c>
      <c r="K80" s="1110"/>
    </row>
    <row r="81" ht="18.75" customHeight="1">
      <c r="A81" s="1110"/>
      <c r="B81" s="1108" t="s">
        <v>1014</v>
      </c>
      <c r="C81" s="1108" t="s">
        <v>8915</v>
      </c>
      <c r="D81" s="1116" t="s">
        <v>8935</v>
      </c>
      <c r="E81" s="1116" t="s">
        <v>8936</v>
      </c>
      <c r="F81" s="1117">
        <v>0.1</v>
      </c>
      <c r="G81" s="1109">
        <v>0.05</v>
      </c>
      <c r="H81" s="1118"/>
      <c r="I81" s="1118" t="str">
        <f t="shared" si="1"/>
        <v/>
      </c>
      <c r="J81" s="1118" t="str">
        <f t="shared" si="2"/>
        <v/>
      </c>
      <c r="K81" s="1110"/>
    </row>
  </sheetData>
  <mergeCells count="1">
    <mergeCell ref="A1:K2"/>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88"/>
    <col customWidth="1" min="2" max="2" width="18.25"/>
    <col customWidth="1" min="3" max="3" width="19.25"/>
    <col customWidth="1" min="4" max="4" width="21.75"/>
    <col customWidth="1" min="5" max="5" width="44.75"/>
    <col customWidth="1" min="6" max="6" width="11.75"/>
    <col customWidth="1" min="7" max="7" width="11.38"/>
    <col customWidth="1" min="8" max="10" width="13.63"/>
    <col customWidth="1" min="11" max="11" width="5.5"/>
  </cols>
  <sheetData>
    <row r="1" ht="12.75" customHeight="1">
      <c r="A1" s="1104" t="s">
        <v>8937</v>
      </c>
      <c r="B1" s="456"/>
      <c r="C1" s="456"/>
      <c r="D1" s="456"/>
      <c r="E1" s="456"/>
      <c r="F1" s="456"/>
      <c r="G1" s="456"/>
      <c r="H1" s="456"/>
      <c r="I1" s="456"/>
      <c r="J1" s="456"/>
      <c r="K1" s="457"/>
    </row>
    <row r="2" ht="12.75" customHeight="1">
      <c r="A2" s="435"/>
      <c r="B2" s="418"/>
      <c r="C2" s="418"/>
      <c r="D2" s="418"/>
      <c r="E2" s="418"/>
      <c r="F2" s="418"/>
      <c r="G2" s="418"/>
      <c r="H2" s="418"/>
      <c r="I2" s="418"/>
      <c r="J2" s="418"/>
      <c r="K2" s="419"/>
    </row>
    <row r="3" ht="12.75" customHeight="1">
      <c r="A3" s="1110"/>
      <c r="B3" s="1110"/>
      <c r="C3" s="1110"/>
      <c r="D3" s="1110"/>
      <c r="E3" s="1110"/>
      <c r="F3" s="1110"/>
      <c r="G3" s="1110"/>
      <c r="H3" s="1110"/>
      <c r="I3" s="1110"/>
      <c r="J3" s="1110"/>
      <c r="K3" s="1110"/>
    </row>
    <row r="4" ht="21.75" customHeight="1">
      <c r="A4" s="1110"/>
      <c r="B4" s="1106" t="s">
        <v>1279</v>
      </c>
      <c r="C4" s="1106" t="s">
        <v>1280</v>
      </c>
      <c r="D4" s="1113" t="s">
        <v>1281</v>
      </c>
      <c r="E4" s="1113" t="s">
        <v>1282</v>
      </c>
      <c r="F4" s="1106" t="s">
        <v>1283</v>
      </c>
      <c r="G4" s="1106" t="s">
        <v>1284</v>
      </c>
      <c r="H4" s="1123" t="s">
        <v>68</v>
      </c>
      <c r="I4" s="1123" t="s">
        <v>70</v>
      </c>
      <c r="J4" s="1123" t="s">
        <v>71</v>
      </c>
      <c r="K4" s="1110"/>
    </row>
    <row r="5" ht="18.75" customHeight="1">
      <c r="A5" s="1110"/>
      <c r="B5" s="1108" t="s">
        <v>8938</v>
      </c>
      <c r="C5" s="1108" t="s">
        <v>8939</v>
      </c>
      <c r="D5" s="1116" t="s">
        <v>8940</v>
      </c>
      <c r="E5" s="1116" t="s">
        <v>8941</v>
      </c>
      <c r="F5" s="1109">
        <v>0.1</v>
      </c>
      <c r="G5" s="1109">
        <v>0.0</v>
      </c>
      <c r="H5" s="1118">
        <v>5500.0</v>
      </c>
      <c r="I5" s="1118">
        <f t="shared" ref="I5:I778" si="1">IF(ISBLANK(H5),,ROUND(H5/(1+F5),-1))</f>
        <v>5000</v>
      </c>
      <c r="J5" s="1118">
        <f t="shared" ref="J5:J778" si="2">IF(ISBLANK(H5),,ROUND(H5*(1-G5),-1))</f>
        <v>5500</v>
      </c>
      <c r="K5" s="1110"/>
    </row>
    <row r="6" ht="18.75" customHeight="1">
      <c r="A6" s="1110"/>
      <c r="B6" s="1108" t="s">
        <v>8938</v>
      </c>
      <c r="C6" s="1108" t="s">
        <v>8939</v>
      </c>
      <c r="D6" s="1116" t="s">
        <v>8942</v>
      </c>
      <c r="E6" s="1116" t="s">
        <v>8943</v>
      </c>
      <c r="F6" s="1109">
        <v>0.1</v>
      </c>
      <c r="G6" s="1109">
        <v>0.0</v>
      </c>
      <c r="H6" s="1118">
        <v>6050.0</v>
      </c>
      <c r="I6" s="1118">
        <f t="shared" si="1"/>
        <v>5500</v>
      </c>
      <c r="J6" s="1118">
        <f t="shared" si="2"/>
        <v>6050</v>
      </c>
      <c r="K6" s="1110"/>
    </row>
    <row r="7" ht="18.75" customHeight="1">
      <c r="A7" s="1110"/>
      <c r="B7" s="1108" t="s">
        <v>8938</v>
      </c>
      <c r="C7" s="1108" t="s">
        <v>8939</v>
      </c>
      <c r="D7" s="1116" t="s">
        <v>8944</v>
      </c>
      <c r="E7" s="1116" t="s">
        <v>8945</v>
      </c>
      <c r="F7" s="1109">
        <v>0.1</v>
      </c>
      <c r="G7" s="1109">
        <v>0.0</v>
      </c>
      <c r="H7" s="1118">
        <v>7040.0</v>
      </c>
      <c r="I7" s="1118">
        <f t="shared" si="1"/>
        <v>6400</v>
      </c>
      <c r="J7" s="1118">
        <f t="shared" si="2"/>
        <v>7040</v>
      </c>
      <c r="K7" s="1110"/>
    </row>
    <row r="8" ht="18.75" customHeight="1">
      <c r="A8" s="1110"/>
      <c r="B8" s="1108" t="s">
        <v>8938</v>
      </c>
      <c r="C8" s="1108" t="s">
        <v>8939</v>
      </c>
      <c r="D8" s="1116" t="s">
        <v>8946</v>
      </c>
      <c r="E8" s="1116" t="s">
        <v>8947</v>
      </c>
      <c r="F8" s="1109">
        <v>0.1</v>
      </c>
      <c r="G8" s="1109">
        <v>0.0</v>
      </c>
      <c r="H8" s="1118">
        <v>8030.0</v>
      </c>
      <c r="I8" s="1118">
        <f t="shared" si="1"/>
        <v>7300</v>
      </c>
      <c r="J8" s="1118">
        <f t="shared" si="2"/>
        <v>8030</v>
      </c>
      <c r="K8" s="1110"/>
    </row>
    <row r="9" ht="18.75" customHeight="1">
      <c r="A9" s="1110"/>
      <c r="B9" s="1108" t="s">
        <v>8938</v>
      </c>
      <c r="C9" s="1108" t="s">
        <v>8939</v>
      </c>
      <c r="D9" s="1116" t="s">
        <v>8948</v>
      </c>
      <c r="E9" s="1116" t="s">
        <v>8949</v>
      </c>
      <c r="F9" s="1109">
        <v>0.1</v>
      </c>
      <c r="G9" s="1109">
        <v>0.0</v>
      </c>
      <c r="H9" s="1118">
        <v>10010.0</v>
      </c>
      <c r="I9" s="1118">
        <f t="shared" si="1"/>
        <v>9100</v>
      </c>
      <c r="J9" s="1118">
        <f t="shared" si="2"/>
        <v>10010</v>
      </c>
      <c r="K9" s="1110"/>
    </row>
    <row r="10" ht="18.75" customHeight="1">
      <c r="A10" s="1110"/>
      <c r="B10" s="1108" t="s">
        <v>8938</v>
      </c>
      <c r="C10" s="1108" t="s">
        <v>8939</v>
      </c>
      <c r="D10" s="1116" t="s">
        <v>8950</v>
      </c>
      <c r="E10" s="1116" t="s">
        <v>8951</v>
      </c>
      <c r="F10" s="1109">
        <v>0.1</v>
      </c>
      <c r="G10" s="1109">
        <v>0.0</v>
      </c>
      <c r="H10" s="1118">
        <v>18150.0</v>
      </c>
      <c r="I10" s="1118">
        <f t="shared" si="1"/>
        <v>16500</v>
      </c>
      <c r="J10" s="1118">
        <f t="shared" si="2"/>
        <v>18150</v>
      </c>
      <c r="K10" s="1110"/>
    </row>
    <row r="11" ht="18.75" customHeight="1">
      <c r="A11" s="1110"/>
      <c r="B11" s="1108" t="s">
        <v>8938</v>
      </c>
      <c r="C11" s="1108" t="s">
        <v>8939</v>
      </c>
      <c r="D11" s="1116" t="s">
        <v>8952</v>
      </c>
      <c r="E11" s="1116" t="s">
        <v>8953</v>
      </c>
      <c r="F11" s="1109">
        <v>0.1</v>
      </c>
      <c r="G11" s="1109">
        <v>0.0</v>
      </c>
      <c r="H11" s="1118">
        <v>22000.0</v>
      </c>
      <c r="I11" s="1118">
        <f t="shared" si="1"/>
        <v>20000</v>
      </c>
      <c r="J11" s="1118">
        <f t="shared" si="2"/>
        <v>22000</v>
      </c>
      <c r="K11" s="1110"/>
    </row>
    <row r="12" ht="18.75" customHeight="1">
      <c r="A12" s="1110"/>
      <c r="B12" s="1108" t="s">
        <v>8938</v>
      </c>
      <c r="C12" s="1108" t="s">
        <v>8939</v>
      </c>
      <c r="D12" s="1116" t="s">
        <v>8954</v>
      </c>
      <c r="E12" s="1116" t="s">
        <v>8955</v>
      </c>
      <c r="F12" s="1109">
        <v>0.1</v>
      </c>
      <c r="G12" s="1109">
        <v>0.0</v>
      </c>
      <c r="H12" s="1118">
        <v>28050.0</v>
      </c>
      <c r="I12" s="1118">
        <f t="shared" si="1"/>
        <v>25500</v>
      </c>
      <c r="J12" s="1118">
        <f t="shared" si="2"/>
        <v>28050</v>
      </c>
      <c r="K12" s="1110"/>
    </row>
    <row r="13" ht="18.75" customHeight="1">
      <c r="A13" s="1110"/>
      <c r="B13" s="1108" t="s">
        <v>8938</v>
      </c>
      <c r="C13" s="1108" t="s">
        <v>8939</v>
      </c>
      <c r="D13" s="1116" t="s">
        <v>8956</v>
      </c>
      <c r="E13" s="1116" t="s">
        <v>8957</v>
      </c>
      <c r="F13" s="1109">
        <v>0.1</v>
      </c>
      <c r="G13" s="1109">
        <v>0.0</v>
      </c>
      <c r="H13" s="1118">
        <v>44990.0</v>
      </c>
      <c r="I13" s="1118">
        <f t="shared" si="1"/>
        <v>40900</v>
      </c>
      <c r="J13" s="1118">
        <f t="shared" si="2"/>
        <v>44990</v>
      </c>
      <c r="K13" s="1110"/>
    </row>
    <row r="14" ht="18.75" customHeight="1">
      <c r="A14" s="1110"/>
      <c r="B14" s="1108" t="s">
        <v>8938</v>
      </c>
      <c r="C14" s="1108" t="s">
        <v>8939</v>
      </c>
      <c r="D14" s="1116" t="s">
        <v>8958</v>
      </c>
      <c r="E14" s="1116" t="s">
        <v>8959</v>
      </c>
      <c r="F14" s="1109">
        <v>0.1</v>
      </c>
      <c r="G14" s="1109">
        <v>0.0</v>
      </c>
      <c r="H14" s="1118">
        <v>47960.0</v>
      </c>
      <c r="I14" s="1118">
        <f t="shared" si="1"/>
        <v>43600</v>
      </c>
      <c r="J14" s="1118">
        <f t="shared" si="2"/>
        <v>47960</v>
      </c>
      <c r="K14" s="1110"/>
    </row>
    <row r="15" ht="18.75" customHeight="1">
      <c r="A15" s="1110"/>
      <c r="B15" s="1108" t="s">
        <v>8938</v>
      </c>
      <c r="C15" s="1108" t="s">
        <v>8939</v>
      </c>
      <c r="D15" s="1116" t="s">
        <v>8960</v>
      </c>
      <c r="E15" s="1116" t="s">
        <v>8961</v>
      </c>
      <c r="F15" s="1109">
        <v>0.1</v>
      </c>
      <c r="G15" s="1109">
        <v>0.0</v>
      </c>
      <c r="H15" s="1118">
        <v>57970.0</v>
      </c>
      <c r="I15" s="1118">
        <f t="shared" si="1"/>
        <v>52700</v>
      </c>
      <c r="J15" s="1118">
        <f t="shared" si="2"/>
        <v>57970</v>
      </c>
      <c r="K15" s="1110"/>
    </row>
    <row r="16" ht="18.75" customHeight="1">
      <c r="A16" s="1110"/>
      <c r="B16" s="1108" t="s">
        <v>8938</v>
      </c>
      <c r="C16" s="1108" t="s">
        <v>8939</v>
      </c>
      <c r="D16" s="1116" t="s">
        <v>8962</v>
      </c>
      <c r="E16" s="1116" t="s">
        <v>8963</v>
      </c>
      <c r="F16" s="1109">
        <v>0.1</v>
      </c>
      <c r="G16" s="1109">
        <v>0.0</v>
      </c>
      <c r="H16" s="1118">
        <v>67980.0</v>
      </c>
      <c r="I16" s="1118">
        <f t="shared" si="1"/>
        <v>61800</v>
      </c>
      <c r="J16" s="1118">
        <f t="shared" si="2"/>
        <v>67980</v>
      </c>
      <c r="K16" s="1110"/>
    </row>
    <row r="17" ht="18.75" customHeight="1">
      <c r="A17" s="1110"/>
      <c r="B17" s="1108" t="s">
        <v>8938</v>
      </c>
      <c r="C17" s="1108" t="s">
        <v>8939</v>
      </c>
      <c r="D17" s="1116" t="s">
        <v>8964</v>
      </c>
      <c r="E17" s="1116" t="s">
        <v>8965</v>
      </c>
      <c r="F17" s="1109">
        <v>0.1</v>
      </c>
      <c r="G17" s="1109">
        <v>0.0</v>
      </c>
      <c r="H17" s="1118">
        <v>99000.0</v>
      </c>
      <c r="I17" s="1118">
        <f t="shared" si="1"/>
        <v>90000</v>
      </c>
      <c r="J17" s="1118">
        <f t="shared" si="2"/>
        <v>99000</v>
      </c>
      <c r="K17" s="1110"/>
    </row>
    <row r="18" ht="18.75" customHeight="1">
      <c r="A18" s="1110"/>
      <c r="B18" s="1108" t="s">
        <v>8938</v>
      </c>
      <c r="C18" s="1108" t="s">
        <v>8939</v>
      </c>
      <c r="D18" s="1116" t="s">
        <v>8966</v>
      </c>
      <c r="E18" s="1116" t="s">
        <v>8967</v>
      </c>
      <c r="F18" s="1109">
        <v>0.1</v>
      </c>
      <c r="G18" s="1109">
        <v>0.0</v>
      </c>
      <c r="H18" s="1118">
        <v>222970.0</v>
      </c>
      <c r="I18" s="1118">
        <f t="shared" si="1"/>
        <v>202700</v>
      </c>
      <c r="J18" s="1118">
        <f t="shared" si="2"/>
        <v>222970</v>
      </c>
      <c r="K18" s="1110"/>
    </row>
    <row r="19" ht="18.75" customHeight="1">
      <c r="A19" s="1110"/>
      <c r="B19" s="1108" t="s">
        <v>8938</v>
      </c>
      <c r="C19" s="1108" t="s">
        <v>8939</v>
      </c>
      <c r="D19" s="1116" t="s">
        <v>8968</v>
      </c>
      <c r="E19" s="1116" t="s">
        <v>8969</v>
      </c>
      <c r="F19" s="1109">
        <v>0.1</v>
      </c>
      <c r="G19" s="1109">
        <v>0.0</v>
      </c>
      <c r="H19" s="1118">
        <v>118030.0</v>
      </c>
      <c r="I19" s="1118">
        <f t="shared" si="1"/>
        <v>107300</v>
      </c>
      <c r="J19" s="1118">
        <f t="shared" si="2"/>
        <v>118030</v>
      </c>
      <c r="K19" s="1110"/>
    </row>
    <row r="20" ht="18.75" customHeight="1">
      <c r="A20" s="1110"/>
      <c r="B20" s="1108" t="s">
        <v>8938</v>
      </c>
      <c r="C20" s="1108" t="s">
        <v>8939</v>
      </c>
      <c r="D20" s="1116" t="s">
        <v>8970</v>
      </c>
      <c r="E20" s="1116" t="s">
        <v>8971</v>
      </c>
      <c r="F20" s="1109">
        <v>0.1</v>
      </c>
      <c r="G20" s="1109">
        <v>0.0</v>
      </c>
      <c r="H20" s="1118">
        <v>188100.0</v>
      </c>
      <c r="I20" s="1118">
        <f t="shared" si="1"/>
        <v>171000</v>
      </c>
      <c r="J20" s="1118">
        <f t="shared" si="2"/>
        <v>188100</v>
      </c>
      <c r="K20" s="1110"/>
    </row>
    <row r="21" ht="18.75" customHeight="1">
      <c r="A21" s="1110"/>
      <c r="B21" s="1108" t="s">
        <v>8938</v>
      </c>
      <c r="C21" s="1108" t="s">
        <v>8939</v>
      </c>
      <c r="D21" s="1116" t="s">
        <v>8972</v>
      </c>
      <c r="E21" s="1116" t="s">
        <v>8973</v>
      </c>
      <c r="F21" s="1109">
        <v>0.1</v>
      </c>
      <c r="G21" s="1109">
        <v>0.0</v>
      </c>
      <c r="H21" s="1118">
        <v>385440.0</v>
      </c>
      <c r="I21" s="1118">
        <f t="shared" si="1"/>
        <v>350400</v>
      </c>
      <c r="J21" s="1118">
        <f t="shared" si="2"/>
        <v>385440</v>
      </c>
      <c r="K21" s="1110"/>
    </row>
    <row r="22" ht="18.75" customHeight="1">
      <c r="A22" s="1110"/>
      <c r="B22" s="1108" t="s">
        <v>8938</v>
      </c>
      <c r="C22" s="1108" t="s">
        <v>8939</v>
      </c>
      <c r="D22" s="1116" t="s">
        <v>8974</v>
      </c>
      <c r="E22" s="1116" t="s">
        <v>8975</v>
      </c>
      <c r="F22" s="1109">
        <v>0.1</v>
      </c>
      <c r="G22" s="1109">
        <v>0.0</v>
      </c>
      <c r="H22" s="1118">
        <v>415800.0</v>
      </c>
      <c r="I22" s="1118">
        <f t="shared" si="1"/>
        <v>378000</v>
      </c>
      <c r="J22" s="1118">
        <f t="shared" si="2"/>
        <v>415800</v>
      </c>
      <c r="K22" s="1110"/>
    </row>
    <row r="23" ht="18.75" customHeight="1">
      <c r="A23" s="1110"/>
      <c r="B23" s="1108" t="s">
        <v>8938</v>
      </c>
      <c r="C23" s="1108" t="s">
        <v>8939</v>
      </c>
      <c r="D23" s="1116" t="s">
        <v>8976</v>
      </c>
      <c r="E23" s="1116" t="s">
        <v>8977</v>
      </c>
      <c r="F23" s="1109">
        <v>0.1</v>
      </c>
      <c r="G23" s="1109">
        <v>0.0</v>
      </c>
      <c r="H23" s="1118">
        <v>835560.0</v>
      </c>
      <c r="I23" s="1118">
        <f t="shared" si="1"/>
        <v>759600</v>
      </c>
      <c r="J23" s="1118">
        <f t="shared" si="2"/>
        <v>835560</v>
      </c>
      <c r="K23" s="1110"/>
    </row>
    <row r="24" ht="18.75" customHeight="1">
      <c r="A24" s="1110"/>
      <c r="B24" s="1108" t="s">
        <v>8938</v>
      </c>
      <c r="C24" s="1108" t="s">
        <v>8939</v>
      </c>
      <c r="D24" s="1116" t="s">
        <v>8978</v>
      </c>
      <c r="E24" s="1116" t="s">
        <v>8979</v>
      </c>
      <c r="F24" s="1109">
        <v>0.1</v>
      </c>
      <c r="G24" s="1109">
        <v>0.0</v>
      </c>
      <c r="H24" s="1118">
        <v>1782000.0</v>
      </c>
      <c r="I24" s="1118">
        <f t="shared" si="1"/>
        <v>1620000</v>
      </c>
      <c r="J24" s="1118">
        <f t="shared" si="2"/>
        <v>1782000</v>
      </c>
      <c r="K24" s="1110"/>
    </row>
    <row r="25" ht="18.75" customHeight="1">
      <c r="A25" s="1110"/>
      <c r="B25" s="1108" t="s">
        <v>8980</v>
      </c>
      <c r="C25" s="1108" t="s">
        <v>8981</v>
      </c>
      <c r="D25" s="1116" t="s">
        <v>8982</v>
      </c>
      <c r="E25" s="1116" t="s">
        <v>8983</v>
      </c>
      <c r="F25" s="1109">
        <v>0.1</v>
      </c>
      <c r="G25" s="1109">
        <v>0.0</v>
      </c>
      <c r="H25" s="1118">
        <v>4730.0</v>
      </c>
      <c r="I25" s="1118">
        <f t="shared" si="1"/>
        <v>4300</v>
      </c>
      <c r="J25" s="1118">
        <f t="shared" si="2"/>
        <v>4730</v>
      </c>
      <c r="K25" s="1110"/>
    </row>
    <row r="26" ht="18.75" customHeight="1">
      <c r="A26" s="1110"/>
      <c r="B26" s="1108" t="s">
        <v>8980</v>
      </c>
      <c r="C26" s="1108" t="s">
        <v>8981</v>
      </c>
      <c r="D26" s="1116" t="s">
        <v>8984</v>
      </c>
      <c r="E26" s="1116" t="s">
        <v>8985</v>
      </c>
      <c r="F26" s="1109">
        <v>0.1</v>
      </c>
      <c r="G26" s="1109">
        <v>0.0</v>
      </c>
      <c r="H26" s="1118">
        <v>5280.0</v>
      </c>
      <c r="I26" s="1118">
        <f t="shared" si="1"/>
        <v>4800</v>
      </c>
      <c r="J26" s="1118">
        <f t="shared" si="2"/>
        <v>5280</v>
      </c>
      <c r="K26" s="1110"/>
    </row>
    <row r="27" ht="18.75" customHeight="1">
      <c r="A27" s="1110"/>
      <c r="B27" s="1108" t="s">
        <v>8980</v>
      </c>
      <c r="C27" s="1108" t="s">
        <v>8981</v>
      </c>
      <c r="D27" s="1116" t="s">
        <v>8986</v>
      </c>
      <c r="E27" s="1116" t="s">
        <v>8987</v>
      </c>
      <c r="F27" s="1109">
        <v>0.1</v>
      </c>
      <c r="G27" s="1109">
        <v>0.0</v>
      </c>
      <c r="H27" s="1118">
        <v>6050.0</v>
      </c>
      <c r="I27" s="1118">
        <f t="shared" si="1"/>
        <v>5500</v>
      </c>
      <c r="J27" s="1118">
        <f t="shared" si="2"/>
        <v>6050</v>
      </c>
      <c r="K27" s="1110"/>
    </row>
    <row r="28" ht="18.75" customHeight="1">
      <c r="A28" s="1110"/>
      <c r="B28" s="1108" t="s">
        <v>8980</v>
      </c>
      <c r="C28" s="1108" t="s">
        <v>8981</v>
      </c>
      <c r="D28" s="1116" t="s">
        <v>8988</v>
      </c>
      <c r="E28" s="1116" t="s">
        <v>8989</v>
      </c>
      <c r="F28" s="1109">
        <v>0.1</v>
      </c>
      <c r="G28" s="1109">
        <v>0.0</v>
      </c>
      <c r="H28" s="1118">
        <v>7040.0</v>
      </c>
      <c r="I28" s="1118">
        <f t="shared" si="1"/>
        <v>6400</v>
      </c>
      <c r="J28" s="1118">
        <f t="shared" si="2"/>
        <v>7040</v>
      </c>
      <c r="K28" s="1110"/>
    </row>
    <row r="29" ht="18.75" customHeight="1">
      <c r="A29" s="1110"/>
      <c r="B29" s="1108" t="s">
        <v>8980</v>
      </c>
      <c r="C29" s="1108" t="s">
        <v>8981</v>
      </c>
      <c r="D29" s="1116" t="s">
        <v>8990</v>
      </c>
      <c r="E29" s="1116" t="s">
        <v>8991</v>
      </c>
      <c r="F29" s="1109">
        <v>0.1</v>
      </c>
      <c r="G29" s="1109">
        <v>0.0</v>
      </c>
      <c r="H29" s="1118">
        <v>8030.0</v>
      </c>
      <c r="I29" s="1118">
        <f t="shared" si="1"/>
        <v>7300</v>
      </c>
      <c r="J29" s="1118">
        <f t="shared" si="2"/>
        <v>8030</v>
      </c>
      <c r="K29" s="1110"/>
    </row>
    <row r="30" ht="18.75" customHeight="1">
      <c r="A30" s="1110"/>
      <c r="B30" s="1108" t="s">
        <v>8980</v>
      </c>
      <c r="C30" s="1108" t="s">
        <v>8981</v>
      </c>
      <c r="D30" s="1116" t="s">
        <v>8992</v>
      </c>
      <c r="E30" s="1116" t="s">
        <v>8993</v>
      </c>
      <c r="F30" s="1109">
        <v>0.1</v>
      </c>
      <c r="G30" s="1109">
        <v>0.0</v>
      </c>
      <c r="H30" s="1118">
        <v>10010.0</v>
      </c>
      <c r="I30" s="1118">
        <f t="shared" si="1"/>
        <v>9100</v>
      </c>
      <c r="J30" s="1118">
        <f t="shared" si="2"/>
        <v>10010</v>
      </c>
      <c r="K30" s="1110"/>
    </row>
    <row r="31" ht="18.75" customHeight="1">
      <c r="A31" s="1110"/>
      <c r="B31" s="1108" t="s">
        <v>8980</v>
      </c>
      <c r="C31" s="1108" t="s">
        <v>8981</v>
      </c>
      <c r="D31" s="1116" t="s">
        <v>8994</v>
      </c>
      <c r="E31" s="1116" t="s">
        <v>8995</v>
      </c>
      <c r="F31" s="1109">
        <v>0.1</v>
      </c>
      <c r="G31" s="1109">
        <v>0.0</v>
      </c>
      <c r="H31" s="1118">
        <v>14960.0</v>
      </c>
      <c r="I31" s="1118">
        <f t="shared" si="1"/>
        <v>13600</v>
      </c>
      <c r="J31" s="1118">
        <f t="shared" si="2"/>
        <v>14960</v>
      </c>
      <c r="K31" s="1110"/>
    </row>
    <row r="32" ht="18.75" customHeight="1">
      <c r="A32" s="1110"/>
      <c r="B32" s="1108" t="s">
        <v>8980</v>
      </c>
      <c r="C32" s="1108" t="s">
        <v>8981</v>
      </c>
      <c r="D32" s="1116" t="s">
        <v>8996</v>
      </c>
      <c r="E32" s="1116" t="s">
        <v>8997</v>
      </c>
      <c r="F32" s="1109">
        <v>0.1</v>
      </c>
      <c r="G32" s="1109">
        <v>0.0</v>
      </c>
      <c r="H32" s="1118">
        <v>18040.0</v>
      </c>
      <c r="I32" s="1118">
        <f t="shared" si="1"/>
        <v>16400</v>
      </c>
      <c r="J32" s="1118">
        <f t="shared" si="2"/>
        <v>18040</v>
      </c>
      <c r="K32" s="1110"/>
    </row>
    <row r="33" ht="18.75" customHeight="1">
      <c r="A33" s="1110"/>
      <c r="B33" s="1108" t="s">
        <v>8980</v>
      </c>
      <c r="C33" s="1108" t="s">
        <v>8981</v>
      </c>
      <c r="D33" s="1116" t="s">
        <v>8998</v>
      </c>
      <c r="E33" s="1116" t="s">
        <v>8999</v>
      </c>
      <c r="F33" s="1109">
        <v>0.1</v>
      </c>
      <c r="G33" s="1109">
        <v>0.0</v>
      </c>
      <c r="H33" s="1118">
        <v>20020.0</v>
      </c>
      <c r="I33" s="1118">
        <f t="shared" si="1"/>
        <v>18200</v>
      </c>
      <c r="J33" s="1118">
        <f t="shared" si="2"/>
        <v>20020</v>
      </c>
      <c r="K33" s="1110"/>
    </row>
    <row r="34" ht="18.75" customHeight="1">
      <c r="A34" s="1110"/>
      <c r="B34" s="1108" t="s">
        <v>8980</v>
      </c>
      <c r="C34" s="1108" t="s">
        <v>8981</v>
      </c>
      <c r="D34" s="1116" t="s">
        <v>9000</v>
      </c>
      <c r="E34" s="1116" t="s">
        <v>9001</v>
      </c>
      <c r="F34" s="1109">
        <v>0.1</v>
      </c>
      <c r="G34" s="1109">
        <v>0.0</v>
      </c>
      <c r="H34" s="1118">
        <v>28050.0</v>
      </c>
      <c r="I34" s="1118">
        <f t="shared" si="1"/>
        <v>25500</v>
      </c>
      <c r="J34" s="1118">
        <f t="shared" si="2"/>
        <v>28050</v>
      </c>
      <c r="K34" s="1110"/>
    </row>
    <row r="35" ht="18.75" customHeight="1">
      <c r="A35" s="1110"/>
      <c r="B35" s="1108" t="s">
        <v>8980</v>
      </c>
      <c r="C35" s="1108" t="s">
        <v>8981</v>
      </c>
      <c r="D35" s="1116" t="s">
        <v>9002</v>
      </c>
      <c r="E35" s="1116" t="s">
        <v>9003</v>
      </c>
      <c r="F35" s="1109">
        <v>0.1</v>
      </c>
      <c r="G35" s="1109">
        <v>0.0</v>
      </c>
      <c r="H35" s="1118">
        <v>30800.0</v>
      </c>
      <c r="I35" s="1118">
        <f t="shared" si="1"/>
        <v>28000</v>
      </c>
      <c r="J35" s="1118">
        <f t="shared" si="2"/>
        <v>30800</v>
      </c>
      <c r="K35" s="1110"/>
    </row>
    <row r="36" ht="18.75" customHeight="1">
      <c r="A36" s="1110"/>
      <c r="B36" s="1108" t="s">
        <v>8980</v>
      </c>
      <c r="C36" s="1108" t="s">
        <v>8981</v>
      </c>
      <c r="D36" s="1116" t="s">
        <v>9004</v>
      </c>
      <c r="E36" s="1116" t="s">
        <v>9005</v>
      </c>
      <c r="F36" s="1109">
        <v>0.1</v>
      </c>
      <c r="G36" s="1109">
        <v>0.0</v>
      </c>
      <c r="H36" s="1118">
        <v>37950.0</v>
      </c>
      <c r="I36" s="1118">
        <f t="shared" si="1"/>
        <v>34500</v>
      </c>
      <c r="J36" s="1118">
        <f t="shared" si="2"/>
        <v>37950</v>
      </c>
      <c r="K36" s="1110"/>
    </row>
    <row r="37" ht="18.75" customHeight="1">
      <c r="A37" s="1110"/>
      <c r="B37" s="1108" t="s">
        <v>8980</v>
      </c>
      <c r="C37" s="1108" t="s">
        <v>8981</v>
      </c>
      <c r="D37" s="1116" t="s">
        <v>9006</v>
      </c>
      <c r="E37" s="1116" t="s">
        <v>9007</v>
      </c>
      <c r="F37" s="1109">
        <v>0.1</v>
      </c>
      <c r="G37" s="1109">
        <v>0.0</v>
      </c>
      <c r="H37" s="1118">
        <v>51700.0</v>
      </c>
      <c r="I37" s="1118">
        <f t="shared" si="1"/>
        <v>47000</v>
      </c>
      <c r="J37" s="1118">
        <f t="shared" si="2"/>
        <v>51700</v>
      </c>
      <c r="K37" s="1110"/>
    </row>
    <row r="38" ht="18.75" customHeight="1">
      <c r="A38" s="1110"/>
      <c r="B38" s="1108" t="s">
        <v>8980</v>
      </c>
      <c r="C38" s="1108" t="s">
        <v>8981</v>
      </c>
      <c r="D38" s="1116" t="s">
        <v>9008</v>
      </c>
      <c r="E38" s="1116" t="s">
        <v>9009</v>
      </c>
      <c r="F38" s="1109">
        <v>0.1</v>
      </c>
      <c r="G38" s="1109">
        <v>0.0</v>
      </c>
      <c r="H38" s="1118">
        <v>130350.0</v>
      </c>
      <c r="I38" s="1118">
        <f t="shared" si="1"/>
        <v>118500</v>
      </c>
      <c r="J38" s="1118">
        <f t="shared" si="2"/>
        <v>130350</v>
      </c>
      <c r="K38" s="1110"/>
    </row>
    <row r="39" ht="18.75" customHeight="1">
      <c r="A39" s="1110"/>
      <c r="B39" s="1108" t="s">
        <v>8980</v>
      </c>
      <c r="C39" s="1108" t="s">
        <v>8981</v>
      </c>
      <c r="D39" s="1116" t="s">
        <v>9010</v>
      </c>
      <c r="E39" s="1116" t="s">
        <v>9011</v>
      </c>
      <c r="F39" s="1109">
        <v>0.1</v>
      </c>
      <c r="G39" s="1109">
        <v>0.0</v>
      </c>
      <c r="H39" s="1118">
        <v>68200.0</v>
      </c>
      <c r="I39" s="1118">
        <f t="shared" si="1"/>
        <v>62000</v>
      </c>
      <c r="J39" s="1118">
        <f t="shared" si="2"/>
        <v>68200</v>
      </c>
      <c r="K39" s="1110"/>
    </row>
    <row r="40" ht="18.75" customHeight="1">
      <c r="A40" s="1110"/>
      <c r="B40" s="1108" t="s">
        <v>8980</v>
      </c>
      <c r="C40" s="1108" t="s">
        <v>8981</v>
      </c>
      <c r="D40" s="1116" t="s">
        <v>9012</v>
      </c>
      <c r="E40" s="1116" t="s">
        <v>9013</v>
      </c>
      <c r="F40" s="1109">
        <v>0.1</v>
      </c>
      <c r="G40" s="1109">
        <v>0.0</v>
      </c>
      <c r="H40" s="1118">
        <v>108020.0</v>
      </c>
      <c r="I40" s="1118">
        <f t="shared" si="1"/>
        <v>98200</v>
      </c>
      <c r="J40" s="1118">
        <f t="shared" si="2"/>
        <v>108020</v>
      </c>
      <c r="K40" s="1110"/>
    </row>
    <row r="41" ht="18.75" customHeight="1">
      <c r="A41" s="1110"/>
      <c r="B41" s="1108" t="s">
        <v>8980</v>
      </c>
      <c r="C41" s="1108" t="s">
        <v>8981</v>
      </c>
      <c r="D41" s="1116" t="s">
        <v>9014</v>
      </c>
      <c r="E41" s="1116" t="s">
        <v>9015</v>
      </c>
      <c r="F41" s="1109">
        <v>0.1</v>
      </c>
      <c r="G41" s="1109">
        <v>0.0</v>
      </c>
      <c r="H41" s="1118">
        <v>138050.0</v>
      </c>
      <c r="I41" s="1118">
        <f t="shared" si="1"/>
        <v>125500</v>
      </c>
      <c r="J41" s="1118">
        <f t="shared" si="2"/>
        <v>138050</v>
      </c>
      <c r="K41" s="1110"/>
    </row>
    <row r="42" ht="18.75" customHeight="1">
      <c r="A42" s="1110"/>
      <c r="B42" s="1108" t="s">
        <v>8980</v>
      </c>
      <c r="C42" s="1108" t="s">
        <v>8981</v>
      </c>
      <c r="D42" s="1116" t="s">
        <v>9016</v>
      </c>
      <c r="E42" s="1116" t="s">
        <v>9017</v>
      </c>
      <c r="F42" s="1109">
        <v>0.1</v>
      </c>
      <c r="G42" s="1109">
        <v>0.0</v>
      </c>
      <c r="H42" s="1116"/>
      <c r="I42" s="1118" t="str">
        <f t="shared" si="1"/>
        <v/>
      </c>
      <c r="J42" s="1118" t="str">
        <f t="shared" si="2"/>
        <v/>
      </c>
      <c r="K42" s="1110"/>
    </row>
    <row r="43" ht="18.75" customHeight="1">
      <c r="A43" s="1110"/>
      <c r="B43" s="1108" t="s">
        <v>8980</v>
      </c>
      <c r="C43" s="1108" t="s">
        <v>8981</v>
      </c>
      <c r="D43" s="1116" t="s">
        <v>9018</v>
      </c>
      <c r="E43" s="1116" t="s">
        <v>9019</v>
      </c>
      <c r="F43" s="1109">
        <v>0.1</v>
      </c>
      <c r="G43" s="1109">
        <v>0.0</v>
      </c>
      <c r="H43" s="1118">
        <v>516890.0</v>
      </c>
      <c r="I43" s="1118">
        <f t="shared" si="1"/>
        <v>469900</v>
      </c>
      <c r="J43" s="1118">
        <f t="shared" si="2"/>
        <v>516890</v>
      </c>
      <c r="K43" s="1110"/>
    </row>
    <row r="44" ht="18.75" customHeight="1">
      <c r="A44" s="1110"/>
      <c r="B44" s="1108" t="s">
        <v>8980</v>
      </c>
      <c r="C44" s="1108" t="s">
        <v>8981</v>
      </c>
      <c r="D44" s="1116" t="s">
        <v>9020</v>
      </c>
      <c r="E44" s="1116" t="s">
        <v>9021</v>
      </c>
      <c r="F44" s="1109">
        <v>0.1</v>
      </c>
      <c r="G44" s="1109">
        <v>0.0</v>
      </c>
      <c r="H44" s="1116"/>
      <c r="I44" s="1118" t="str">
        <f t="shared" si="1"/>
        <v/>
      </c>
      <c r="J44" s="1118" t="str">
        <f t="shared" si="2"/>
        <v/>
      </c>
      <c r="K44" s="1110"/>
    </row>
    <row r="45" ht="18.75" customHeight="1">
      <c r="A45" s="1110"/>
      <c r="B45" s="1108" t="s">
        <v>9022</v>
      </c>
      <c r="C45" s="1108" t="s">
        <v>9023</v>
      </c>
      <c r="D45" s="1116" t="s">
        <v>9024</v>
      </c>
      <c r="E45" s="1116" t="s">
        <v>9025</v>
      </c>
      <c r="F45" s="1109">
        <v>0.1</v>
      </c>
      <c r="G45" s="1109">
        <v>0.0</v>
      </c>
      <c r="H45" s="1118">
        <v>8030.0</v>
      </c>
      <c r="I45" s="1118">
        <f t="shared" si="1"/>
        <v>7300</v>
      </c>
      <c r="J45" s="1118">
        <f t="shared" si="2"/>
        <v>8030</v>
      </c>
      <c r="K45" s="1110"/>
    </row>
    <row r="46" ht="18.75" customHeight="1">
      <c r="A46" s="1110"/>
      <c r="B46" s="1108" t="s">
        <v>9022</v>
      </c>
      <c r="C46" s="1108" t="s">
        <v>9023</v>
      </c>
      <c r="D46" s="1116" t="s">
        <v>9026</v>
      </c>
      <c r="E46" s="1116" t="s">
        <v>9027</v>
      </c>
      <c r="F46" s="1109">
        <v>0.1</v>
      </c>
      <c r="G46" s="1109">
        <v>0.0</v>
      </c>
      <c r="H46" s="1118">
        <v>9240.0</v>
      </c>
      <c r="I46" s="1118">
        <f t="shared" si="1"/>
        <v>8400</v>
      </c>
      <c r="J46" s="1118">
        <f t="shared" si="2"/>
        <v>9240</v>
      </c>
      <c r="K46" s="1110"/>
    </row>
    <row r="47" ht="18.75" customHeight="1">
      <c r="A47" s="1110"/>
      <c r="B47" s="1108" t="s">
        <v>9022</v>
      </c>
      <c r="C47" s="1108" t="s">
        <v>9023</v>
      </c>
      <c r="D47" s="1116" t="s">
        <v>9028</v>
      </c>
      <c r="E47" s="1116" t="s">
        <v>9029</v>
      </c>
      <c r="F47" s="1109">
        <v>0.1</v>
      </c>
      <c r="G47" s="1109">
        <v>0.0</v>
      </c>
      <c r="H47" s="1118">
        <v>11000.0</v>
      </c>
      <c r="I47" s="1118">
        <f t="shared" si="1"/>
        <v>10000</v>
      </c>
      <c r="J47" s="1118">
        <f t="shared" si="2"/>
        <v>11000</v>
      </c>
      <c r="K47" s="1110"/>
    </row>
    <row r="48" ht="18.75" customHeight="1">
      <c r="A48" s="1110"/>
      <c r="B48" s="1108" t="s">
        <v>9022</v>
      </c>
      <c r="C48" s="1108" t="s">
        <v>9023</v>
      </c>
      <c r="D48" s="1116" t="s">
        <v>9030</v>
      </c>
      <c r="E48" s="1116" t="s">
        <v>9031</v>
      </c>
      <c r="F48" s="1109">
        <v>0.1</v>
      </c>
      <c r="G48" s="1109">
        <v>0.0</v>
      </c>
      <c r="H48" s="1118">
        <v>12100.0</v>
      </c>
      <c r="I48" s="1118">
        <f t="shared" si="1"/>
        <v>11000</v>
      </c>
      <c r="J48" s="1118">
        <f t="shared" si="2"/>
        <v>12100</v>
      </c>
      <c r="K48" s="1110"/>
    </row>
    <row r="49" ht="18.75" customHeight="1">
      <c r="A49" s="1110"/>
      <c r="B49" s="1108" t="s">
        <v>9022</v>
      </c>
      <c r="C49" s="1108" t="s">
        <v>9023</v>
      </c>
      <c r="D49" s="1116" t="s">
        <v>9032</v>
      </c>
      <c r="E49" s="1116" t="s">
        <v>9033</v>
      </c>
      <c r="F49" s="1109">
        <v>0.1</v>
      </c>
      <c r="G49" s="1109">
        <v>0.0</v>
      </c>
      <c r="H49" s="1118">
        <v>22000.0</v>
      </c>
      <c r="I49" s="1118">
        <f t="shared" si="1"/>
        <v>20000</v>
      </c>
      <c r="J49" s="1118">
        <f t="shared" si="2"/>
        <v>22000</v>
      </c>
      <c r="K49" s="1110"/>
    </row>
    <row r="50" ht="18.75" customHeight="1">
      <c r="A50" s="1110"/>
      <c r="B50" s="1108" t="s">
        <v>9022</v>
      </c>
      <c r="C50" s="1108" t="s">
        <v>9023</v>
      </c>
      <c r="D50" s="1116" t="s">
        <v>9034</v>
      </c>
      <c r="E50" s="1116" t="s">
        <v>9035</v>
      </c>
      <c r="F50" s="1109">
        <v>0.1</v>
      </c>
      <c r="G50" s="1109">
        <v>0.0</v>
      </c>
      <c r="H50" s="1118">
        <v>25960.0</v>
      </c>
      <c r="I50" s="1118">
        <f t="shared" si="1"/>
        <v>23600</v>
      </c>
      <c r="J50" s="1118">
        <f t="shared" si="2"/>
        <v>25960</v>
      </c>
      <c r="K50" s="1110"/>
    </row>
    <row r="51" ht="18.75" customHeight="1">
      <c r="A51" s="1110"/>
      <c r="B51" s="1108" t="s">
        <v>9022</v>
      </c>
      <c r="C51" s="1108" t="s">
        <v>9023</v>
      </c>
      <c r="D51" s="1116" t="s">
        <v>9036</v>
      </c>
      <c r="E51" s="1116" t="s">
        <v>9037</v>
      </c>
      <c r="F51" s="1109">
        <v>0.1</v>
      </c>
      <c r="G51" s="1109">
        <v>0.0</v>
      </c>
      <c r="H51" s="1118">
        <v>32010.0</v>
      </c>
      <c r="I51" s="1118">
        <f t="shared" si="1"/>
        <v>29100</v>
      </c>
      <c r="J51" s="1118">
        <f t="shared" si="2"/>
        <v>32010</v>
      </c>
      <c r="K51" s="1110"/>
    </row>
    <row r="52" ht="18.75" customHeight="1">
      <c r="A52" s="1110"/>
      <c r="B52" s="1108" t="s">
        <v>9022</v>
      </c>
      <c r="C52" s="1108" t="s">
        <v>9023</v>
      </c>
      <c r="D52" s="1116" t="s">
        <v>9038</v>
      </c>
      <c r="E52" s="1116" t="s">
        <v>9039</v>
      </c>
      <c r="F52" s="1109">
        <v>0.1</v>
      </c>
      <c r="G52" s="1109">
        <v>0.0</v>
      </c>
      <c r="H52" s="1118">
        <v>50050.0</v>
      </c>
      <c r="I52" s="1118">
        <f t="shared" si="1"/>
        <v>45500</v>
      </c>
      <c r="J52" s="1118">
        <f t="shared" si="2"/>
        <v>50050</v>
      </c>
      <c r="K52" s="1110"/>
    </row>
    <row r="53" ht="18.75" customHeight="1">
      <c r="A53" s="1110"/>
      <c r="B53" s="1108" t="s">
        <v>9022</v>
      </c>
      <c r="C53" s="1108" t="s">
        <v>9023</v>
      </c>
      <c r="D53" s="1116" t="s">
        <v>9040</v>
      </c>
      <c r="E53" s="1116" t="s">
        <v>9041</v>
      </c>
      <c r="F53" s="1109">
        <v>0.1</v>
      </c>
      <c r="G53" s="1109">
        <v>0.0</v>
      </c>
      <c r="H53" s="1118">
        <v>55000.0</v>
      </c>
      <c r="I53" s="1118">
        <f t="shared" si="1"/>
        <v>50000</v>
      </c>
      <c r="J53" s="1118">
        <f t="shared" si="2"/>
        <v>55000</v>
      </c>
      <c r="K53" s="1110"/>
    </row>
    <row r="54" ht="18.75" customHeight="1">
      <c r="A54" s="1110"/>
      <c r="B54" s="1108" t="s">
        <v>9022</v>
      </c>
      <c r="C54" s="1108" t="s">
        <v>9023</v>
      </c>
      <c r="D54" s="1116" t="s">
        <v>9042</v>
      </c>
      <c r="E54" s="1116" t="s">
        <v>9043</v>
      </c>
      <c r="F54" s="1109">
        <v>0.1</v>
      </c>
      <c r="G54" s="1109">
        <v>0.0</v>
      </c>
      <c r="H54" s="1118">
        <v>65010.0</v>
      </c>
      <c r="I54" s="1118">
        <f t="shared" si="1"/>
        <v>59100</v>
      </c>
      <c r="J54" s="1118">
        <f t="shared" si="2"/>
        <v>65010</v>
      </c>
      <c r="K54" s="1110"/>
    </row>
    <row r="55" ht="18.75" customHeight="1">
      <c r="A55" s="1110"/>
      <c r="B55" s="1108" t="s">
        <v>9022</v>
      </c>
      <c r="C55" s="1108" t="s">
        <v>9023</v>
      </c>
      <c r="D55" s="1116" t="s">
        <v>9044</v>
      </c>
      <c r="E55" s="1116" t="s">
        <v>9045</v>
      </c>
      <c r="F55" s="1109">
        <v>0.1</v>
      </c>
      <c r="G55" s="1109">
        <v>0.0</v>
      </c>
      <c r="H55" s="1118">
        <v>75020.0</v>
      </c>
      <c r="I55" s="1118">
        <f t="shared" si="1"/>
        <v>68200</v>
      </c>
      <c r="J55" s="1118">
        <f t="shared" si="2"/>
        <v>75020</v>
      </c>
      <c r="K55" s="1110"/>
    </row>
    <row r="56" ht="18.75" customHeight="1">
      <c r="A56" s="1110"/>
      <c r="B56" s="1108" t="s">
        <v>9022</v>
      </c>
      <c r="C56" s="1108" t="s">
        <v>9023</v>
      </c>
      <c r="D56" s="1116" t="s">
        <v>9046</v>
      </c>
      <c r="E56" s="1116" t="s">
        <v>9047</v>
      </c>
      <c r="F56" s="1109">
        <v>0.1</v>
      </c>
      <c r="G56" s="1109">
        <v>0.0</v>
      </c>
      <c r="H56" s="1118">
        <v>99000.0</v>
      </c>
      <c r="I56" s="1118">
        <f t="shared" si="1"/>
        <v>90000</v>
      </c>
      <c r="J56" s="1118">
        <f t="shared" si="2"/>
        <v>99000</v>
      </c>
      <c r="K56" s="1110"/>
    </row>
    <row r="57" ht="18.75" customHeight="1">
      <c r="A57" s="1110"/>
      <c r="B57" s="1108" t="s">
        <v>9022</v>
      </c>
      <c r="C57" s="1108" t="s">
        <v>9023</v>
      </c>
      <c r="D57" s="1116" t="s">
        <v>9048</v>
      </c>
      <c r="E57" s="1116" t="s">
        <v>9049</v>
      </c>
      <c r="F57" s="1109">
        <v>0.1</v>
      </c>
      <c r="G57" s="1109">
        <v>0.0</v>
      </c>
      <c r="H57" s="1118">
        <v>153230.0</v>
      </c>
      <c r="I57" s="1118">
        <f t="shared" si="1"/>
        <v>139300</v>
      </c>
      <c r="J57" s="1118">
        <f t="shared" si="2"/>
        <v>153230</v>
      </c>
      <c r="K57" s="1110"/>
    </row>
    <row r="58" ht="18.75" customHeight="1">
      <c r="A58" s="1110"/>
      <c r="B58" s="1108" t="s">
        <v>9022</v>
      </c>
      <c r="C58" s="1108" t="s">
        <v>9023</v>
      </c>
      <c r="D58" s="1116" t="s">
        <v>9050</v>
      </c>
      <c r="E58" s="1116" t="s">
        <v>9051</v>
      </c>
      <c r="F58" s="1109">
        <v>0.1</v>
      </c>
      <c r="G58" s="1109">
        <v>0.0</v>
      </c>
      <c r="H58" s="1118">
        <v>171000.0</v>
      </c>
      <c r="I58" s="1118">
        <f t="shared" si="1"/>
        <v>155450</v>
      </c>
      <c r="J58" s="1118">
        <f t="shared" si="2"/>
        <v>171000</v>
      </c>
      <c r="K58" s="1110"/>
    </row>
    <row r="59" ht="18.75" customHeight="1">
      <c r="A59" s="1110"/>
      <c r="B59" s="1108" t="s">
        <v>9022</v>
      </c>
      <c r="C59" s="1108" t="s">
        <v>9023</v>
      </c>
      <c r="D59" s="1116" t="s">
        <v>1125</v>
      </c>
      <c r="E59" s="1116" t="s">
        <v>1126</v>
      </c>
      <c r="F59" s="1109">
        <v>0.1</v>
      </c>
      <c r="G59" s="1109">
        <v>0.0</v>
      </c>
      <c r="H59" s="1118">
        <v>270000.0</v>
      </c>
      <c r="I59" s="1118">
        <f t="shared" si="1"/>
        <v>245450</v>
      </c>
      <c r="J59" s="1118">
        <f t="shared" si="2"/>
        <v>270000</v>
      </c>
      <c r="K59" s="1110"/>
    </row>
    <row r="60" ht="18.75" customHeight="1">
      <c r="A60" s="1110"/>
      <c r="B60" s="1108" t="s">
        <v>9052</v>
      </c>
      <c r="C60" s="1108" t="s">
        <v>9053</v>
      </c>
      <c r="D60" s="1116" t="s">
        <v>9054</v>
      </c>
      <c r="E60" s="1116" t="s">
        <v>9055</v>
      </c>
      <c r="F60" s="1109">
        <v>0.1</v>
      </c>
      <c r="G60" s="1109">
        <v>0.0</v>
      </c>
      <c r="H60" s="1118">
        <v>8800.0</v>
      </c>
      <c r="I60" s="1118">
        <f t="shared" si="1"/>
        <v>8000</v>
      </c>
      <c r="J60" s="1118">
        <f t="shared" si="2"/>
        <v>8800</v>
      </c>
      <c r="K60" s="1110"/>
    </row>
    <row r="61" ht="18.75" customHeight="1">
      <c r="A61" s="1110"/>
      <c r="B61" s="1108" t="s">
        <v>9052</v>
      </c>
      <c r="C61" s="1108" t="s">
        <v>9053</v>
      </c>
      <c r="D61" s="1116" t="s">
        <v>9056</v>
      </c>
      <c r="E61" s="1116" t="s">
        <v>9057</v>
      </c>
      <c r="F61" s="1109">
        <v>0.1</v>
      </c>
      <c r="G61" s="1109">
        <v>0.0</v>
      </c>
      <c r="H61" s="1118">
        <v>11000.0</v>
      </c>
      <c r="I61" s="1118">
        <f t="shared" si="1"/>
        <v>10000</v>
      </c>
      <c r="J61" s="1118">
        <f t="shared" si="2"/>
        <v>11000</v>
      </c>
      <c r="K61" s="1110"/>
    </row>
    <row r="62" ht="18.75" customHeight="1">
      <c r="A62" s="1110"/>
      <c r="B62" s="1108" t="s">
        <v>9052</v>
      </c>
      <c r="C62" s="1108" t="s">
        <v>9053</v>
      </c>
      <c r="D62" s="1116" t="s">
        <v>9058</v>
      </c>
      <c r="E62" s="1116" t="s">
        <v>9059</v>
      </c>
      <c r="F62" s="1109">
        <v>0.1</v>
      </c>
      <c r="G62" s="1109">
        <v>0.0</v>
      </c>
      <c r="H62" s="1118">
        <v>12100.0</v>
      </c>
      <c r="I62" s="1118">
        <f t="shared" si="1"/>
        <v>11000</v>
      </c>
      <c r="J62" s="1118">
        <f t="shared" si="2"/>
        <v>12100</v>
      </c>
      <c r="K62" s="1110"/>
    </row>
    <row r="63" ht="18.75" customHeight="1">
      <c r="A63" s="1110"/>
      <c r="B63" s="1108" t="s">
        <v>9052</v>
      </c>
      <c r="C63" s="1108" t="s">
        <v>9053</v>
      </c>
      <c r="D63" s="1116" t="s">
        <v>9060</v>
      </c>
      <c r="E63" s="1116" t="s">
        <v>9061</v>
      </c>
      <c r="F63" s="1109">
        <v>0.1</v>
      </c>
      <c r="G63" s="1109">
        <v>0.0</v>
      </c>
      <c r="H63" s="1118">
        <v>14300.0</v>
      </c>
      <c r="I63" s="1118">
        <f t="shared" si="1"/>
        <v>13000</v>
      </c>
      <c r="J63" s="1118">
        <f t="shared" si="2"/>
        <v>14300</v>
      </c>
      <c r="K63" s="1110"/>
    </row>
    <row r="64" ht="18.75" customHeight="1">
      <c r="A64" s="1110"/>
      <c r="B64" s="1108" t="s">
        <v>9052</v>
      </c>
      <c r="C64" s="1108" t="s">
        <v>9053</v>
      </c>
      <c r="D64" s="1116" t="s">
        <v>9062</v>
      </c>
      <c r="E64" s="1116" t="s">
        <v>9063</v>
      </c>
      <c r="F64" s="1109">
        <v>0.1</v>
      </c>
      <c r="G64" s="1109">
        <v>0.0</v>
      </c>
      <c r="H64" s="1118">
        <v>20900.0</v>
      </c>
      <c r="I64" s="1118">
        <f t="shared" si="1"/>
        <v>19000</v>
      </c>
      <c r="J64" s="1118">
        <f t="shared" si="2"/>
        <v>20900</v>
      </c>
      <c r="K64" s="1110"/>
    </row>
    <row r="65" ht="18.75" customHeight="1">
      <c r="A65" s="1110"/>
      <c r="B65" s="1108" t="s">
        <v>9052</v>
      </c>
      <c r="C65" s="1108" t="s">
        <v>9053</v>
      </c>
      <c r="D65" s="1116" t="s">
        <v>9064</v>
      </c>
      <c r="E65" s="1116" t="s">
        <v>9065</v>
      </c>
      <c r="F65" s="1109">
        <v>0.1</v>
      </c>
      <c r="G65" s="1109">
        <v>0.0</v>
      </c>
      <c r="H65" s="1118">
        <v>30800.0</v>
      </c>
      <c r="I65" s="1118">
        <f t="shared" si="1"/>
        <v>28000</v>
      </c>
      <c r="J65" s="1118">
        <f t="shared" si="2"/>
        <v>30800</v>
      </c>
      <c r="K65" s="1110"/>
    </row>
    <row r="66" ht="18.75" customHeight="1">
      <c r="A66" s="1110"/>
      <c r="B66" s="1108" t="s">
        <v>9052</v>
      </c>
      <c r="C66" s="1108" t="s">
        <v>9053</v>
      </c>
      <c r="D66" s="1116" t="s">
        <v>9066</v>
      </c>
      <c r="E66" s="1116" t="s">
        <v>9067</v>
      </c>
      <c r="F66" s="1109">
        <v>0.1</v>
      </c>
      <c r="G66" s="1109">
        <v>0.0</v>
      </c>
      <c r="H66" s="1118">
        <v>39600.0</v>
      </c>
      <c r="I66" s="1118">
        <f t="shared" si="1"/>
        <v>36000</v>
      </c>
      <c r="J66" s="1118">
        <f t="shared" si="2"/>
        <v>39600</v>
      </c>
      <c r="K66" s="1110"/>
    </row>
    <row r="67" ht="18.75" customHeight="1">
      <c r="A67" s="1110"/>
      <c r="B67" s="1108" t="s">
        <v>9052</v>
      </c>
      <c r="C67" s="1108" t="s">
        <v>9053</v>
      </c>
      <c r="D67" s="1116" t="s">
        <v>9068</v>
      </c>
      <c r="E67" s="1116" t="s">
        <v>9069</v>
      </c>
      <c r="F67" s="1109">
        <v>0.1</v>
      </c>
      <c r="G67" s="1109">
        <v>0.0</v>
      </c>
      <c r="H67" s="1118">
        <v>41800.0</v>
      </c>
      <c r="I67" s="1118">
        <f t="shared" si="1"/>
        <v>38000</v>
      </c>
      <c r="J67" s="1118">
        <f t="shared" si="2"/>
        <v>41800</v>
      </c>
      <c r="K67" s="1110"/>
    </row>
    <row r="68" ht="18.75" customHeight="1">
      <c r="A68" s="1110"/>
      <c r="B68" s="1108" t="s">
        <v>9052</v>
      </c>
      <c r="C68" s="1108" t="s">
        <v>9053</v>
      </c>
      <c r="D68" s="1116" t="s">
        <v>9070</v>
      </c>
      <c r="E68" s="1116" t="s">
        <v>9071</v>
      </c>
      <c r="F68" s="1109">
        <v>0.1</v>
      </c>
      <c r="G68" s="1109">
        <v>0.0</v>
      </c>
      <c r="H68" s="1118">
        <v>63800.0</v>
      </c>
      <c r="I68" s="1118">
        <f t="shared" si="1"/>
        <v>58000</v>
      </c>
      <c r="J68" s="1118">
        <f t="shared" si="2"/>
        <v>63800</v>
      </c>
      <c r="K68" s="1110"/>
    </row>
    <row r="69" ht="18.75" customHeight="1">
      <c r="A69" s="1110"/>
      <c r="B69" s="1108" t="s">
        <v>9052</v>
      </c>
      <c r="C69" s="1108" t="s">
        <v>9053</v>
      </c>
      <c r="D69" s="1116" t="s">
        <v>9072</v>
      </c>
      <c r="E69" s="1116" t="s">
        <v>9073</v>
      </c>
      <c r="F69" s="1109">
        <v>0.1</v>
      </c>
      <c r="G69" s="1109">
        <v>0.0</v>
      </c>
      <c r="H69" s="1118">
        <v>85800.0</v>
      </c>
      <c r="I69" s="1118">
        <f t="shared" si="1"/>
        <v>78000</v>
      </c>
      <c r="J69" s="1118">
        <f t="shared" si="2"/>
        <v>85800</v>
      </c>
      <c r="K69" s="1110"/>
    </row>
    <row r="70" ht="18.75" customHeight="1">
      <c r="A70" s="1110"/>
      <c r="B70" s="1108" t="s">
        <v>9052</v>
      </c>
      <c r="C70" s="1108" t="s">
        <v>9053</v>
      </c>
      <c r="D70" s="1116" t="s">
        <v>9074</v>
      </c>
      <c r="E70" s="1116" t="s">
        <v>9075</v>
      </c>
      <c r="F70" s="1109">
        <v>0.1</v>
      </c>
      <c r="G70" s="1109">
        <v>0.0</v>
      </c>
      <c r="H70" s="1118">
        <v>96800.0</v>
      </c>
      <c r="I70" s="1118">
        <f t="shared" si="1"/>
        <v>88000</v>
      </c>
      <c r="J70" s="1118">
        <f t="shared" si="2"/>
        <v>96800</v>
      </c>
      <c r="K70" s="1110"/>
    </row>
    <row r="71" ht="18.75" customHeight="1">
      <c r="A71" s="1110"/>
      <c r="B71" s="1108" t="s">
        <v>9052</v>
      </c>
      <c r="C71" s="1108" t="s">
        <v>9053</v>
      </c>
      <c r="D71" s="1116" t="s">
        <v>9076</v>
      </c>
      <c r="E71" s="1116" t="s">
        <v>9077</v>
      </c>
      <c r="F71" s="1109">
        <v>0.1</v>
      </c>
      <c r="G71" s="1109">
        <v>0.0</v>
      </c>
      <c r="H71" s="1118">
        <v>129800.0</v>
      </c>
      <c r="I71" s="1118">
        <f t="shared" si="1"/>
        <v>118000</v>
      </c>
      <c r="J71" s="1118">
        <f t="shared" si="2"/>
        <v>129800</v>
      </c>
      <c r="K71" s="1110"/>
    </row>
    <row r="72" ht="18.75" customHeight="1">
      <c r="A72" s="1110"/>
      <c r="B72" s="1108" t="s">
        <v>9052</v>
      </c>
      <c r="C72" s="1108" t="s">
        <v>9053</v>
      </c>
      <c r="D72" s="1116" t="s">
        <v>9078</v>
      </c>
      <c r="E72" s="1116" t="s">
        <v>9079</v>
      </c>
      <c r="F72" s="1109">
        <v>0.1</v>
      </c>
      <c r="G72" s="1109">
        <v>0.0</v>
      </c>
      <c r="H72" s="1116"/>
      <c r="I72" s="1118" t="str">
        <f t="shared" si="1"/>
        <v/>
      </c>
      <c r="J72" s="1118" t="str">
        <f t="shared" si="2"/>
        <v/>
      </c>
      <c r="K72" s="1110"/>
    </row>
    <row r="73" ht="18.75" customHeight="1">
      <c r="A73" s="1110"/>
      <c r="B73" s="1108" t="s">
        <v>9052</v>
      </c>
      <c r="C73" s="1108" t="s">
        <v>9053</v>
      </c>
      <c r="D73" s="1116" t="s">
        <v>9080</v>
      </c>
      <c r="E73" s="1116" t="s">
        <v>9081</v>
      </c>
      <c r="F73" s="1109">
        <v>0.1</v>
      </c>
      <c r="G73" s="1109">
        <v>0.0</v>
      </c>
      <c r="H73" s="1118">
        <v>217800.0</v>
      </c>
      <c r="I73" s="1118">
        <f t="shared" si="1"/>
        <v>198000</v>
      </c>
      <c r="J73" s="1118">
        <f t="shared" si="2"/>
        <v>217800</v>
      </c>
      <c r="K73" s="1110"/>
    </row>
    <row r="74" ht="18.75" customHeight="1">
      <c r="A74" s="1110"/>
      <c r="B74" s="1108" t="s">
        <v>9052</v>
      </c>
      <c r="C74" s="1108" t="s">
        <v>9053</v>
      </c>
      <c r="D74" s="1116" t="s">
        <v>9082</v>
      </c>
      <c r="E74" s="1116" t="s">
        <v>9083</v>
      </c>
      <c r="F74" s="1109">
        <v>0.1</v>
      </c>
      <c r="G74" s="1109">
        <v>0.0</v>
      </c>
      <c r="H74" s="1116"/>
      <c r="I74" s="1118" t="str">
        <f t="shared" si="1"/>
        <v/>
      </c>
      <c r="J74" s="1118" t="str">
        <f t="shared" si="2"/>
        <v/>
      </c>
      <c r="K74" s="1110"/>
    </row>
    <row r="75" ht="18.75" customHeight="1">
      <c r="A75" s="1110"/>
      <c r="B75" s="1108" t="s">
        <v>9052</v>
      </c>
      <c r="C75" s="1108" t="s">
        <v>9053</v>
      </c>
      <c r="D75" s="1116" t="s">
        <v>9084</v>
      </c>
      <c r="E75" s="1116" t="s">
        <v>9085</v>
      </c>
      <c r="F75" s="1109">
        <v>0.1</v>
      </c>
      <c r="G75" s="1109">
        <v>0.0</v>
      </c>
      <c r="H75" s="1118">
        <v>327800.0</v>
      </c>
      <c r="I75" s="1118">
        <f t="shared" si="1"/>
        <v>298000</v>
      </c>
      <c r="J75" s="1118">
        <f t="shared" si="2"/>
        <v>327800</v>
      </c>
      <c r="K75" s="1110"/>
    </row>
    <row r="76" ht="18.75" customHeight="1">
      <c r="A76" s="1110"/>
      <c r="B76" s="1108" t="s">
        <v>9052</v>
      </c>
      <c r="C76" s="1108" t="s">
        <v>9053</v>
      </c>
      <c r="D76" s="1116" t="s">
        <v>9086</v>
      </c>
      <c r="E76" s="1116" t="s">
        <v>9087</v>
      </c>
      <c r="F76" s="1109">
        <v>0.1</v>
      </c>
      <c r="G76" s="1109">
        <v>0.0</v>
      </c>
      <c r="H76" s="1118">
        <v>953260.0</v>
      </c>
      <c r="I76" s="1118">
        <f t="shared" si="1"/>
        <v>866600</v>
      </c>
      <c r="J76" s="1118">
        <f t="shared" si="2"/>
        <v>953260</v>
      </c>
      <c r="K76" s="1110"/>
    </row>
    <row r="77" ht="18.75" customHeight="1">
      <c r="A77" s="1110"/>
      <c r="B77" s="1108" t="s">
        <v>9052</v>
      </c>
      <c r="C77" s="1108" t="s">
        <v>9053</v>
      </c>
      <c r="D77" s="1116" t="s">
        <v>9088</v>
      </c>
      <c r="E77" s="1116" t="s">
        <v>9089</v>
      </c>
      <c r="F77" s="1109">
        <v>0.1</v>
      </c>
      <c r="G77" s="1109">
        <v>0.0</v>
      </c>
      <c r="H77" s="1116"/>
      <c r="I77" s="1118" t="str">
        <f t="shared" si="1"/>
        <v/>
      </c>
      <c r="J77" s="1118" t="str">
        <f t="shared" si="2"/>
        <v/>
      </c>
      <c r="K77" s="1110"/>
    </row>
    <row r="78" ht="18.75" customHeight="1">
      <c r="A78" s="1110"/>
      <c r="B78" s="1108" t="s">
        <v>9052</v>
      </c>
      <c r="C78" s="1108" t="s">
        <v>9053</v>
      </c>
      <c r="D78" s="1116" t="s">
        <v>9090</v>
      </c>
      <c r="E78" s="1116" t="s">
        <v>9091</v>
      </c>
      <c r="F78" s="1109">
        <v>0.1</v>
      </c>
      <c r="G78" s="1109">
        <v>0.0</v>
      </c>
      <c r="H78" s="1118">
        <v>2040830.0</v>
      </c>
      <c r="I78" s="1118">
        <f t="shared" si="1"/>
        <v>1855300</v>
      </c>
      <c r="J78" s="1118">
        <f t="shared" si="2"/>
        <v>2040830</v>
      </c>
      <c r="K78" s="1110"/>
    </row>
    <row r="79" ht="18.75" customHeight="1">
      <c r="A79" s="1110"/>
      <c r="B79" s="1108" t="s">
        <v>9052</v>
      </c>
      <c r="C79" s="1108" t="s">
        <v>9053</v>
      </c>
      <c r="D79" s="1116" t="s">
        <v>9092</v>
      </c>
      <c r="E79" s="1116" t="s">
        <v>9093</v>
      </c>
      <c r="F79" s="1109">
        <v>0.1</v>
      </c>
      <c r="G79" s="1109">
        <v>0.0</v>
      </c>
      <c r="H79" s="1116"/>
      <c r="I79" s="1118" t="str">
        <f t="shared" si="1"/>
        <v/>
      </c>
      <c r="J79" s="1118" t="str">
        <f t="shared" si="2"/>
        <v/>
      </c>
      <c r="K79" s="1110"/>
    </row>
    <row r="80" ht="18.75" customHeight="1">
      <c r="A80" s="1110"/>
      <c r="B80" s="1108" t="s">
        <v>9094</v>
      </c>
      <c r="C80" s="1108" t="s">
        <v>9095</v>
      </c>
      <c r="D80" s="1116" t="s">
        <v>9096</v>
      </c>
      <c r="E80" s="1116" t="s">
        <v>9097</v>
      </c>
      <c r="F80" s="1109">
        <v>0.1</v>
      </c>
      <c r="G80" s="1109">
        <v>0.0</v>
      </c>
      <c r="H80" s="1116"/>
      <c r="I80" s="1118" t="str">
        <f t="shared" si="1"/>
        <v/>
      </c>
      <c r="J80" s="1118" t="str">
        <f t="shared" si="2"/>
        <v/>
      </c>
      <c r="K80" s="1110"/>
    </row>
    <row r="81" ht="18.75" customHeight="1">
      <c r="A81" s="1110"/>
      <c r="B81" s="1108" t="s">
        <v>9094</v>
      </c>
      <c r="C81" s="1108" t="s">
        <v>9095</v>
      </c>
      <c r="D81" s="1116" t="s">
        <v>9098</v>
      </c>
      <c r="E81" s="1116" t="s">
        <v>9099</v>
      </c>
      <c r="F81" s="1109">
        <v>0.1</v>
      </c>
      <c r="G81" s="1109">
        <v>0.0</v>
      </c>
      <c r="H81" s="1118">
        <v>9020.0</v>
      </c>
      <c r="I81" s="1118">
        <f t="shared" si="1"/>
        <v>8200</v>
      </c>
      <c r="J81" s="1118">
        <f t="shared" si="2"/>
        <v>9020</v>
      </c>
      <c r="K81" s="1110"/>
    </row>
    <row r="82" ht="18.75" customHeight="1">
      <c r="A82" s="1110"/>
      <c r="B82" s="1108" t="s">
        <v>9094</v>
      </c>
      <c r="C82" s="1108" t="s">
        <v>9095</v>
      </c>
      <c r="D82" s="1116" t="s">
        <v>9100</v>
      </c>
      <c r="E82" s="1116" t="s">
        <v>9101</v>
      </c>
      <c r="F82" s="1109">
        <v>0.1</v>
      </c>
      <c r="G82" s="1109">
        <v>0.0</v>
      </c>
      <c r="H82" s="1118">
        <v>9020.0</v>
      </c>
      <c r="I82" s="1118">
        <f t="shared" si="1"/>
        <v>8200</v>
      </c>
      <c r="J82" s="1118">
        <f t="shared" si="2"/>
        <v>9020</v>
      </c>
      <c r="K82" s="1110"/>
    </row>
    <row r="83" ht="18.75" customHeight="1">
      <c r="A83" s="1110"/>
      <c r="B83" s="1108" t="s">
        <v>9094</v>
      </c>
      <c r="C83" s="1108" t="s">
        <v>9095</v>
      </c>
      <c r="D83" s="1116" t="s">
        <v>9102</v>
      </c>
      <c r="E83" s="1116" t="s">
        <v>9103</v>
      </c>
      <c r="F83" s="1109">
        <v>0.1</v>
      </c>
      <c r="G83" s="1109">
        <v>0.0</v>
      </c>
      <c r="H83" s="1118">
        <v>12100.0</v>
      </c>
      <c r="I83" s="1118">
        <f t="shared" si="1"/>
        <v>11000</v>
      </c>
      <c r="J83" s="1118">
        <f t="shared" si="2"/>
        <v>12100</v>
      </c>
      <c r="K83" s="1110"/>
    </row>
    <row r="84" ht="18.75" customHeight="1">
      <c r="A84" s="1110"/>
      <c r="B84" s="1108" t="s">
        <v>9094</v>
      </c>
      <c r="C84" s="1108" t="s">
        <v>9095</v>
      </c>
      <c r="D84" s="1116" t="s">
        <v>9104</v>
      </c>
      <c r="E84" s="1116" t="s">
        <v>9105</v>
      </c>
      <c r="F84" s="1109">
        <v>0.1</v>
      </c>
      <c r="G84" s="1109">
        <v>0.0</v>
      </c>
      <c r="H84" s="1118">
        <v>12100.0</v>
      </c>
      <c r="I84" s="1118">
        <f t="shared" si="1"/>
        <v>11000</v>
      </c>
      <c r="J84" s="1118">
        <f t="shared" si="2"/>
        <v>12100</v>
      </c>
      <c r="K84" s="1110"/>
    </row>
    <row r="85" ht="18.75" customHeight="1">
      <c r="A85" s="1110"/>
      <c r="B85" s="1108" t="s">
        <v>9094</v>
      </c>
      <c r="C85" s="1108" t="s">
        <v>9095</v>
      </c>
      <c r="D85" s="1116" t="s">
        <v>9106</v>
      </c>
      <c r="E85" s="1116" t="s">
        <v>9107</v>
      </c>
      <c r="F85" s="1109">
        <v>0.1</v>
      </c>
      <c r="G85" s="1109">
        <v>0.0</v>
      </c>
      <c r="H85" s="1118">
        <v>12100.0</v>
      </c>
      <c r="I85" s="1118">
        <f t="shared" si="1"/>
        <v>11000</v>
      </c>
      <c r="J85" s="1118">
        <f t="shared" si="2"/>
        <v>12100</v>
      </c>
      <c r="K85" s="1110"/>
    </row>
    <row r="86" ht="18.75" customHeight="1">
      <c r="A86" s="1110"/>
      <c r="B86" s="1108" t="s">
        <v>9094</v>
      </c>
      <c r="C86" s="1108" t="s">
        <v>9095</v>
      </c>
      <c r="D86" s="1116" t="s">
        <v>9108</v>
      </c>
      <c r="E86" s="1116" t="s">
        <v>9109</v>
      </c>
      <c r="F86" s="1109">
        <v>0.1</v>
      </c>
      <c r="G86" s="1109">
        <v>0.0</v>
      </c>
      <c r="H86" s="1118">
        <v>17050.0</v>
      </c>
      <c r="I86" s="1118">
        <f t="shared" si="1"/>
        <v>15500</v>
      </c>
      <c r="J86" s="1118">
        <f t="shared" si="2"/>
        <v>17050</v>
      </c>
      <c r="K86" s="1110"/>
    </row>
    <row r="87" ht="18.75" customHeight="1">
      <c r="A87" s="1110"/>
      <c r="B87" s="1108" t="s">
        <v>9094</v>
      </c>
      <c r="C87" s="1108" t="s">
        <v>9095</v>
      </c>
      <c r="D87" s="1116" t="s">
        <v>9110</v>
      </c>
      <c r="E87" s="1116" t="s">
        <v>9111</v>
      </c>
      <c r="F87" s="1109">
        <v>0.1</v>
      </c>
      <c r="G87" s="1109">
        <v>0.0</v>
      </c>
      <c r="H87" s="1118">
        <v>17050.0</v>
      </c>
      <c r="I87" s="1118">
        <f t="shared" si="1"/>
        <v>15500</v>
      </c>
      <c r="J87" s="1118">
        <f t="shared" si="2"/>
        <v>17050</v>
      </c>
      <c r="K87" s="1110"/>
    </row>
    <row r="88" ht="18.75" customHeight="1">
      <c r="A88" s="1110"/>
      <c r="B88" s="1108" t="s">
        <v>9094</v>
      </c>
      <c r="C88" s="1108" t="s">
        <v>9095</v>
      </c>
      <c r="D88" s="1116" t="s">
        <v>9112</v>
      </c>
      <c r="E88" s="1116" t="s">
        <v>9113</v>
      </c>
      <c r="F88" s="1109">
        <v>0.1</v>
      </c>
      <c r="G88" s="1109">
        <v>0.0</v>
      </c>
      <c r="H88" s="1118">
        <v>17050.0</v>
      </c>
      <c r="I88" s="1118">
        <f t="shared" si="1"/>
        <v>15500</v>
      </c>
      <c r="J88" s="1118">
        <f t="shared" si="2"/>
        <v>17050</v>
      </c>
      <c r="K88" s="1110"/>
    </row>
    <row r="89" ht="18.75" customHeight="1">
      <c r="A89" s="1110"/>
      <c r="B89" s="1108" t="s">
        <v>9094</v>
      </c>
      <c r="C89" s="1108" t="s">
        <v>9095</v>
      </c>
      <c r="D89" s="1116" t="s">
        <v>9114</v>
      </c>
      <c r="E89" s="1116" t="s">
        <v>9115</v>
      </c>
      <c r="F89" s="1109">
        <v>0.1</v>
      </c>
      <c r="G89" s="1109">
        <v>0.0</v>
      </c>
      <c r="H89" s="1118">
        <v>18040.0</v>
      </c>
      <c r="I89" s="1118">
        <f t="shared" si="1"/>
        <v>16400</v>
      </c>
      <c r="J89" s="1118">
        <f t="shared" si="2"/>
        <v>18040</v>
      </c>
      <c r="K89" s="1110"/>
    </row>
    <row r="90" ht="18.75" customHeight="1">
      <c r="A90" s="1110"/>
      <c r="B90" s="1108" t="s">
        <v>9094</v>
      </c>
      <c r="C90" s="1108" t="s">
        <v>9095</v>
      </c>
      <c r="D90" s="1116" t="s">
        <v>9116</v>
      </c>
      <c r="E90" s="1116" t="s">
        <v>9117</v>
      </c>
      <c r="F90" s="1109">
        <v>0.1</v>
      </c>
      <c r="G90" s="1109">
        <v>0.0</v>
      </c>
      <c r="H90" s="1118">
        <v>18040.0</v>
      </c>
      <c r="I90" s="1118">
        <f t="shared" si="1"/>
        <v>16400</v>
      </c>
      <c r="J90" s="1118">
        <f t="shared" si="2"/>
        <v>18040</v>
      </c>
      <c r="K90" s="1110"/>
    </row>
    <row r="91" ht="18.75" customHeight="1">
      <c r="A91" s="1110"/>
      <c r="B91" s="1108" t="s">
        <v>9094</v>
      </c>
      <c r="C91" s="1108" t="s">
        <v>9095</v>
      </c>
      <c r="D91" s="1116" t="s">
        <v>9118</v>
      </c>
      <c r="E91" s="1116" t="s">
        <v>9119</v>
      </c>
      <c r="F91" s="1109">
        <v>0.1</v>
      </c>
      <c r="G91" s="1109">
        <v>0.0</v>
      </c>
      <c r="H91" s="1118">
        <v>18040.0</v>
      </c>
      <c r="I91" s="1118">
        <f t="shared" si="1"/>
        <v>16400</v>
      </c>
      <c r="J91" s="1118">
        <f t="shared" si="2"/>
        <v>18040</v>
      </c>
      <c r="K91" s="1110"/>
    </row>
    <row r="92" ht="18.75" customHeight="1">
      <c r="A92" s="1110"/>
      <c r="B92" s="1108" t="s">
        <v>9094</v>
      </c>
      <c r="C92" s="1108" t="s">
        <v>9095</v>
      </c>
      <c r="D92" s="1116" t="s">
        <v>9120</v>
      </c>
      <c r="E92" s="1116" t="s">
        <v>9121</v>
      </c>
      <c r="F92" s="1109">
        <v>0.1</v>
      </c>
      <c r="G92" s="1109">
        <v>0.0</v>
      </c>
      <c r="H92" s="1118">
        <v>18040.0</v>
      </c>
      <c r="I92" s="1118">
        <f t="shared" si="1"/>
        <v>16400</v>
      </c>
      <c r="J92" s="1118">
        <f t="shared" si="2"/>
        <v>18040</v>
      </c>
      <c r="K92" s="1110"/>
    </row>
    <row r="93" ht="18.75" customHeight="1">
      <c r="A93" s="1110"/>
      <c r="B93" s="1108" t="s">
        <v>9094</v>
      </c>
      <c r="C93" s="1108" t="s">
        <v>9095</v>
      </c>
      <c r="D93" s="1116" t="s">
        <v>9122</v>
      </c>
      <c r="E93" s="1116" t="s">
        <v>9123</v>
      </c>
      <c r="F93" s="1109">
        <v>0.1</v>
      </c>
      <c r="G93" s="1109">
        <v>0.0</v>
      </c>
      <c r="H93" s="1118">
        <v>37950.0</v>
      </c>
      <c r="I93" s="1118">
        <f t="shared" si="1"/>
        <v>34500</v>
      </c>
      <c r="J93" s="1118">
        <f t="shared" si="2"/>
        <v>37950</v>
      </c>
      <c r="K93" s="1110"/>
    </row>
    <row r="94" ht="18.75" customHeight="1">
      <c r="A94" s="1110"/>
      <c r="B94" s="1108" t="s">
        <v>9094</v>
      </c>
      <c r="C94" s="1108" t="s">
        <v>9095</v>
      </c>
      <c r="D94" s="1116" t="s">
        <v>9124</v>
      </c>
      <c r="E94" s="1116" t="s">
        <v>9125</v>
      </c>
      <c r="F94" s="1109">
        <v>0.1</v>
      </c>
      <c r="G94" s="1109">
        <v>0.0</v>
      </c>
      <c r="H94" s="1118">
        <v>37950.0</v>
      </c>
      <c r="I94" s="1118">
        <f t="shared" si="1"/>
        <v>34500</v>
      </c>
      <c r="J94" s="1118">
        <f t="shared" si="2"/>
        <v>37950</v>
      </c>
      <c r="K94" s="1110"/>
    </row>
    <row r="95" ht="18.75" customHeight="1">
      <c r="A95" s="1110"/>
      <c r="B95" s="1108" t="s">
        <v>9094</v>
      </c>
      <c r="C95" s="1108" t="s">
        <v>9095</v>
      </c>
      <c r="D95" s="1116" t="s">
        <v>9126</v>
      </c>
      <c r="E95" s="1116" t="s">
        <v>9127</v>
      </c>
      <c r="F95" s="1109">
        <v>0.1</v>
      </c>
      <c r="G95" s="1109">
        <v>0.0</v>
      </c>
      <c r="H95" s="1118">
        <v>35640.0</v>
      </c>
      <c r="I95" s="1118">
        <f t="shared" si="1"/>
        <v>32400</v>
      </c>
      <c r="J95" s="1118">
        <f t="shared" si="2"/>
        <v>35640</v>
      </c>
      <c r="K95" s="1110"/>
    </row>
    <row r="96" ht="18.75" customHeight="1">
      <c r="A96" s="1110"/>
      <c r="B96" s="1108" t="s">
        <v>9094</v>
      </c>
      <c r="C96" s="1108" t="s">
        <v>9095</v>
      </c>
      <c r="D96" s="1116" t="s">
        <v>9128</v>
      </c>
      <c r="E96" s="1116" t="s">
        <v>9129</v>
      </c>
      <c r="F96" s="1109">
        <v>0.1</v>
      </c>
      <c r="G96" s="1109">
        <v>0.0</v>
      </c>
      <c r="H96" s="1118">
        <v>35640.0</v>
      </c>
      <c r="I96" s="1118">
        <f t="shared" si="1"/>
        <v>32400</v>
      </c>
      <c r="J96" s="1118">
        <f t="shared" si="2"/>
        <v>35640</v>
      </c>
      <c r="K96" s="1110"/>
    </row>
    <row r="97" ht="18.75" customHeight="1">
      <c r="A97" s="1110"/>
      <c r="B97" s="1108" t="s">
        <v>9094</v>
      </c>
      <c r="C97" s="1108" t="s">
        <v>9095</v>
      </c>
      <c r="D97" s="1116" t="s">
        <v>9130</v>
      </c>
      <c r="E97" s="1116" t="s">
        <v>9131</v>
      </c>
      <c r="F97" s="1109">
        <v>0.1</v>
      </c>
      <c r="G97" s="1109">
        <v>0.0</v>
      </c>
      <c r="H97" s="1118">
        <v>25300.0</v>
      </c>
      <c r="I97" s="1118">
        <f t="shared" si="1"/>
        <v>23000</v>
      </c>
      <c r="J97" s="1118">
        <f t="shared" si="2"/>
        <v>25300</v>
      </c>
      <c r="K97" s="1110"/>
    </row>
    <row r="98" ht="18.75" customHeight="1">
      <c r="A98" s="1110"/>
      <c r="B98" s="1108" t="s">
        <v>9094</v>
      </c>
      <c r="C98" s="1108" t="s">
        <v>9095</v>
      </c>
      <c r="D98" s="1116" t="s">
        <v>9132</v>
      </c>
      <c r="E98" s="1116" t="s">
        <v>9133</v>
      </c>
      <c r="F98" s="1109">
        <v>0.1</v>
      </c>
      <c r="G98" s="1109">
        <v>0.0</v>
      </c>
      <c r="H98" s="1118">
        <v>29040.0</v>
      </c>
      <c r="I98" s="1118">
        <f t="shared" si="1"/>
        <v>26400</v>
      </c>
      <c r="J98" s="1118">
        <f t="shared" si="2"/>
        <v>29040</v>
      </c>
      <c r="K98" s="1110"/>
    </row>
    <row r="99" ht="18.75" customHeight="1">
      <c r="A99" s="1110"/>
      <c r="B99" s="1108" t="s">
        <v>9094</v>
      </c>
      <c r="C99" s="1108" t="s">
        <v>9095</v>
      </c>
      <c r="D99" s="1116" t="s">
        <v>9134</v>
      </c>
      <c r="E99" s="1116" t="s">
        <v>9135</v>
      </c>
      <c r="F99" s="1109">
        <v>0.1</v>
      </c>
      <c r="G99" s="1109">
        <v>0.0</v>
      </c>
      <c r="H99" s="1118">
        <v>29040.0</v>
      </c>
      <c r="I99" s="1118">
        <f t="shared" si="1"/>
        <v>26400</v>
      </c>
      <c r="J99" s="1118">
        <f t="shared" si="2"/>
        <v>29040</v>
      </c>
      <c r="K99" s="1110"/>
    </row>
    <row r="100" ht="18.75" customHeight="1">
      <c r="A100" s="1110"/>
      <c r="B100" s="1108" t="s">
        <v>9094</v>
      </c>
      <c r="C100" s="1108" t="s">
        <v>9095</v>
      </c>
      <c r="D100" s="1116" t="s">
        <v>9136</v>
      </c>
      <c r="E100" s="1116" t="s">
        <v>9137</v>
      </c>
      <c r="F100" s="1109">
        <v>0.1</v>
      </c>
      <c r="G100" s="1109">
        <v>0.0</v>
      </c>
      <c r="H100" s="1118">
        <v>29040.0</v>
      </c>
      <c r="I100" s="1118">
        <f t="shared" si="1"/>
        <v>26400</v>
      </c>
      <c r="J100" s="1118">
        <f t="shared" si="2"/>
        <v>29040</v>
      </c>
      <c r="K100" s="1110"/>
    </row>
    <row r="101" ht="18.75" customHeight="1">
      <c r="A101" s="1110"/>
      <c r="B101" s="1108" t="s">
        <v>9094</v>
      </c>
      <c r="C101" s="1108" t="s">
        <v>9095</v>
      </c>
      <c r="D101" s="1116" t="s">
        <v>9138</v>
      </c>
      <c r="E101" s="1116" t="s">
        <v>9139</v>
      </c>
      <c r="F101" s="1109">
        <v>0.1</v>
      </c>
      <c r="G101" s="1109">
        <v>0.0</v>
      </c>
      <c r="H101" s="1118">
        <v>29040.0</v>
      </c>
      <c r="I101" s="1118">
        <f t="shared" si="1"/>
        <v>26400</v>
      </c>
      <c r="J101" s="1118">
        <f t="shared" si="2"/>
        <v>29040</v>
      </c>
      <c r="K101" s="1110"/>
    </row>
    <row r="102" ht="18.75" customHeight="1">
      <c r="A102" s="1110"/>
      <c r="B102" s="1108" t="s">
        <v>9094</v>
      </c>
      <c r="C102" s="1108" t="s">
        <v>9095</v>
      </c>
      <c r="D102" s="1116" t="s">
        <v>9140</v>
      </c>
      <c r="E102" s="1116" t="s">
        <v>9141</v>
      </c>
      <c r="F102" s="1109">
        <v>0.1</v>
      </c>
      <c r="G102" s="1109">
        <v>0.0</v>
      </c>
      <c r="H102" s="1118">
        <v>29040.0</v>
      </c>
      <c r="I102" s="1118">
        <f t="shared" si="1"/>
        <v>26400</v>
      </c>
      <c r="J102" s="1118">
        <f t="shared" si="2"/>
        <v>29040</v>
      </c>
      <c r="K102" s="1110"/>
    </row>
    <row r="103" ht="18.75" customHeight="1">
      <c r="A103" s="1110"/>
      <c r="B103" s="1108" t="s">
        <v>9094</v>
      </c>
      <c r="C103" s="1108" t="s">
        <v>9095</v>
      </c>
      <c r="D103" s="1116" t="s">
        <v>9142</v>
      </c>
      <c r="E103" s="1116" t="s">
        <v>9143</v>
      </c>
      <c r="F103" s="1109">
        <v>0.1</v>
      </c>
      <c r="G103" s="1109">
        <v>0.0</v>
      </c>
      <c r="H103" s="1118">
        <v>29040.0</v>
      </c>
      <c r="I103" s="1118">
        <f t="shared" si="1"/>
        <v>26400</v>
      </c>
      <c r="J103" s="1118">
        <f t="shared" si="2"/>
        <v>29040</v>
      </c>
      <c r="K103" s="1110"/>
    </row>
    <row r="104" ht="18.75" customHeight="1">
      <c r="A104" s="1110"/>
      <c r="B104" s="1108" t="s">
        <v>9094</v>
      </c>
      <c r="C104" s="1108" t="s">
        <v>9095</v>
      </c>
      <c r="D104" s="1116" t="s">
        <v>9144</v>
      </c>
      <c r="E104" s="1116" t="s">
        <v>9145</v>
      </c>
      <c r="F104" s="1109">
        <v>0.1</v>
      </c>
      <c r="G104" s="1109">
        <v>0.0</v>
      </c>
      <c r="H104" s="1118">
        <v>55000.0</v>
      </c>
      <c r="I104" s="1118">
        <f t="shared" si="1"/>
        <v>50000</v>
      </c>
      <c r="J104" s="1118">
        <f t="shared" si="2"/>
        <v>55000</v>
      </c>
      <c r="K104" s="1110"/>
    </row>
    <row r="105" ht="18.75" customHeight="1">
      <c r="A105" s="1110"/>
      <c r="B105" s="1108" t="s">
        <v>9094</v>
      </c>
      <c r="C105" s="1108" t="s">
        <v>9095</v>
      </c>
      <c r="D105" s="1116" t="s">
        <v>9146</v>
      </c>
      <c r="E105" s="1116" t="s">
        <v>9147</v>
      </c>
      <c r="F105" s="1109">
        <v>0.1</v>
      </c>
      <c r="G105" s="1109">
        <v>0.0</v>
      </c>
      <c r="H105" s="1118">
        <v>49500.0</v>
      </c>
      <c r="I105" s="1118">
        <f t="shared" si="1"/>
        <v>45000</v>
      </c>
      <c r="J105" s="1118">
        <f t="shared" si="2"/>
        <v>49500</v>
      </c>
      <c r="K105" s="1110"/>
    </row>
    <row r="106" ht="18.75" customHeight="1">
      <c r="A106" s="1110"/>
      <c r="B106" s="1108" t="s">
        <v>9094</v>
      </c>
      <c r="C106" s="1108" t="s">
        <v>9095</v>
      </c>
      <c r="D106" s="1116" t="s">
        <v>9148</v>
      </c>
      <c r="E106" s="1116" t="s">
        <v>9149</v>
      </c>
      <c r="F106" s="1109">
        <v>0.1</v>
      </c>
      <c r="G106" s="1109">
        <v>0.0</v>
      </c>
      <c r="H106" s="1118">
        <v>49500.0</v>
      </c>
      <c r="I106" s="1118">
        <f t="shared" si="1"/>
        <v>45000</v>
      </c>
      <c r="J106" s="1118">
        <f t="shared" si="2"/>
        <v>49500</v>
      </c>
      <c r="K106" s="1110"/>
    </row>
    <row r="107" ht="18.75" customHeight="1">
      <c r="A107" s="1110"/>
      <c r="B107" s="1108" t="s">
        <v>9094</v>
      </c>
      <c r="C107" s="1108" t="s">
        <v>9095</v>
      </c>
      <c r="D107" s="1116" t="s">
        <v>9150</v>
      </c>
      <c r="E107" s="1116" t="s">
        <v>9151</v>
      </c>
      <c r="F107" s="1109">
        <v>0.1</v>
      </c>
      <c r="G107" s="1109">
        <v>0.0</v>
      </c>
      <c r="H107" s="1118">
        <v>55000.0</v>
      </c>
      <c r="I107" s="1118">
        <f t="shared" si="1"/>
        <v>50000</v>
      </c>
      <c r="J107" s="1118">
        <f t="shared" si="2"/>
        <v>55000</v>
      </c>
      <c r="K107" s="1110"/>
    </row>
    <row r="108" ht="18.75" customHeight="1">
      <c r="A108" s="1110"/>
      <c r="B108" s="1108" t="s">
        <v>9094</v>
      </c>
      <c r="C108" s="1108" t="s">
        <v>9095</v>
      </c>
      <c r="D108" s="1116" t="s">
        <v>9152</v>
      </c>
      <c r="E108" s="1116" t="s">
        <v>9153</v>
      </c>
      <c r="F108" s="1109">
        <v>0.1</v>
      </c>
      <c r="G108" s="1109">
        <v>0.0</v>
      </c>
      <c r="H108" s="1118">
        <v>55000.0</v>
      </c>
      <c r="I108" s="1118">
        <f t="shared" si="1"/>
        <v>50000</v>
      </c>
      <c r="J108" s="1118">
        <f t="shared" si="2"/>
        <v>55000</v>
      </c>
      <c r="K108" s="1110"/>
    </row>
    <row r="109" ht="18.75" customHeight="1">
      <c r="A109" s="1110"/>
      <c r="B109" s="1108" t="s">
        <v>9094</v>
      </c>
      <c r="C109" s="1108" t="s">
        <v>9095</v>
      </c>
      <c r="D109" s="1116" t="s">
        <v>9154</v>
      </c>
      <c r="E109" s="1116" t="s">
        <v>9155</v>
      </c>
      <c r="F109" s="1109">
        <v>0.1</v>
      </c>
      <c r="G109" s="1109">
        <v>0.0</v>
      </c>
      <c r="H109" s="1118">
        <v>77000.0</v>
      </c>
      <c r="I109" s="1118">
        <f t="shared" si="1"/>
        <v>70000</v>
      </c>
      <c r="J109" s="1118">
        <f t="shared" si="2"/>
        <v>77000</v>
      </c>
      <c r="K109" s="1110"/>
    </row>
    <row r="110" ht="18.75" customHeight="1">
      <c r="A110" s="1110"/>
      <c r="B110" s="1108" t="s">
        <v>9094</v>
      </c>
      <c r="C110" s="1108" t="s">
        <v>9095</v>
      </c>
      <c r="D110" s="1116" t="s">
        <v>9156</v>
      </c>
      <c r="E110" s="1116" t="s">
        <v>9157</v>
      </c>
      <c r="F110" s="1109">
        <v>0.1</v>
      </c>
      <c r="G110" s="1109">
        <v>0.0</v>
      </c>
      <c r="H110" s="1118">
        <v>55000.0</v>
      </c>
      <c r="I110" s="1118">
        <f t="shared" si="1"/>
        <v>50000</v>
      </c>
      <c r="J110" s="1118">
        <f t="shared" si="2"/>
        <v>55000</v>
      </c>
      <c r="K110" s="1110"/>
    </row>
    <row r="111" ht="18.75" customHeight="1">
      <c r="A111" s="1110"/>
      <c r="B111" s="1108" t="s">
        <v>9094</v>
      </c>
      <c r="C111" s="1108" t="s">
        <v>9095</v>
      </c>
      <c r="D111" s="1116" t="s">
        <v>9158</v>
      </c>
      <c r="E111" s="1116" t="s">
        <v>9159</v>
      </c>
      <c r="F111" s="1109">
        <v>0.1</v>
      </c>
      <c r="G111" s="1109">
        <v>0.0</v>
      </c>
      <c r="H111" s="1118">
        <v>53020.0</v>
      </c>
      <c r="I111" s="1118">
        <f t="shared" si="1"/>
        <v>48200</v>
      </c>
      <c r="J111" s="1118">
        <f t="shared" si="2"/>
        <v>53020</v>
      </c>
      <c r="K111" s="1110"/>
    </row>
    <row r="112" ht="18.75" customHeight="1">
      <c r="A112" s="1110"/>
      <c r="B112" s="1108" t="s">
        <v>9094</v>
      </c>
      <c r="C112" s="1108" t="s">
        <v>9095</v>
      </c>
      <c r="D112" s="1116" t="s">
        <v>9160</v>
      </c>
      <c r="E112" s="1116" t="s">
        <v>9161</v>
      </c>
      <c r="F112" s="1109">
        <v>0.1</v>
      </c>
      <c r="G112" s="1109">
        <v>0.0</v>
      </c>
      <c r="H112" s="1118">
        <v>53020.0</v>
      </c>
      <c r="I112" s="1118">
        <f t="shared" si="1"/>
        <v>48200</v>
      </c>
      <c r="J112" s="1118">
        <f t="shared" si="2"/>
        <v>53020</v>
      </c>
      <c r="K112" s="1110"/>
    </row>
    <row r="113" ht="18.75" customHeight="1">
      <c r="A113" s="1110"/>
      <c r="B113" s="1108" t="s">
        <v>9094</v>
      </c>
      <c r="C113" s="1108" t="s">
        <v>9095</v>
      </c>
      <c r="D113" s="1116" t="s">
        <v>9162</v>
      </c>
      <c r="E113" s="1116" t="s">
        <v>9163</v>
      </c>
      <c r="F113" s="1109">
        <v>0.1</v>
      </c>
      <c r="G113" s="1109">
        <v>0.0</v>
      </c>
      <c r="H113" s="1118">
        <v>53020.0</v>
      </c>
      <c r="I113" s="1118">
        <f t="shared" si="1"/>
        <v>48200</v>
      </c>
      <c r="J113" s="1118">
        <f t="shared" si="2"/>
        <v>53020</v>
      </c>
      <c r="K113" s="1110"/>
    </row>
    <row r="114" ht="18.75" customHeight="1">
      <c r="A114" s="1110"/>
      <c r="B114" s="1108" t="s">
        <v>9094</v>
      </c>
      <c r="C114" s="1108" t="s">
        <v>9095</v>
      </c>
      <c r="D114" s="1116" t="s">
        <v>9164</v>
      </c>
      <c r="E114" s="1116" t="s">
        <v>9165</v>
      </c>
      <c r="F114" s="1109">
        <v>0.1</v>
      </c>
      <c r="G114" s="1109">
        <v>0.0</v>
      </c>
      <c r="H114" s="1118">
        <v>59400.0</v>
      </c>
      <c r="I114" s="1118">
        <f t="shared" si="1"/>
        <v>54000</v>
      </c>
      <c r="J114" s="1118">
        <f t="shared" si="2"/>
        <v>59400</v>
      </c>
      <c r="K114" s="1110"/>
    </row>
    <row r="115" ht="18.75" customHeight="1">
      <c r="A115" s="1110"/>
      <c r="B115" s="1108" t="s">
        <v>9094</v>
      </c>
      <c r="C115" s="1108" t="s">
        <v>9095</v>
      </c>
      <c r="D115" s="1116" t="s">
        <v>9166</v>
      </c>
      <c r="E115" s="1116" t="s">
        <v>9167</v>
      </c>
      <c r="F115" s="1109">
        <v>0.1</v>
      </c>
      <c r="G115" s="1109">
        <v>0.0</v>
      </c>
      <c r="H115" s="1118">
        <v>60500.0</v>
      </c>
      <c r="I115" s="1118">
        <f t="shared" si="1"/>
        <v>55000</v>
      </c>
      <c r="J115" s="1118">
        <f t="shared" si="2"/>
        <v>60500</v>
      </c>
      <c r="K115" s="1110"/>
    </row>
    <row r="116" ht="18.75" customHeight="1">
      <c r="A116" s="1110"/>
      <c r="B116" s="1108" t="s">
        <v>9094</v>
      </c>
      <c r="C116" s="1108" t="s">
        <v>9095</v>
      </c>
      <c r="D116" s="1116" t="s">
        <v>9168</v>
      </c>
      <c r="E116" s="1116" t="s">
        <v>9169</v>
      </c>
      <c r="F116" s="1109">
        <v>0.1</v>
      </c>
      <c r="G116" s="1109">
        <v>0.0</v>
      </c>
      <c r="H116" s="1118">
        <v>77220.0</v>
      </c>
      <c r="I116" s="1118">
        <f t="shared" si="1"/>
        <v>70200</v>
      </c>
      <c r="J116" s="1118">
        <f t="shared" si="2"/>
        <v>77220</v>
      </c>
      <c r="K116" s="1110"/>
    </row>
    <row r="117" ht="18.75" customHeight="1">
      <c r="A117" s="1110"/>
      <c r="B117" s="1108" t="s">
        <v>9094</v>
      </c>
      <c r="C117" s="1108" t="s">
        <v>9095</v>
      </c>
      <c r="D117" s="1116" t="s">
        <v>9170</v>
      </c>
      <c r="E117" s="1116" t="s">
        <v>9171</v>
      </c>
      <c r="F117" s="1109">
        <v>0.1</v>
      </c>
      <c r="G117" s="1109">
        <v>0.0</v>
      </c>
      <c r="H117" s="1118">
        <v>69080.0</v>
      </c>
      <c r="I117" s="1118">
        <f t="shared" si="1"/>
        <v>62800</v>
      </c>
      <c r="J117" s="1118">
        <f t="shared" si="2"/>
        <v>69080</v>
      </c>
      <c r="K117" s="1110"/>
    </row>
    <row r="118" ht="18.75" customHeight="1">
      <c r="A118" s="1110"/>
      <c r="B118" s="1108" t="s">
        <v>9094</v>
      </c>
      <c r="C118" s="1108" t="s">
        <v>9095</v>
      </c>
      <c r="D118" s="1116" t="s">
        <v>9172</v>
      </c>
      <c r="E118" s="1116" t="s">
        <v>9173</v>
      </c>
      <c r="F118" s="1109">
        <v>0.1</v>
      </c>
      <c r="G118" s="1109">
        <v>0.0</v>
      </c>
      <c r="H118" s="1118">
        <v>69080.0</v>
      </c>
      <c r="I118" s="1118">
        <f t="shared" si="1"/>
        <v>62800</v>
      </c>
      <c r="J118" s="1118">
        <f t="shared" si="2"/>
        <v>69080</v>
      </c>
      <c r="K118" s="1110"/>
    </row>
    <row r="119" ht="18.75" customHeight="1">
      <c r="A119" s="1110"/>
      <c r="B119" s="1108" t="s">
        <v>9094</v>
      </c>
      <c r="C119" s="1108" t="s">
        <v>9095</v>
      </c>
      <c r="D119" s="1116" t="s">
        <v>9174</v>
      </c>
      <c r="E119" s="1116" t="s">
        <v>9175</v>
      </c>
      <c r="F119" s="1109">
        <v>0.1</v>
      </c>
      <c r="G119" s="1109">
        <v>0.0</v>
      </c>
      <c r="H119" s="1118">
        <v>71500.0</v>
      </c>
      <c r="I119" s="1118">
        <f t="shared" si="1"/>
        <v>65000</v>
      </c>
      <c r="J119" s="1118">
        <f t="shared" si="2"/>
        <v>71500</v>
      </c>
      <c r="K119" s="1110"/>
    </row>
    <row r="120" ht="18.75" customHeight="1">
      <c r="A120" s="1110"/>
      <c r="B120" s="1108" t="s">
        <v>9094</v>
      </c>
      <c r="C120" s="1108" t="s">
        <v>9095</v>
      </c>
      <c r="D120" s="1116" t="s">
        <v>9176</v>
      </c>
      <c r="E120" s="1116" t="s">
        <v>9177</v>
      </c>
      <c r="F120" s="1109">
        <v>0.1</v>
      </c>
      <c r="G120" s="1109">
        <v>0.0</v>
      </c>
      <c r="H120" s="1118">
        <v>69080.0</v>
      </c>
      <c r="I120" s="1118">
        <f t="shared" si="1"/>
        <v>62800</v>
      </c>
      <c r="J120" s="1118">
        <f t="shared" si="2"/>
        <v>69080</v>
      </c>
      <c r="K120" s="1110"/>
    </row>
    <row r="121" ht="18.75" customHeight="1">
      <c r="A121" s="1110"/>
      <c r="B121" s="1108" t="s">
        <v>9094</v>
      </c>
      <c r="C121" s="1108" t="s">
        <v>9095</v>
      </c>
      <c r="D121" s="1116" t="s">
        <v>9178</v>
      </c>
      <c r="E121" s="1116" t="s">
        <v>9179</v>
      </c>
      <c r="F121" s="1109">
        <v>0.1</v>
      </c>
      <c r="G121" s="1109">
        <v>0.0</v>
      </c>
      <c r="H121" s="1118">
        <v>69080.0</v>
      </c>
      <c r="I121" s="1118">
        <f t="shared" si="1"/>
        <v>62800</v>
      </c>
      <c r="J121" s="1118">
        <f t="shared" si="2"/>
        <v>69080</v>
      </c>
      <c r="K121" s="1110"/>
    </row>
    <row r="122" ht="18.75" customHeight="1">
      <c r="A122" s="1110"/>
      <c r="B122" s="1108" t="s">
        <v>9094</v>
      </c>
      <c r="C122" s="1108" t="s">
        <v>9095</v>
      </c>
      <c r="D122" s="1116" t="s">
        <v>9180</v>
      </c>
      <c r="E122" s="1116" t="s">
        <v>9181</v>
      </c>
      <c r="F122" s="1109">
        <v>0.1</v>
      </c>
      <c r="G122" s="1109">
        <v>0.0</v>
      </c>
      <c r="H122" s="1118">
        <v>69080.0</v>
      </c>
      <c r="I122" s="1118">
        <f t="shared" si="1"/>
        <v>62800</v>
      </c>
      <c r="J122" s="1118">
        <f t="shared" si="2"/>
        <v>69080</v>
      </c>
      <c r="K122" s="1110"/>
    </row>
    <row r="123" ht="18.75" customHeight="1">
      <c r="A123" s="1110"/>
      <c r="B123" s="1108" t="s">
        <v>9094</v>
      </c>
      <c r="C123" s="1108" t="s">
        <v>9095</v>
      </c>
      <c r="D123" s="1116" t="s">
        <v>9182</v>
      </c>
      <c r="E123" s="1116" t="s">
        <v>9183</v>
      </c>
      <c r="F123" s="1109">
        <v>0.1</v>
      </c>
      <c r="G123" s="1109">
        <v>0.0</v>
      </c>
      <c r="H123" s="1116"/>
      <c r="I123" s="1118" t="str">
        <f t="shared" si="1"/>
        <v/>
      </c>
      <c r="J123" s="1118" t="str">
        <f t="shared" si="2"/>
        <v/>
      </c>
      <c r="K123" s="1110"/>
    </row>
    <row r="124" ht="18.75" customHeight="1">
      <c r="A124" s="1110"/>
      <c r="B124" s="1108" t="s">
        <v>9094</v>
      </c>
      <c r="C124" s="1108" t="s">
        <v>9095</v>
      </c>
      <c r="D124" s="1116" t="s">
        <v>9184</v>
      </c>
      <c r="E124" s="1116" t="s">
        <v>9185</v>
      </c>
      <c r="F124" s="1109">
        <v>0.1</v>
      </c>
      <c r="G124" s="1109">
        <v>0.0</v>
      </c>
      <c r="H124" s="1118">
        <v>135080.0</v>
      </c>
      <c r="I124" s="1118">
        <f t="shared" si="1"/>
        <v>122800</v>
      </c>
      <c r="J124" s="1118">
        <f t="shared" si="2"/>
        <v>135080</v>
      </c>
      <c r="K124" s="1110"/>
    </row>
    <row r="125" ht="18.75" customHeight="1">
      <c r="A125" s="1110"/>
      <c r="B125" s="1108" t="s">
        <v>9094</v>
      </c>
      <c r="C125" s="1108" t="s">
        <v>9095</v>
      </c>
      <c r="D125" s="1116" t="s">
        <v>9186</v>
      </c>
      <c r="E125" s="1116" t="s">
        <v>9187</v>
      </c>
      <c r="F125" s="1109">
        <v>0.1</v>
      </c>
      <c r="G125" s="1109">
        <v>0.0</v>
      </c>
      <c r="H125" s="1118">
        <v>135080.0</v>
      </c>
      <c r="I125" s="1118">
        <f t="shared" si="1"/>
        <v>122800</v>
      </c>
      <c r="J125" s="1118">
        <f t="shared" si="2"/>
        <v>135080</v>
      </c>
      <c r="K125" s="1110"/>
    </row>
    <row r="126" ht="18.75" customHeight="1">
      <c r="A126" s="1110"/>
      <c r="B126" s="1108" t="s">
        <v>9094</v>
      </c>
      <c r="C126" s="1108" t="s">
        <v>9095</v>
      </c>
      <c r="D126" s="1116" t="s">
        <v>9188</v>
      </c>
      <c r="E126" s="1116" t="s">
        <v>9189</v>
      </c>
      <c r="F126" s="1109">
        <v>0.1</v>
      </c>
      <c r="G126" s="1109">
        <v>0.0</v>
      </c>
      <c r="H126" s="1118">
        <v>119020.0</v>
      </c>
      <c r="I126" s="1118">
        <f t="shared" si="1"/>
        <v>108200</v>
      </c>
      <c r="J126" s="1118">
        <f t="shared" si="2"/>
        <v>119020</v>
      </c>
      <c r="K126" s="1110"/>
    </row>
    <row r="127" ht="18.75" customHeight="1">
      <c r="A127" s="1110"/>
      <c r="B127" s="1108" t="s">
        <v>9094</v>
      </c>
      <c r="C127" s="1108" t="s">
        <v>9095</v>
      </c>
      <c r="D127" s="1116" t="s">
        <v>9190</v>
      </c>
      <c r="E127" s="1116" t="s">
        <v>9191</v>
      </c>
      <c r="F127" s="1109">
        <v>0.1</v>
      </c>
      <c r="G127" s="1109">
        <v>0.0</v>
      </c>
      <c r="H127" s="1118">
        <v>119020.0</v>
      </c>
      <c r="I127" s="1118">
        <f t="shared" si="1"/>
        <v>108200</v>
      </c>
      <c r="J127" s="1118">
        <f t="shared" si="2"/>
        <v>119020</v>
      </c>
      <c r="K127" s="1110"/>
    </row>
    <row r="128" ht="18.75" customHeight="1">
      <c r="A128" s="1110"/>
      <c r="B128" s="1108" t="s">
        <v>9094</v>
      </c>
      <c r="C128" s="1108" t="s">
        <v>9095</v>
      </c>
      <c r="D128" s="1116" t="s">
        <v>9192</v>
      </c>
      <c r="E128" s="1116" t="s">
        <v>9193</v>
      </c>
      <c r="F128" s="1109">
        <v>0.1</v>
      </c>
      <c r="G128" s="1109">
        <v>0.0</v>
      </c>
      <c r="H128" s="1118">
        <v>119020.0</v>
      </c>
      <c r="I128" s="1118">
        <f t="shared" si="1"/>
        <v>108200</v>
      </c>
      <c r="J128" s="1118">
        <f t="shared" si="2"/>
        <v>119020</v>
      </c>
      <c r="K128" s="1110"/>
    </row>
    <row r="129" ht="18.75" customHeight="1">
      <c r="A129" s="1110"/>
      <c r="B129" s="1108" t="s">
        <v>9094</v>
      </c>
      <c r="C129" s="1108" t="s">
        <v>9095</v>
      </c>
      <c r="D129" s="1116" t="s">
        <v>9194</v>
      </c>
      <c r="E129" s="1116" t="s">
        <v>9195</v>
      </c>
      <c r="F129" s="1109">
        <v>0.1</v>
      </c>
      <c r="G129" s="1109">
        <v>0.0</v>
      </c>
      <c r="H129" s="1118">
        <v>119020.0</v>
      </c>
      <c r="I129" s="1118">
        <f t="shared" si="1"/>
        <v>108200</v>
      </c>
      <c r="J129" s="1118">
        <f t="shared" si="2"/>
        <v>119020</v>
      </c>
      <c r="K129" s="1110"/>
    </row>
    <row r="130" ht="18.75" customHeight="1">
      <c r="A130" s="1110"/>
      <c r="B130" s="1108" t="s">
        <v>9094</v>
      </c>
      <c r="C130" s="1108" t="s">
        <v>9095</v>
      </c>
      <c r="D130" s="1116" t="s">
        <v>9196</v>
      </c>
      <c r="E130" s="1116" t="s">
        <v>9197</v>
      </c>
      <c r="F130" s="1109">
        <v>0.1</v>
      </c>
      <c r="G130" s="1109">
        <v>0.0</v>
      </c>
      <c r="H130" s="1118">
        <v>123200.0</v>
      </c>
      <c r="I130" s="1118">
        <f t="shared" si="1"/>
        <v>112000</v>
      </c>
      <c r="J130" s="1118">
        <f t="shared" si="2"/>
        <v>123200</v>
      </c>
      <c r="K130" s="1110"/>
    </row>
    <row r="131" ht="18.75" customHeight="1">
      <c r="A131" s="1110"/>
      <c r="B131" s="1108" t="s">
        <v>9094</v>
      </c>
      <c r="C131" s="1108" t="s">
        <v>9095</v>
      </c>
      <c r="D131" s="1116" t="s">
        <v>9198</v>
      </c>
      <c r="E131" s="1116" t="s">
        <v>9199</v>
      </c>
      <c r="F131" s="1109">
        <v>0.1</v>
      </c>
      <c r="G131" s="1109">
        <v>0.0</v>
      </c>
      <c r="H131" s="1118">
        <v>166980.0</v>
      </c>
      <c r="I131" s="1118">
        <f t="shared" si="1"/>
        <v>151800</v>
      </c>
      <c r="J131" s="1118">
        <f t="shared" si="2"/>
        <v>166980</v>
      </c>
      <c r="K131" s="1110"/>
    </row>
    <row r="132" ht="18.75" customHeight="1">
      <c r="A132" s="1110"/>
      <c r="B132" s="1108" t="s">
        <v>9094</v>
      </c>
      <c r="C132" s="1108" t="s">
        <v>9095</v>
      </c>
      <c r="D132" s="1116" t="s">
        <v>9200</v>
      </c>
      <c r="E132" s="1116" t="s">
        <v>9201</v>
      </c>
      <c r="F132" s="1109">
        <v>0.1</v>
      </c>
      <c r="G132" s="1109">
        <v>0.0</v>
      </c>
      <c r="H132" s="1116"/>
      <c r="I132" s="1118" t="str">
        <f t="shared" si="1"/>
        <v/>
      </c>
      <c r="J132" s="1118" t="str">
        <f t="shared" si="2"/>
        <v/>
      </c>
      <c r="K132" s="1110"/>
    </row>
    <row r="133" ht="18.75" customHeight="1">
      <c r="A133" s="1110"/>
      <c r="B133" s="1108" t="s">
        <v>9094</v>
      </c>
      <c r="C133" s="1108" t="s">
        <v>9095</v>
      </c>
      <c r="D133" s="1116" t="s">
        <v>9202</v>
      </c>
      <c r="E133" s="1116" t="s">
        <v>9203</v>
      </c>
      <c r="F133" s="1109">
        <v>0.1</v>
      </c>
      <c r="G133" s="1109">
        <v>0.0</v>
      </c>
      <c r="H133" s="1118">
        <v>184800.0</v>
      </c>
      <c r="I133" s="1118">
        <f t="shared" si="1"/>
        <v>168000</v>
      </c>
      <c r="J133" s="1118">
        <f t="shared" si="2"/>
        <v>184800</v>
      </c>
      <c r="K133" s="1110"/>
    </row>
    <row r="134" ht="18.75" customHeight="1">
      <c r="A134" s="1110"/>
      <c r="B134" s="1108" t="s">
        <v>9094</v>
      </c>
      <c r="C134" s="1108" t="s">
        <v>9095</v>
      </c>
      <c r="D134" s="1116" t="s">
        <v>9204</v>
      </c>
      <c r="E134" s="1116" t="s">
        <v>9205</v>
      </c>
      <c r="F134" s="1109">
        <v>0.1</v>
      </c>
      <c r="G134" s="1109">
        <v>0.0</v>
      </c>
      <c r="H134" s="1118">
        <v>198000.0</v>
      </c>
      <c r="I134" s="1118">
        <f t="shared" si="1"/>
        <v>180000</v>
      </c>
      <c r="J134" s="1118">
        <f t="shared" si="2"/>
        <v>198000</v>
      </c>
      <c r="K134" s="1110"/>
    </row>
    <row r="135" ht="18.75" customHeight="1">
      <c r="A135" s="1110"/>
      <c r="B135" s="1108" t="s">
        <v>9094</v>
      </c>
      <c r="C135" s="1108" t="s">
        <v>9095</v>
      </c>
      <c r="D135" s="1116" t="s">
        <v>9206</v>
      </c>
      <c r="E135" s="1116" t="s">
        <v>9207</v>
      </c>
      <c r="F135" s="1109">
        <v>0.1</v>
      </c>
      <c r="G135" s="1109">
        <v>0.0</v>
      </c>
      <c r="H135" s="1116"/>
      <c r="I135" s="1118" t="str">
        <f t="shared" si="1"/>
        <v/>
      </c>
      <c r="J135" s="1118" t="str">
        <f t="shared" si="2"/>
        <v/>
      </c>
      <c r="K135" s="1110"/>
    </row>
    <row r="136" ht="18.75" customHeight="1">
      <c r="A136" s="1110"/>
      <c r="B136" s="1108" t="s">
        <v>9094</v>
      </c>
      <c r="C136" s="1108" t="s">
        <v>9095</v>
      </c>
      <c r="D136" s="1116" t="s">
        <v>9208</v>
      </c>
      <c r="E136" s="1116" t="s">
        <v>9209</v>
      </c>
      <c r="F136" s="1109">
        <v>0.1</v>
      </c>
      <c r="G136" s="1109">
        <v>0.0</v>
      </c>
      <c r="H136" s="1118">
        <v>198000.0</v>
      </c>
      <c r="I136" s="1118">
        <f t="shared" si="1"/>
        <v>180000</v>
      </c>
      <c r="J136" s="1118">
        <f t="shared" si="2"/>
        <v>198000</v>
      </c>
      <c r="K136" s="1110"/>
    </row>
    <row r="137" ht="18.75" customHeight="1">
      <c r="A137" s="1110"/>
      <c r="B137" s="1108" t="s">
        <v>9094</v>
      </c>
      <c r="C137" s="1108" t="s">
        <v>9095</v>
      </c>
      <c r="D137" s="1116" t="s">
        <v>9210</v>
      </c>
      <c r="E137" s="1116" t="s">
        <v>9211</v>
      </c>
      <c r="F137" s="1109">
        <v>0.1</v>
      </c>
      <c r="G137" s="1109">
        <v>0.0</v>
      </c>
      <c r="H137" s="1118">
        <v>187000.0</v>
      </c>
      <c r="I137" s="1118">
        <f t="shared" si="1"/>
        <v>170000</v>
      </c>
      <c r="J137" s="1118">
        <f t="shared" si="2"/>
        <v>187000</v>
      </c>
      <c r="K137" s="1110"/>
    </row>
    <row r="138" ht="18.75" customHeight="1">
      <c r="A138" s="1110"/>
      <c r="B138" s="1108" t="s">
        <v>9094</v>
      </c>
      <c r="C138" s="1108" t="s">
        <v>9095</v>
      </c>
      <c r="D138" s="1116" t="s">
        <v>9212</v>
      </c>
      <c r="E138" s="1116" t="s">
        <v>9213</v>
      </c>
      <c r="F138" s="1109">
        <v>0.1</v>
      </c>
      <c r="G138" s="1109">
        <v>0.0</v>
      </c>
      <c r="H138" s="1118">
        <v>250800.0</v>
      </c>
      <c r="I138" s="1118">
        <f t="shared" si="1"/>
        <v>228000</v>
      </c>
      <c r="J138" s="1118">
        <f t="shared" si="2"/>
        <v>250800</v>
      </c>
      <c r="K138" s="1110"/>
    </row>
    <row r="139" ht="18.75" customHeight="1">
      <c r="A139" s="1110"/>
      <c r="B139" s="1108" t="s">
        <v>9094</v>
      </c>
      <c r="C139" s="1108" t="s">
        <v>9095</v>
      </c>
      <c r="D139" s="1116" t="s">
        <v>9214</v>
      </c>
      <c r="E139" s="1116" t="s">
        <v>9215</v>
      </c>
      <c r="F139" s="1109">
        <v>0.1</v>
      </c>
      <c r="G139" s="1109">
        <v>0.0</v>
      </c>
      <c r="H139" s="1118">
        <v>326370.0</v>
      </c>
      <c r="I139" s="1118">
        <f t="shared" si="1"/>
        <v>296700</v>
      </c>
      <c r="J139" s="1118">
        <f t="shared" si="2"/>
        <v>326370</v>
      </c>
      <c r="K139" s="1110"/>
    </row>
    <row r="140" ht="18.75" customHeight="1">
      <c r="A140" s="1110"/>
      <c r="B140" s="1108" t="s">
        <v>9094</v>
      </c>
      <c r="C140" s="1108" t="s">
        <v>9095</v>
      </c>
      <c r="D140" s="1116" t="s">
        <v>9216</v>
      </c>
      <c r="E140" s="1116" t="s">
        <v>9217</v>
      </c>
      <c r="F140" s="1109">
        <v>0.1</v>
      </c>
      <c r="G140" s="1109">
        <v>0.0</v>
      </c>
      <c r="H140" s="1118">
        <v>236500.0</v>
      </c>
      <c r="I140" s="1118">
        <f t="shared" si="1"/>
        <v>215000</v>
      </c>
      <c r="J140" s="1118">
        <f t="shared" si="2"/>
        <v>236500</v>
      </c>
      <c r="K140" s="1110"/>
    </row>
    <row r="141" ht="18.75" customHeight="1">
      <c r="A141" s="1110"/>
      <c r="B141" s="1108" t="s">
        <v>9094</v>
      </c>
      <c r="C141" s="1108" t="s">
        <v>9095</v>
      </c>
      <c r="D141" s="1116" t="s">
        <v>9218</v>
      </c>
      <c r="E141" s="1116" t="s">
        <v>9219</v>
      </c>
      <c r="F141" s="1109">
        <v>0.1</v>
      </c>
      <c r="G141" s="1109">
        <v>0.0</v>
      </c>
      <c r="H141" s="1118">
        <v>330000.0</v>
      </c>
      <c r="I141" s="1118">
        <f t="shared" si="1"/>
        <v>300000</v>
      </c>
      <c r="J141" s="1118">
        <f t="shared" si="2"/>
        <v>330000</v>
      </c>
      <c r="K141" s="1110"/>
    </row>
    <row r="142" ht="18.75" customHeight="1">
      <c r="A142" s="1110"/>
      <c r="B142" s="1108" t="s">
        <v>9094</v>
      </c>
      <c r="C142" s="1108" t="s">
        <v>9095</v>
      </c>
      <c r="D142" s="1116" t="s">
        <v>9220</v>
      </c>
      <c r="E142" s="1116" t="s">
        <v>9221</v>
      </c>
      <c r="F142" s="1109">
        <v>0.1</v>
      </c>
      <c r="G142" s="1109">
        <v>0.0</v>
      </c>
      <c r="H142" s="1116"/>
      <c r="I142" s="1118" t="str">
        <f t="shared" si="1"/>
        <v/>
      </c>
      <c r="J142" s="1118" t="str">
        <f t="shared" si="2"/>
        <v/>
      </c>
      <c r="K142" s="1110"/>
    </row>
    <row r="143" ht="18.75" customHeight="1">
      <c r="A143" s="1110"/>
      <c r="B143" s="1108" t="s">
        <v>9094</v>
      </c>
      <c r="C143" s="1108" t="s">
        <v>9095</v>
      </c>
      <c r="D143" s="1116" t="s">
        <v>9222</v>
      </c>
      <c r="E143" s="1116" t="s">
        <v>9223</v>
      </c>
      <c r="F143" s="1109">
        <v>0.1</v>
      </c>
      <c r="G143" s="1109">
        <v>0.0</v>
      </c>
      <c r="H143" s="1118">
        <v>596970.0</v>
      </c>
      <c r="I143" s="1118">
        <f t="shared" si="1"/>
        <v>542700</v>
      </c>
      <c r="J143" s="1118">
        <f t="shared" si="2"/>
        <v>596970</v>
      </c>
      <c r="K143" s="1110"/>
    </row>
    <row r="144" ht="18.75" customHeight="1">
      <c r="A144" s="1110"/>
      <c r="B144" s="1108" t="s">
        <v>9094</v>
      </c>
      <c r="C144" s="1108" t="s">
        <v>9095</v>
      </c>
      <c r="D144" s="1116" t="s">
        <v>9224</v>
      </c>
      <c r="E144" s="1116" t="s">
        <v>9225</v>
      </c>
      <c r="F144" s="1109">
        <v>0.1</v>
      </c>
      <c r="G144" s="1109">
        <v>0.0</v>
      </c>
      <c r="H144" s="1118">
        <v>596970.0</v>
      </c>
      <c r="I144" s="1118">
        <f t="shared" si="1"/>
        <v>542700</v>
      </c>
      <c r="J144" s="1118">
        <f t="shared" si="2"/>
        <v>596970</v>
      </c>
      <c r="K144" s="1110"/>
    </row>
    <row r="145" ht="18.75" customHeight="1">
      <c r="A145" s="1110"/>
      <c r="B145" s="1108" t="s">
        <v>9094</v>
      </c>
      <c r="C145" s="1108" t="s">
        <v>9095</v>
      </c>
      <c r="D145" s="1116" t="s">
        <v>9226</v>
      </c>
      <c r="E145" s="1116" t="s">
        <v>9227</v>
      </c>
      <c r="F145" s="1109">
        <v>0.1</v>
      </c>
      <c r="G145" s="1109">
        <v>0.0</v>
      </c>
      <c r="H145" s="1118">
        <v>596970.0</v>
      </c>
      <c r="I145" s="1118">
        <f t="shared" si="1"/>
        <v>542700</v>
      </c>
      <c r="J145" s="1118">
        <f t="shared" si="2"/>
        <v>596970</v>
      </c>
      <c r="K145" s="1110"/>
    </row>
    <row r="146" ht="18.75" customHeight="1">
      <c r="A146" s="1110"/>
      <c r="B146" s="1108" t="s">
        <v>9094</v>
      </c>
      <c r="C146" s="1108" t="s">
        <v>9095</v>
      </c>
      <c r="D146" s="1116" t="s">
        <v>9228</v>
      </c>
      <c r="E146" s="1116" t="s">
        <v>9229</v>
      </c>
      <c r="F146" s="1109">
        <v>0.1</v>
      </c>
      <c r="G146" s="1109">
        <v>0.0</v>
      </c>
      <c r="H146" s="1118">
        <v>596970.0</v>
      </c>
      <c r="I146" s="1118">
        <f t="shared" si="1"/>
        <v>542700</v>
      </c>
      <c r="J146" s="1118">
        <f t="shared" si="2"/>
        <v>596970</v>
      </c>
      <c r="K146" s="1110"/>
    </row>
    <row r="147" ht="18.75" customHeight="1">
      <c r="A147" s="1110"/>
      <c r="B147" s="1108" t="s">
        <v>9094</v>
      </c>
      <c r="C147" s="1108" t="s">
        <v>9095</v>
      </c>
      <c r="D147" s="1116" t="s">
        <v>9230</v>
      </c>
      <c r="E147" s="1116" t="s">
        <v>9231</v>
      </c>
      <c r="F147" s="1109">
        <v>0.1</v>
      </c>
      <c r="G147" s="1109">
        <v>0.0</v>
      </c>
      <c r="H147" s="1118">
        <v>596970.0</v>
      </c>
      <c r="I147" s="1118">
        <f t="shared" si="1"/>
        <v>542700</v>
      </c>
      <c r="J147" s="1118">
        <f t="shared" si="2"/>
        <v>596970</v>
      </c>
      <c r="K147" s="1110"/>
    </row>
    <row r="148" ht="18.75" customHeight="1">
      <c r="A148" s="1110"/>
      <c r="B148" s="1108" t="s">
        <v>9094</v>
      </c>
      <c r="C148" s="1108" t="s">
        <v>9095</v>
      </c>
      <c r="D148" s="1116" t="s">
        <v>9232</v>
      </c>
      <c r="E148" s="1116" t="s">
        <v>9233</v>
      </c>
      <c r="F148" s="1109">
        <v>0.1</v>
      </c>
      <c r="G148" s="1109">
        <v>0.0</v>
      </c>
      <c r="H148" s="1116"/>
      <c r="I148" s="1118" t="str">
        <f t="shared" si="1"/>
        <v/>
      </c>
      <c r="J148" s="1118" t="str">
        <f t="shared" si="2"/>
        <v/>
      </c>
      <c r="K148" s="1110"/>
    </row>
    <row r="149" ht="18.75" customHeight="1">
      <c r="A149" s="1110"/>
      <c r="B149" s="1108" t="s">
        <v>9234</v>
      </c>
      <c r="C149" s="1108" t="s">
        <v>9235</v>
      </c>
      <c r="D149" s="1116" t="s">
        <v>9236</v>
      </c>
      <c r="E149" s="1116" t="s">
        <v>9237</v>
      </c>
      <c r="F149" s="1109">
        <v>0.1</v>
      </c>
      <c r="G149" s="1109">
        <v>0.0</v>
      </c>
      <c r="H149" s="1118">
        <v>15840.0</v>
      </c>
      <c r="I149" s="1118">
        <f t="shared" si="1"/>
        <v>14400</v>
      </c>
      <c r="J149" s="1118">
        <f t="shared" si="2"/>
        <v>15840</v>
      </c>
      <c r="K149" s="1110"/>
    </row>
    <row r="150" ht="18.75" customHeight="1">
      <c r="A150" s="1110"/>
      <c r="B150" s="1108" t="s">
        <v>9234</v>
      </c>
      <c r="C150" s="1108" t="s">
        <v>9235</v>
      </c>
      <c r="D150" s="1116" t="s">
        <v>9238</v>
      </c>
      <c r="E150" s="1116" t="s">
        <v>9239</v>
      </c>
      <c r="F150" s="1109">
        <v>0.1</v>
      </c>
      <c r="G150" s="1109">
        <v>0.0</v>
      </c>
      <c r="H150" s="1118">
        <v>17820.0</v>
      </c>
      <c r="I150" s="1118">
        <f t="shared" si="1"/>
        <v>16200</v>
      </c>
      <c r="J150" s="1118">
        <f t="shared" si="2"/>
        <v>17820</v>
      </c>
      <c r="K150" s="1110"/>
    </row>
    <row r="151" ht="18.75" customHeight="1">
      <c r="A151" s="1110"/>
      <c r="B151" s="1108" t="s">
        <v>9234</v>
      </c>
      <c r="C151" s="1108" t="s">
        <v>9235</v>
      </c>
      <c r="D151" s="1116" t="s">
        <v>9240</v>
      </c>
      <c r="E151" s="1116" t="s">
        <v>9241</v>
      </c>
      <c r="F151" s="1109">
        <v>0.1</v>
      </c>
      <c r="G151" s="1109">
        <v>0.0</v>
      </c>
      <c r="H151" s="1118">
        <v>24970.0</v>
      </c>
      <c r="I151" s="1118">
        <f t="shared" si="1"/>
        <v>22700</v>
      </c>
      <c r="J151" s="1118">
        <f t="shared" si="2"/>
        <v>24970</v>
      </c>
      <c r="K151" s="1110"/>
    </row>
    <row r="152" ht="18.75" customHeight="1">
      <c r="A152" s="1110"/>
      <c r="B152" s="1108" t="s">
        <v>9234</v>
      </c>
      <c r="C152" s="1108" t="s">
        <v>9235</v>
      </c>
      <c r="D152" s="1116" t="s">
        <v>9242</v>
      </c>
      <c r="E152" s="1116" t="s">
        <v>9243</v>
      </c>
      <c r="F152" s="1109">
        <v>0.1</v>
      </c>
      <c r="G152" s="1109">
        <v>0.0</v>
      </c>
      <c r="H152" s="1116"/>
      <c r="I152" s="1118" t="str">
        <f t="shared" si="1"/>
        <v/>
      </c>
      <c r="J152" s="1118" t="str">
        <f t="shared" si="2"/>
        <v/>
      </c>
      <c r="K152" s="1110"/>
    </row>
    <row r="153" ht="18.75" customHeight="1">
      <c r="A153" s="1110"/>
      <c r="B153" s="1108" t="s">
        <v>9234</v>
      </c>
      <c r="C153" s="1108" t="s">
        <v>9235</v>
      </c>
      <c r="D153" s="1116" t="s">
        <v>9244</v>
      </c>
      <c r="E153" s="1116" t="s">
        <v>9245</v>
      </c>
      <c r="F153" s="1109">
        <v>0.1</v>
      </c>
      <c r="G153" s="1109">
        <v>0.0</v>
      </c>
      <c r="H153" s="1116"/>
      <c r="I153" s="1118" t="str">
        <f t="shared" si="1"/>
        <v/>
      </c>
      <c r="J153" s="1118" t="str">
        <f t="shared" si="2"/>
        <v/>
      </c>
      <c r="K153" s="1110"/>
    </row>
    <row r="154" ht="18.75" customHeight="1">
      <c r="A154" s="1110"/>
      <c r="B154" s="1108" t="s">
        <v>9234</v>
      </c>
      <c r="C154" s="1108" t="s">
        <v>9235</v>
      </c>
      <c r="D154" s="1116" t="s">
        <v>9246</v>
      </c>
      <c r="E154" s="1116" t="s">
        <v>9247</v>
      </c>
      <c r="F154" s="1109">
        <v>0.1</v>
      </c>
      <c r="G154" s="1109">
        <v>0.0</v>
      </c>
      <c r="H154" s="1116"/>
      <c r="I154" s="1118" t="str">
        <f t="shared" si="1"/>
        <v/>
      </c>
      <c r="J154" s="1118" t="str">
        <f t="shared" si="2"/>
        <v/>
      </c>
      <c r="K154" s="1110"/>
    </row>
    <row r="155" ht="18.75" customHeight="1">
      <c r="A155" s="1110"/>
      <c r="B155" s="1108" t="s">
        <v>9234</v>
      </c>
      <c r="C155" s="1108" t="s">
        <v>9235</v>
      </c>
      <c r="D155" s="1116" t="s">
        <v>9248</v>
      </c>
      <c r="E155" s="1116" t="s">
        <v>9249</v>
      </c>
      <c r="F155" s="1109">
        <v>0.1</v>
      </c>
      <c r="G155" s="1109">
        <v>0.0</v>
      </c>
      <c r="H155" s="1116"/>
      <c r="I155" s="1118" t="str">
        <f t="shared" si="1"/>
        <v/>
      </c>
      <c r="J155" s="1118" t="str">
        <f t="shared" si="2"/>
        <v/>
      </c>
      <c r="K155" s="1110"/>
    </row>
    <row r="156" ht="18.75" customHeight="1">
      <c r="A156" s="1110"/>
      <c r="B156" s="1108" t="s">
        <v>9234</v>
      </c>
      <c r="C156" s="1108" t="s">
        <v>9235</v>
      </c>
      <c r="D156" s="1116" t="s">
        <v>9250</v>
      </c>
      <c r="E156" s="1116" t="s">
        <v>9251</v>
      </c>
      <c r="F156" s="1109">
        <v>0.1</v>
      </c>
      <c r="G156" s="1109">
        <v>0.0</v>
      </c>
      <c r="H156" s="1118">
        <v>59400.0</v>
      </c>
      <c r="I156" s="1118">
        <f t="shared" si="1"/>
        <v>54000</v>
      </c>
      <c r="J156" s="1118">
        <f t="shared" si="2"/>
        <v>59400</v>
      </c>
      <c r="K156" s="1110"/>
    </row>
    <row r="157" ht="18.75" customHeight="1">
      <c r="A157" s="1110"/>
      <c r="B157" s="1108" t="s">
        <v>9234</v>
      </c>
      <c r="C157" s="1108" t="s">
        <v>9235</v>
      </c>
      <c r="D157" s="1116" t="s">
        <v>9252</v>
      </c>
      <c r="E157" s="1116" t="s">
        <v>9253</v>
      </c>
      <c r="F157" s="1109">
        <v>0.1</v>
      </c>
      <c r="G157" s="1109">
        <v>0.0</v>
      </c>
      <c r="H157" s="1116"/>
      <c r="I157" s="1118" t="str">
        <f t="shared" si="1"/>
        <v/>
      </c>
      <c r="J157" s="1118" t="str">
        <f t="shared" si="2"/>
        <v/>
      </c>
      <c r="K157" s="1110"/>
    </row>
    <row r="158" ht="18.75" customHeight="1">
      <c r="A158" s="1110"/>
      <c r="B158" s="1108" t="s">
        <v>9234</v>
      </c>
      <c r="C158" s="1108" t="s">
        <v>9235</v>
      </c>
      <c r="D158" s="1116" t="s">
        <v>9254</v>
      </c>
      <c r="E158" s="1116" t="s">
        <v>9255</v>
      </c>
      <c r="F158" s="1109">
        <v>0.1</v>
      </c>
      <c r="G158" s="1109">
        <v>0.0</v>
      </c>
      <c r="H158" s="1116"/>
      <c r="I158" s="1118" t="str">
        <f t="shared" si="1"/>
        <v/>
      </c>
      <c r="J158" s="1118" t="str">
        <f t="shared" si="2"/>
        <v/>
      </c>
      <c r="K158" s="1110"/>
    </row>
    <row r="159" ht="18.75" customHeight="1">
      <c r="A159" s="1110"/>
      <c r="B159" s="1108" t="s">
        <v>9234</v>
      </c>
      <c r="C159" s="1108" t="s">
        <v>9235</v>
      </c>
      <c r="D159" s="1116" t="s">
        <v>9256</v>
      </c>
      <c r="E159" s="1116" t="s">
        <v>9257</v>
      </c>
      <c r="F159" s="1109">
        <v>0.1</v>
      </c>
      <c r="G159" s="1109">
        <v>0.0</v>
      </c>
      <c r="H159" s="1116"/>
      <c r="I159" s="1118" t="str">
        <f t="shared" si="1"/>
        <v/>
      </c>
      <c r="J159" s="1118" t="str">
        <f t="shared" si="2"/>
        <v/>
      </c>
      <c r="K159" s="1110"/>
    </row>
    <row r="160" ht="18.75" customHeight="1">
      <c r="A160" s="1110"/>
      <c r="B160" s="1108" t="s">
        <v>9234</v>
      </c>
      <c r="C160" s="1108" t="s">
        <v>9235</v>
      </c>
      <c r="D160" s="1116" t="s">
        <v>9258</v>
      </c>
      <c r="E160" s="1116" t="s">
        <v>9259</v>
      </c>
      <c r="F160" s="1109">
        <v>0.1</v>
      </c>
      <c r="G160" s="1109">
        <v>0.0</v>
      </c>
      <c r="H160" s="1116"/>
      <c r="I160" s="1118" t="str">
        <f t="shared" si="1"/>
        <v/>
      </c>
      <c r="J160" s="1118" t="str">
        <f t="shared" si="2"/>
        <v/>
      </c>
      <c r="K160" s="1110"/>
    </row>
    <row r="161" ht="18.75" customHeight="1">
      <c r="A161" s="1110"/>
      <c r="B161" s="1108" t="s">
        <v>9234</v>
      </c>
      <c r="C161" s="1108" t="s">
        <v>9235</v>
      </c>
      <c r="D161" s="1116" t="s">
        <v>9260</v>
      </c>
      <c r="E161" s="1116" t="s">
        <v>9261</v>
      </c>
      <c r="F161" s="1109">
        <v>0.1</v>
      </c>
      <c r="G161" s="1109">
        <v>0.0</v>
      </c>
      <c r="H161" s="1116"/>
      <c r="I161" s="1118" t="str">
        <f t="shared" si="1"/>
        <v/>
      </c>
      <c r="J161" s="1118" t="str">
        <f t="shared" si="2"/>
        <v/>
      </c>
      <c r="K161" s="1110"/>
    </row>
    <row r="162" ht="18.75" customHeight="1">
      <c r="A162" s="1110"/>
      <c r="B162" s="1108" t="s">
        <v>9234</v>
      </c>
      <c r="C162" s="1108" t="s">
        <v>9235</v>
      </c>
      <c r="D162" s="1116" t="s">
        <v>9262</v>
      </c>
      <c r="E162" s="1116" t="s">
        <v>9263</v>
      </c>
      <c r="F162" s="1109">
        <v>0.1</v>
      </c>
      <c r="G162" s="1109">
        <v>0.0</v>
      </c>
      <c r="H162" s="1116"/>
      <c r="I162" s="1118" t="str">
        <f t="shared" si="1"/>
        <v/>
      </c>
      <c r="J162" s="1118" t="str">
        <f t="shared" si="2"/>
        <v/>
      </c>
      <c r="K162" s="1110"/>
    </row>
    <row r="163" ht="18.75" customHeight="1">
      <c r="A163" s="1110"/>
      <c r="B163" s="1108" t="s">
        <v>9234</v>
      </c>
      <c r="C163" s="1108" t="s">
        <v>9235</v>
      </c>
      <c r="D163" s="1116" t="s">
        <v>9264</v>
      </c>
      <c r="E163" s="1116" t="s">
        <v>9265</v>
      </c>
      <c r="F163" s="1109">
        <v>0.1</v>
      </c>
      <c r="G163" s="1109">
        <v>0.0</v>
      </c>
      <c r="H163" s="1116"/>
      <c r="I163" s="1118" t="str">
        <f t="shared" si="1"/>
        <v/>
      </c>
      <c r="J163" s="1118" t="str">
        <f t="shared" si="2"/>
        <v/>
      </c>
      <c r="K163" s="1110"/>
    </row>
    <row r="164" ht="18.75" customHeight="1">
      <c r="A164" s="1110"/>
      <c r="B164" s="1108" t="s">
        <v>9234</v>
      </c>
      <c r="C164" s="1108" t="s">
        <v>9235</v>
      </c>
      <c r="D164" s="1116" t="s">
        <v>9266</v>
      </c>
      <c r="E164" s="1116" t="s">
        <v>9267</v>
      </c>
      <c r="F164" s="1109">
        <v>0.1</v>
      </c>
      <c r="G164" s="1109">
        <v>0.0</v>
      </c>
      <c r="H164" s="1116"/>
      <c r="I164" s="1118" t="str">
        <f t="shared" si="1"/>
        <v/>
      </c>
      <c r="J164" s="1118" t="str">
        <f t="shared" si="2"/>
        <v/>
      </c>
      <c r="K164" s="1110"/>
    </row>
    <row r="165" ht="18.75" customHeight="1">
      <c r="A165" s="1110"/>
      <c r="B165" s="1108" t="s">
        <v>9234</v>
      </c>
      <c r="C165" s="1108" t="s">
        <v>9235</v>
      </c>
      <c r="D165" s="1116" t="s">
        <v>9268</v>
      </c>
      <c r="E165" s="1116" t="s">
        <v>9269</v>
      </c>
      <c r="F165" s="1109">
        <v>0.1</v>
      </c>
      <c r="G165" s="1109">
        <v>0.0</v>
      </c>
      <c r="H165" s="1116"/>
      <c r="I165" s="1118" t="str">
        <f t="shared" si="1"/>
        <v/>
      </c>
      <c r="J165" s="1118" t="str">
        <f t="shared" si="2"/>
        <v/>
      </c>
      <c r="K165" s="1110"/>
    </row>
    <row r="166" ht="18.75" customHeight="1">
      <c r="A166" s="1110"/>
      <c r="B166" s="1108" t="s">
        <v>9234</v>
      </c>
      <c r="C166" s="1108" t="s">
        <v>9235</v>
      </c>
      <c r="D166" s="1116" t="s">
        <v>9270</v>
      </c>
      <c r="E166" s="1116" t="s">
        <v>9271</v>
      </c>
      <c r="F166" s="1109">
        <v>0.1</v>
      </c>
      <c r="G166" s="1109">
        <v>0.0</v>
      </c>
      <c r="H166" s="1116"/>
      <c r="I166" s="1118" t="str">
        <f t="shared" si="1"/>
        <v/>
      </c>
      <c r="J166" s="1118" t="str">
        <f t="shared" si="2"/>
        <v/>
      </c>
      <c r="K166" s="1110"/>
    </row>
    <row r="167" ht="18.75" customHeight="1">
      <c r="A167" s="1110"/>
      <c r="B167" s="1108" t="s">
        <v>9234</v>
      </c>
      <c r="C167" s="1108" t="s">
        <v>9235</v>
      </c>
      <c r="D167" s="1116" t="s">
        <v>9272</v>
      </c>
      <c r="E167" s="1116" t="s">
        <v>9273</v>
      </c>
      <c r="F167" s="1109">
        <v>0.1</v>
      </c>
      <c r="G167" s="1109">
        <v>0.0</v>
      </c>
      <c r="H167" s="1116"/>
      <c r="I167" s="1118" t="str">
        <f t="shared" si="1"/>
        <v/>
      </c>
      <c r="J167" s="1118" t="str">
        <f t="shared" si="2"/>
        <v/>
      </c>
      <c r="K167" s="1110"/>
    </row>
    <row r="168" ht="18.75" customHeight="1">
      <c r="A168" s="1110"/>
      <c r="B168" s="1108" t="s">
        <v>9234</v>
      </c>
      <c r="C168" s="1108" t="s">
        <v>9235</v>
      </c>
      <c r="D168" s="1116" t="s">
        <v>9274</v>
      </c>
      <c r="E168" s="1116" t="s">
        <v>9275</v>
      </c>
      <c r="F168" s="1109">
        <v>0.1</v>
      </c>
      <c r="G168" s="1109">
        <v>0.0</v>
      </c>
      <c r="H168" s="1118">
        <v>158400.0</v>
      </c>
      <c r="I168" s="1118">
        <f t="shared" si="1"/>
        <v>144000</v>
      </c>
      <c r="J168" s="1118">
        <f t="shared" si="2"/>
        <v>158400</v>
      </c>
      <c r="K168" s="1110"/>
    </row>
    <row r="169" ht="18.75" customHeight="1">
      <c r="A169" s="1110"/>
      <c r="B169" s="1108" t="s">
        <v>9234</v>
      </c>
      <c r="C169" s="1108" t="s">
        <v>9235</v>
      </c>
      <c r="D169" s="1116" t="s">
        <v>9276</v>
      </c>
      <c r="E169" s="1116" t="s">
        <v>9277</v>
      </c>
      <c r="F169" s="1109">
        <v>0.1</v>
      </c>
      <c r="G169" s="1109">
        <v>0.0</v>
      </c>
      <c r="H169" s="1118">
        <v>158400.0</v>
      </c>
      <c r="I169" s="1118">
        <f t="shared" si="1"/>
        <v>144000</v>
      </c>
      <c r="J169" s="1118">
        <f t="shared" si="2"/>
        <v>158400</v>
      </c>
      <c r="K169" s="1110"/>
    </row>
    <row r="170" ht="18.75" customHeight="1">
      <c r="A170" s="1110"/>
      <c r="B170" s="1108" t="s">
        <v>9234</v>
      </c>
      <c r="C170" s="1108" t="s">
        <v>9235</v>
      </c>
      <c r="D170" s="1116" t="s">
        <v>9278</v>
      </c>
      <c r="E170" s="1116" t="s">
        <v>9279</v>
      </c>
      <c r="F170" s="1109">
        <v>0.1</v>
      </c>
      <c r="G170" s="1109">
        <v>0.0</v>
      </c>
      <c r="H170" s="1118">
        <v>394460.0</v>
      </c>
      <c r="I170" s="1118">
        <f t="shared" si="1"/>
        <v>358600</v>
      </c>
      <c r="J170" s="1118">
        <f t="shared" si="2"/>
        <v>394460</v>
      </c>
      <c r="K170" s="1110"/>
    </row>
    <row r="171" ht="18.75" customHeight="1">
      <c r="A171" s="1110"/>
      <c r="B171" s="1108" t="s">
        <v>9234</v>
      </c>
      <c r="C171" s="1108" t="s">
        <v>9235</v>
      </c>
      <c r="D171" s="1116" t="s">
        <v>9280</v>
      </c>
      <c r="E171" s="1116" t="s">
        <v>9281</v>
      </c>
      <c r="F171" s="1109">
        <v>0.1</v>
      </c>
      <c r="G171" s="1109">
        <v>0.0</v>
      </c>
      <c r="H171" s="1116"/>
      <c r="I171" s="1118" t="str">
        <f t="shared" si="1"/>
        <v/>
      </c>
      <c r="J171" s="1118" t="str">
        <f t="shared" si="2"/>
        <v/>
      </c>
      <c r="K171" s="1110"/>
    </row>
    <row r="172" ht="18.75" customHeight="1">
      <c r="A172" s="1110"/>
      <c r="B172" s="1108" t="s">
        <v>9234</v>
      </c>
      <c r="C172" s="1108" t="s">
        <v>9235</v>
      </c>
      <c r="D172" s="1116" t="s">
        <v>9282</v>
      </c>
      <c r="E172" s="1116" t="s">
        <v>9283</v>
      </c>
      <c r="F172" s="1109">
        <v>0.1</v>
      </c>
      <c r="G172" s="1109">
        <v>0.0</v>
      </c>
      <c r="H172" s="1118">
        <v>237600.0</v>
      </c>
      <c r="I172" s="1118">
        <f t="shared" si="1"/>
        <v>216000</v>
      </c>
      <c r="J172" s="1118">
        <f t="shared" si="2"/>
        <v>237600</v>
      </c>
      <c r="K172" s="1110"/>
    </row>
    <row r="173" ht="18.75" customHeight="1">
      <c r="A173" s="1110"/>
      <c r="B173" s="1108" t="s">
        <v>9234</v>
      </c>
      <c r="C173" s="1108" t="s">
        <v>9235</v>
      </c>
      <c r="D173" s="1116" t="s">
        <v>9284</v>
      </c>
      <c r="E173" s="1116" t="s">
        <v>9285</v>
      </c>
      <c r="F173" s="1109">
        <v>0.1</v>
      </c>
      <c r="G173" s="1109">
        <v>0.0</v>
      </c>
      <c r="H173" s="1118">
        <v>237600.0</v>
      </c>
      <c r="I173" s="1118">
        <f t="shared" si="1"/>
        <v>216000</v>
      </c>
      <c r="J173" s="1118">
        <f t="shared" si="2"/>
        <v>237600</v>
      </c>
      <c r="K173" s="1110"/>
    </row>
    <row r="174" ht="18.75" customHeight="1">
      <c r="A174" s="1110"/>
      <c r="B174" s="1108" t="s">
        <v>9234</v>
      </c>
      <c r="C174" s="1108" t="s">
        <v>9235</v>
      </c>
      <c r="D174" s="1116" t="s">
        <v>9286</v>
      </c>
      <c r="E174" s="1116" t="s">
        <v>9287</v>
      </c>
      <c r="F174" s="1109">
        <v>0.1</v>
      </c>
      <c r="G174" s="1109">
        <v>0.0</v>
      </c>
      <c r="H174" s="1118">
        <v>237600.0</v>
      </c>
      <c r="I174" s="1118">
        <f t="shared" si="1"/>
        <v>216000</v>
      </c>
      <c r="J174" s="1118">
        <f t="shared" si="2"/>
        <v>237600</v>
      </c>
      <c r="K174" s="1110"/>
    </row>
    <row r="175" ht="18.75" customHeight="1">
      <c r="A175" s="1110"/>
      <c r="B175" s="1108" t="s">
        <v>9234</v>
      </c>
      <c r="C175" s="1108" t="s">
        <v>9235</v>
      </c>
      <c r="D175" s="1116" t="s">
        <v>9288</v>
      </c>
      <c r="E175" s="1116" t="s">
        <v>9289</v>
      </c>
      <c r="F175" s="1109">
        <v>0.1</v>
      </c>
      <c r="G175" s="1109">
        <v>0.0</v>
      </c>
      <c r="H175" s="1116"/>
      <c r="I175" s="1118" t="str">
        <f t="shared" si="1"/>
        <v/>
      </c>
      <c r="J175" s="1118" t="str">
        <f t="shared" si="2"/>
        <v/>
      </c>
      <c r="K175" s="1110"/>
    </row>
    <row r="176" ht="18.75" customHeight="1">
      <c r="A176" s="1110"/>
      <c r="B176" s="1108" t="s">
        <v>9234</v>
      </c>
      <c r="C176" s="1108" t="s">
        <v>9235</v>
      </c>
      <c r="D176" s="1116" t="s">
        <v>9290</v>
      </c>
      <c r="E176" s="1116" t="s">
        <v>9291</v>
      </c>
      <c r="F176" s="1109">
        <v>0.1</v>
      </c>
      <c r="G176" s="1109">
        <v>0.0</v>
      </c>
      <c r="H176" s="1116"/>
      <c r="I176" s="1118" t="str">
        <f t="shared" si="1"/>
        <v/>
      </c>
      <c r="J176" s="1118" t="str">
        <f t="shared" si="2"/>
        <v/>
      </c>
      <c r="K176" s="1110"/>
    </row>
    <row r="177" ht="18.75" customHeight="1">
      <c r="A177" s="1110"/>
      <c r="B177" s="1108" t="s">
        <v>9234</v>
      </c>
      <c r="C177" s="1108" t="s">
        <v>9235</v>
      </c>
      <c r="D177" s="1116" t="s">
        <v>9292</v>
      </c>
      <c r="E177" s="1116" t="s">
        <v>9293</v>
      </c>
      <c r="F177" s="1109">
        <v>0.1</v>
      </c>
      <c r="G177" s="1109">
        <v>0.0</v>
      </c>
      <c r="H177" s="1118">
        <v>396000.0</v>
      </c>
      <c r="I177" s="1118">
        <f t="shared" si="1"/>
        <v>360000</v>
      </c>
      <c r="J177" s="1118">
        <f t="shared" si="2"/>
        <v>396000</v>
      </c>
      <c r="K177" s="1110"/>
    </row>
    <row r="178" ht="18.75" customHeight="1">
      <c r="A178" s="1110"/>
      <c r="B178" s="1108" t="s">
        <v>9234</v>
      </c>
      <c r="C178" s="1108" t="s">
        <v>9235</v>
      </c>
      <c r="D178" s="1116" t="s">
        <v>9294</v>
      </c>
      <c r="E178" s="1116" t="s">
        <v>9295</v>
      </c>
      <c r="F178" s="1109">
        <v>0.1</v>
      </c>
      <c r="G178" s="1109">
        <v>0.0</v>
      </c>
      <c r="H178" s="1118">
        <v>953260.0</v>
      </c>
      <c r="I178" s="1118">
        <f t="shared" si="1"/>
        <v>866600</v>
      </c>
      <c r="J178" s="1118">
        <f t="shared" si="2"/>
        <v>953260</v>
      </c>
      <c r="K178" s="1110"/>
    </row>
    <row r="179" ht="18.75" customHeight="1">
      <c r="A179" s="1110"/>
      <c r="B179" s="1108" t="s">
        <v>9234</v>
      </c>
      <c r="C179" s="1108" t="s">
        <v>9235</v>
      </c>
      <c r="D179" s="1116" t="s">
        <v>9296</v>
      </c>
      <c r="E179" s="1116" t="s">
        <v>9297</v>
      </c>
      <c r="F179" s="1109">
        <v>0.1</v>
      </c>
      <c r="G179" s="1109">
        <v>0.0</v>
      </c>
      <c r="H179" s="1118">
        <v>990000.0</v>
      </c>
      <c r="I179" s="1118">
        <f t="shared" si="1"/>
        <v>900000</v>
      </c>
      <c r="J179" s="1118">
        <f t="shared" si="2"/>
        <v>990000</v>
      </c>
      <c r="K179" s="1110"/>
    </row>
    <row r="180" ht="18.75" customHeight="1">
      <c r="A180" s="1110"/>
      <c r="B180" s="1108" t="s">
        <v>9234</v>
      </c>
      <c r="C180" s="1108" t="s">
        <v>9235</v>
      </c>
      <c r="D180" s="1116" t="s">
        <v>9298</v>
      </c>
      <c r="E180" s="1116" t="s">
        <v>9299</v>
      </c>
      <c r="F180" s="1109">
        <v>0.1</v>
      </c>
      <c r="G180" s="1109">
        <v>0.0</v>
      </c>
      <c r="H180" s="1116"/>
      <c r="I180" s="1118" t="str">
        <f t="shared" si="1"/>
        <v/>
      </c>
      <c r="J180" s="1118" t="str">
        <f t="shared" si="2"/>
        <v/>
      </c>
      <c r="K180" s="1110"/>
    </row>
    <row r="181" ht="18.75" customHeight="1">
      <c r="A181" s="1110"/>
      <c r="B181" s="1108" t="s">
        <v>9234</v>
      </c>
      <c r="C181" s="1108" t="s">
        <v>9235</v>
      </c>
      <c r="D181" s="1116" t="s">
        <v>9300</v>
      </c>
      <c r="E181" s="1116" t="s">
        <v>9301</v>
      </c>
      <c r="F181" s="1109">
        <v>0.1</v>
      </c>
      <c r="G181" s="1109">
        <v>0.0</v>
      </c>
      <c r="H181" s="1116"/>
      <c r="I181" s="1118" t="str">
        <f t="shared" si="1"/>
        <v/>
      </c>
      <c r="J181" s="1118" t="str">
        <f t="shared" si="2"/>
        <v/>
      </c>
      <c r="K181" s="1110"/>
    </row>
    <row r="182" ht="18.75" customHeight="1">
      <c r="A182" s="1110"/>
      <c r="B182" s="1108" t="s">
        <v>9234</v>
      </c>
      <c r="C182" s="1108" t="s">
        <v>9235</v>
      </c>
      <c r="D182" s="1116" t="s">
        <v>9302</v>
      </c>
      <c r="E182" s="1116" t="s">
        <v>9303</v>
      </c>
      <c r="F182" s="1109">
        <v>0.1</v>
      </c>
      <c r="G182" s="1109">
        <v>0.0</v>
      </c>
      <c r="H182" s="1116"/>
      <c r="I182" s="1118" t="str">
        <f t="shared" si="1"/>
        <v/>
      </c>
      <c r="J182" s="1118" t="str">
        <f t="shared" si="2"/>
        <v/>
      </c>
      <c r="K182" s="1110"/>
    </row>
    <row r="183" ht="18.75" customHeight="1">
      <c r="A183" s="1110"/>
      <c r="B183" s="1108" t="s">
        <v>9234</v>
      </c>
      <c r="C183" s="1108" t="s">
        <v>9235</v>
      </c>
      <c r="D183" s="1116" t="s">
        <v>9304</v>
      </c>
      <c r="E183" s="1116" t="s">
        <v>9305</v>
      </c>
      <c r="F183" s="1109">
        <v>0.1</v>
      </c>
      <c r="G183" s="1109">
        <v>0.0</v>
      </c>
      <c r="H183" s="1116"/>
      <c r="I183" s="1118" t="str">
        <f t="shared" si="1"/>
        <v/>
      </c>
      <c r="J183" s="1118" t="str">
        <f t="shared" si="2"/>
        <v/>
      </c>
      <c r="K183" s="1110"/>
    </row>
    <row r="184" ht="18.75" customHeight="1">
      <c r="A184" s="1110"/>
      <c r="B184" s="1108" t="s">
        <v>9234</v>
      </c>
      <c r="C184" s="1108" t="s">
        <v>9235</v>
      </c>
      <c r="D184" s="1116" t="s">
        <v>9306</v>
      </c>
      <c r="E184" s="1116" t="s">
        <v>9307</v>
      </c>
      <c r="F184" s="1109">
        <v>0.1</v>
      </c>
      <c r="G184" s="1109">
        <v>0.0</v>
      </c>
      <c r="H184" s="1116"/>
      <c r="I184" s="1118" t="str">
        <f t="shared" si="1"/>
        <v/>
      </c>
      <c r="J184" s="1118" t="str">
        <f t="shared" si="2"/>
        <v/>
      </c>
      <c r="K184" s="1110"/>
    </row>
    <row r="185" ht="18.75" customHeight="1">
      <c r="A185" s="1110"/>
      <c r="B185" s="1108" t="s">
        <v>9234</v>
      </c>
      <c r="C185" s="1108" t="s">
        <v>9235</v>
      </c>
      <c r="D185" s="1116" t="s">
        <v>9308</v>
      </c>
      <c r="E185" s="1116" t="s">
        <v>9309</v>
      </c>
      <c r="F185" s="1109">
        <v>0.1</v>
      </c>
      <c r="G185" s="1109">
        <v>0.0</v>
      </c>
      <c r="H185" s="1118">
        <v>2040830.0</v>
      </c>
      <c r="I185" s="1118">
        <f t="shared" si="1"/>
        <v>1855300</v>
      </c>
      <c r="J185" s="1118">
        <f t="shared" si="2"/>
        <v>2040830</v>
      </c>
      <c r="K185" s="1110"/>
    </row>
    <row r="186" ht="18.75" customHeight="1">
      <c r="A186" s="1110"/>
      <c r="B186" s="1108" t="s">
        <v>9234</v>
      </c>
      <c r="C186" s="1108" t="s">
        <v>9235</v>
      </c>
      <c r="D186" s="1116" t="s">
        <v>9310</v>
      </c>
      <c r="E186" s="1116" t="s">
        <v>9311</v>
      </c>
      <c r="F186" s="1109">
        <v>0.1</v>
      </c>
      <c r="G186" s="1109">
        <v>0.0</v>
      </c>
      <c r="H186" s="1118">
        <v>2040830.0</v>
      </c>
      <c r="I186" s="1118">
        <f t="shared" si="1"/>
        <v>1855300</v>
      </c>
      <c r="J186" s="1118">
        <f t="shared" si="2"/>
        <v>2040830</v>
      </c>
      <c r="K186" s="1110"/>
    </row>
    <row r="187" ht="18.75" customHeight="1">
      <c r="A187" s="1110"/>
      <c r="B187" s="1108" t="s">
        <v>9312</v>
      </c>
      <c r="C187" s="1108" t="s">
        <v>9313</v>
      </c>
      <c r="D187" s="1116" t="s">
        <v>9314</v>
      </c>
      <c r="E187" s="1116" t="s">
        <v>9315</v>
      </c>
      <c r="F187" s="1109">
        <v>0.1</v>
      </c>
      <c r="G187" s="1109">
        <v>0.0</v>
      </c>
      <c r="H187" s="1119">
        <v>12000.0</v>
      </c>
      <c r="I187" s="1118">
        <f t="shared" si="1"/>
        <v>10910</v>
      </c>
      <c r="J187" s="1118">
        <f t="shared" si="2"/>
        <v>12000</v>
      </c>
      <c r="K187" s="1110"/>
    </row>
    <row r="188" ht="18.75" customHeight="1">
      <c r="A188" s="1110"/>
      <c r="B188" s="1108" t="s">
        <v>9312</v>
      </c>
      <c r="C188" s="1108" t="s">
        <v>9313</v>
      </c>
      <c r="D188" s="1116" t="s">
        <v>9316</v>
      </c>
      <c r="E188" s="1116" t="s">
        <v>9317</v>
      </c>
      <c r="F188" s="1109">
        <v>0.1</v>
      </c>
      <c r="G188" s="1109">
        <v>0.0</v>
      </c>
      <c r="H188" s="1118">
        <v>12100.0</v>
      </c>
      <c r="I188" s="1118">
        <f t="shared" si="1"/>
        <v>11000</v>
      </c>
      <c r="J188" s="1118">
        <f t="shared" si="2"/>
        <v>12100</v>
      </c>
      <c r="K188" s="1110"/>
    </row>
    <row r="189" ht="18.75" customHeight="1">
      <c r="A189" s="1110"/>
      <c r="B189" s="1108" t="s">
        <v>9312</v>
      </c>
      <c r="C189" s="1108" t="s">
        <v>9313</v>
      </c>
      <c r="D189" s="1116" t="s">
        <v>9318</v>
      </c>
      <c r="E189" s="1116" t="s">
        <v>9319</v>
      </c>
      <c r="F189" s="1109">
        <v>0.1</v>
      </c>
      <c r="G189" s="1109">
        <v>0.0</v>
      </c>
      <c r="H189" s="1118"/>
      <c r="I189" s="1118" t="str">
        <f t="shared" si="1"/>
        <v/>
      </c>
      <c r="J189" s="1118" t="str">
        <f t="shared" si="2"/>
        <v/>
      </c>
      <c r="K189" s="1110"/>
    </row>
    <row r="190" ht="18.75" customHeight="1">
      <c r="A190" s="1110"/>
      <c r="B190" s="1108" t="s">
        <v>798</v>
      </c>
      <c r="C190" s="1108" t="s">
        <v>9320</v>
      </c>
      <c r="D190" s="1116" t="s">
        <v>9321</v>
      </c>
      <c r="E190" s="1116" t="s">
        <v>9322</v>
      </c>
      <c r="F190" s="1109">
        <v>0.1</v>
      </c>
      <c r="G190" s="1109">
        <v>0.0</v>
      </c>
      <c r="H190" s="1118">
        <v>14850.0</v>
      </c>
      <c r="I190" s="1118">
        <f t="shared" si="1"/>
        <v>13500</v>
      </c>
      <c r="J190" s="1118">
        <f t="shared" si="2"/>
        <v>14850</v>
      </c>
      <c r="K190" s="1110"/>
    </row>
    <row r="191" ht="18.75" customHeight="1">
      <c r="A191" s="1110"/>
      <c r="B191" s="1108" t="s">
        <v>798</v>
      </c>
      <c r="C191" s="1108" t="s">
        <v>9320</v>
      </c>
      <c r="D191" s="1116" t="s">
        <v>837</v>
      </c>
      <c r="E191" s="1116" t="s">
        <v>838</v>
      </c>
      <c r="F191" s="1109">
        <v>0.1</v>
      </c>
      <c r="G191" s="1109">
        <v>0.0</v>
      </c>
      <c r="H191" s="1118">
        <v>4950.0</v>
      </c>
      <c r="I191" s="1118">
        <f t="shared" si="1"/>
        <v>4500</v>
      </c>
      <c r="J191" s="1118">
        <f t="shared" si="2"/>
        <v>4950</v>
      </c>
      <c r="K191" s="1110"/>
    </row>
    <row r="192" ht="18.75" customHeight="1">
      <c r="A192" s="1110"/>
      <c r="B192" s="1108" t="s">
        <v>798</v>
      </c>
      <c r="C192" s="1108" t="s">
        <v>9320</v>
      </c>
      <c r="D192" s="1116" t="s">
        <v>9323</v>
      </c>
      <c r="E192" s="1116" t="s">
        <v>9324</v>
      </c>
      <c r="F192" s="1109">
        <v>0.1</v>
      </c>
      <c r="G192" s="1109">
        <v>0.0</v>
      </c>
      <c r="H192" s="1118">
        <v>17820.0</v>
      </c>
      <c r="I192" s="1118">
        <f t="shared" si="1"/>
        <v>16200</v>
      </c>
      <c r="J192" s="1118">
        <f t="shared" si="2"/>
        <v>17820</v>
      </c>
      <c r="K192" s="1110"/>
    </row>
    <row r="193" ht="18.75" customHeight="1">
      <c r="A193" s="1110"/>
      <c r="B193" s="1108" t="s">
        <v>798</v>
      </c>
      <c r="C193" s="1108" t="s">
        <v>9320</v>
      </c>
      <c r="D193" s="1116" t="s">
        <v>825</v>
      </c>
      <c r="E193" s="1116" t="s">
        <v>826</v>
      </c>
      <c r="F193" s="1109">
        <v>0.1</v>
      </c>
      <c r="G193" s="1109">
        <v>0.0</v>
      </c>
      <c r="H193" s="1118">
        <v>8030.0</v>
      </c>
      <c r="I193" s="1118">
        <f t="shared" si="1"/>
        <v>7300</v>
      </c>
      <c r="J193" s="1118">
        <f t="shared" si="2"/>
        <v>8030</v>
      </c>
      <c r="K193" s="1110"/>
    </row>
    <row r="194" ht="18.75" customHeight="1">
      <c r="A194" s="1110"/>
      <c r="B194" s="1108" t="s">
        <v>798</v>
      </c>
      <c r="C194" s="1108" t="s">
        <v>9320</v>
      </c>
      <c r="D194" s="1116" t="s">
        <v>9325</v>
      </c>
      <c r="E194" s="1116" t="s">
        <v>9326</v>
      </c>
      <c r="F194" s="1109">
        <v>0.1</v>
      </c>
      <c r="G194" s="1109">
        <v>0.0</v>
      </c>
      <c r="H194" s="1118">
        <v>17820.0</v>
      </c>
      <c r="I194" s="1118">
        <f t="shared" si="1"/>
        <v>16200</v>
      </c>
      <c r="J194" s="1118">
        <f t="shared" si="2"/>
        <v>17820</v>
      </c>
      <c r="K194" s="1110"/>
    </row>
    <row r="195" ht="18.75" customHeight="1">
      <c r="A195" s="1110"/>
      <c r="B195" s="1108" t="s">
        <v>798</v>
      </c>
      <c r="C195" s="1108" t="s">
        <v>9320</v>
      </c>
      <c r="D195" s="1116" t="s">
        <v>813</v>
      </c>
      <c r="E195" s="1116" t="s">
        <v>814</v>
      </c>
      <c r="F195" s="1109">
        <v>0.1</v>
      </c>
      <c r="G195" s="1109">
        <v>0.0</v>
      </c>
      <c r="H195" s="1118">
        <v>7699.999999999999</v>
      </c>
      <c r="I195" s="1118">
        <f t="shared" si="1"/>
        <v>7000</v>
      </c>
      <c r="J195" s="1118">
        <f t="shared" si="2"/>
        <v>7700</v>
      </c>
      <c r="K195" s="1110"/>
    </row>
    <row r="196" ht="18.75" customHeight="1">
      <c r="A196" s="1110"/>
      <c r="B196" s="1108" t="s">
        <v>798</v>
      </c>
      <c r="C196" s="1108" t="s">
        <v>9320</v>
      </c>
      <c r="D196" s="1116" t="s">
        <v>827</v>
      </c>
      <c r="E196" s="1116" t="s">
        <v>828</v>
      </c>
      <c r="F196" s="1109">
        <v>0.1</v>
      </c>
      <c r="G196" s="1109">
        <v>0.0</v>
      </c>
      <c r="H196" s="1118">
        <v>9020.0</v>
      </c>
      <c r="I196" s="1118">
        <f t="shared" si="1"/>
        <v>8200</v>
      </c>
      <c r="J196" s="1118">
        <f t="shared" si="2"/>
        <v>9020</v>
      </c>
      <c r="K196" s="1110"/>
    </row>
    <row r="197" ht="18.75" customHeight="1">
      <c r="A197" s="1110"/>
      <c r="B197" s="1108" t="s">
        <v>798</v>
      </c>
      <c r="C197" s="1108" t="s">
        <v>9320</v>
      </c>
      <c r="D197" s="1116" t="s">
        <v>799</v>
      </c>
      <c r="E197" s="1116" t="s">
        <v>800</v>
      </c>
      <c r="F197" s="1109">
        <v>0.1</v>
      </c>
      <c r="G197" s="1109">
        <v>0.0</v>
      </c>
      <c r="H197" s="1118">
        <v>7699.999999999999</v>
      </c>
      <c r="I197" s="1118">
        <f t="shared" si="1"/>
        <v>7000</v>
      </c>
      <c r="J197" s="1118">
        <f t="shared" si="2"/>
        <v>7700</v>
      </c>
      <c r="K197" s="1110"/>
    </row>
    <row r="198" ht="18.75" customHeight="1">
      <c r="A198" s="1110"/>
      <c r="B198" s="1108" t="s">
        <v>798</v>
      </c>
      <c r="C198" s="1108" t="s">
        <v>9320</v>
      </c>
      <c r="D198" s="1116" t="s">
        <v>9327</v>
      </c>
      <c r="E198" s="1116" t="s">
        <v>9328</v>
      </c>
      <c r="F198" s="1109">
        <v>0.1</v>
      </c>
      <c r="G198" s="1109">
        <v>0.0</v>
      </c>
      <c r="H198" s="1118">
        <v>59400.0</v>
      </c>
      <c r="I198" s="1118">
        <f t="shared" si="1"/>
        <v>54000</v>
      </c>
      <c r="J198" s="1118">
        <f t="shared" si="2"/>
        <v>59400</v>
      </c>
      <c r="K198" s="1110"/>
    </row>
    <row r="199" ht="18.75" customHeight="1">
      <c r="A199" s="1110"/>
      <c r="B199" s="1108" t="s">
        <v>798</v>
      </c>
      <c r="C199" s="1108" t="s">
        <v>9320</v>
      </c>
      <c r="D199" s="1116" t="s">
        <v>831</v>
      </c>
      <c r="E199" s="1116" t="s">
        <v>832</v>
      </c>
      <c r="F199" s="1109">
        <v>0.1</v>
      </c>
      <c r="G199" s="1109">
        <v>0.0</v>
      </c>
      <c r="H199" s="1118">
        <v>12980.0</v>
      </c>
      <c r="I199" s="1118">
        <f t="shared" si="1"/>
        <v>11800</v>
      </c>
      <c r="J199" s="1118">
        <f t="shared" si="2"/>
        <v>12980</v>
      </c>
      <c r="K199" s="1110"/>
    </row>
    <row r="200" ht="18.75" customHeight="1">
      <c r="A200" s="1110"/>
      <c r="B200" s="1108" t="s">
        <v>798</v>
      </c>
      <c r="C200" s="1108" t="s">
        <v>9320</v>
      </c>
      <c r="D200" s="1116" t="s">
        <v>817</v>
      </c>
      <c r="E200" s="1116" t="s">
        <v>818</v>
      </c>
      <c r="F200" s="1109">
        <v>0.1</v>
      </c>
      <c r="G200" s="1109">
        <v>0.0</v>
      </c>
      <c r="H200" s="1118">
        <v>81200.0</v>
      </c>
      <c r="I200" s="1118">
        <f t="shared" si="1"/>
        <v>73820</v>
      </c>
      <c r="J200" s="1118">
        <f t="shared" si="2"/>
        <v>81200</v>
      </c>
      <c r="K200" s="1110"/>
    </row>
    <row r="201" ht="18.75" customHeight="1">
      <c r="A201" s="1110"/>
      <c r="B201" s="1108" t="s">
        <v>798</v>
      </c>
      <c r="C201" s="1108" t="s">
        <v>9320</v>
      </c>
      <c r="D201" s="1116" t="s">
        <v>804</v>
      </c>
      <c r="E201" s="1116" t="s">
        <v>805</v>
      </c>
      <c r="F201" s="1109">
        <v>0.1</v>
      </c>
      <c r="G201" s="1109">
        <v>0.0</v>
      </c>
      <c r="H201" s="1118">
        <v>14699.999999999998</v>
      </c>
      <c r="I201" s="1118">
        <f t="shared" si="1"/>
        <v>13360</v>
      </c>
      <c r="J201" s="1118">
        <f t="shared" si="2"/>
        <v>14700</v>
      </c>
      <c r="K201" s="1110"/>
    </row>
    <row r="202" ht="18.75" customHeight="1">
      <c r="A202" s="1110"/>
      <c r="B202" s="1108" t="s">
        <v>798</v>
      </c>
      <c r="C202" s="1108" t="s">
        <v>9320</v>
      </c>
      <c r="D202" s="1116" t="s">
        <v>835</v>
      </c>
      <c r="E202" s="1116" t="s">
        <v>836</v>
      </c>
      <c r="F202" s="1109">
        <v>0.1</v>
      </c>
      <c r="G202" s="1109">
        <v>0.0</v>
      </c>
      <c r="H202" s="1118">
        <v>25960.0</v>
      </c>
      <c r="I202" s="1118">
        <f t="shared" si="1"/>
        <v>23600</v>
      </c>
      <c r="J202" s="1118">
        <f t="shared" si="2"/>
        <v>25960</v>
      </c>
      <c r="K202" s="1110"/>
    </row>
    <row r="203" ht="18.75" customHeight="1">
      <c r="A203" s="1110"/>
      <c r="B203" s="1108" t="s">
        <v>798</v>
      </c>
      <c r="C203" s="1108" t="s">
        <v>9320</v>
      </c>
      <c r="D203" s="1116" t="s">
        <v>821</v>
      </c>
      <c r="E203" s="1116" t="s">
        <v>822</v>
      </c>
      <c r="F203" s="1109">
        <v>0.1</v>
      </c>
      <c r="G203" s="1109">
        <v>0.0</v>
      </c>
      <c r="H203" s="1118">
        <v>21010.0</v>
      </c>
      <c r="I203" s="1118">
        <f t="shared" si="1"/>
        <v>19100</v>
      </c>
      <c r="J203" s="1118">
        <f t="shared" si="2"/>
        <v>21010</v>
      </c>
      <c r="K203" s="1110"/>
    </row>
    <row r="204" ht="18.75" customHeight="1">
      <c r="A204" s="1110"/>
      <c r="B204" s="1108" t="s">
        <v>798</v>
      </c>
      <c r="C204" s="1108" t="s">
        <v>9320</v>
      </c>
      <c r="D204" s="1116" t="s">
        <v>808</v>
      </c>
      <c r="E204" s="1116" t="s">
        <v>809</v>
      </c>
      <c r="F204" s="1109">
        <v>0.1</v>
      </c>
      <c r="G204" s="1109">
        <v>0.0</v>
      </c>
      <c r="H204" s="1118">
        <v>19600.0</v>
      </c>
      <c r="I204" s="1118">
        <f t="shared" si="1"/>
        <v>17820</v>
      </c>
      <c r="J204" s="1118">
        <f t="shared" si="2"/>
        <v>19600</v>
      </c>
      <c r="K204" s="1110"/>
    </row>
    <row r="205" ht="18.75" customHeight="1">
      <c r="A205" s="1110"/>
      <c r="B205" s="1108" t="s">
        <v>1059</v>
      </c>
      <c r="C205" s="1108" t="s">
        <v>9329</v>
      </c>
      <c r="D205" s="1116" t="s">
        <v>1062</v>
      </c>
      <c r="E205" s="1116" t="s">
        <v>1063</v>
      </c>
      <c r="F205" s="1109">
        <v>0.1</v>
      </c>
      <c r="G205" s="1109">
        <v>0.0</v>
      </c>
      <c r="H205" s="1118">
        <v>44770.0</v>
      </c>
      <c r="I205" s="1118">
        <f t="shared" si="1"/>
        <v>40700</v>
      </c>
      <c r="J205" s="1118">
        <f t="shared" si="2"/>
        <v>44770</v>
      </c>
      <c r="K205" s="1110"/>
    </row>
    <row r="206" ht="18.75" customHeight="1">
      <c r="A206" s="1110"/>
      <c r="B206" s="1108" t="s">
        <v>1059</v>
      </c>
      <c r="C206" s="1108" t="s">
        <v>9329</v>
      </c>
      <c r="D206" s="1116" t="s">
        <v>1060</v>
      </c>
      <c r="E206" s="1116" t="s">
        <v>1061</v>
      </c>
      <c r="F206" s="1109">
        <v>0.1</v>
      </c>
      <c r="G206" s="1109">
        <v>0.0</v>
      </c>
      <c r="H206" s="1118">
        <v>32560.0</v>
      </c>
      <c r="I206" s="1118">
        <f t="shared" si="1"/>
        <v>29600</v>
      </c>
      <c r="J206" s="1118">
        <f t="shared" si="2"/>
        <v>32560</v>
      </c>
      <c r="K206" s="1110"/>
    </row>
    <row r="207" ht="18.75" customHeight="1">
      <c r="A207" s="1110"/>
      <c r="B207" s="1108" t="s">
        <v>1059</v>
      </c>
      <c r="C207" s="1108" t="s">
        <v>9329</v>
      </c>
      <c r="D207" s="1116" t="s">
        <v>1064</v>
      </c>
      <c r="E207" s="1116" t="s">
        <v>1065</v>
      </c>
      <c r="F207" s="1109">
        <v>0.1</v>
      </c>
      <c r="G207" s="1109">
        <v>0.0</v>
      </c>
      <c r="H207" s="1118">
        <v>29399.999999999996</v>
      </c>
      <c r="I207" s="1118">
        <f t="shared" si="1"/>
        <v>26730</v>
      </c>
      <c r="J207" s="1118">
        <f t="shared" si="2"/>
        <v>29400</v>
      </c>
      <c r="K207" s="1110"/>
    </row>
    <row r="208" ht="18.75" customHeight="1">
      <c r="A208" s="1110"/>
      <c r="B208" s="1108" t="s">
        <v>1059</v>
      </c>
      <c r="C208" s="1108" t="s">
        <v>9329</v>
      </c>
      <c r="D208" s="1116" t="s">
        <v>1066</v>
      </c>
      <c r="E208" s="1116" t="s">
        <v>1067</v>
      </c>
      <c r="F208" s="1109">
        <v>0.1</v>
      </c>
      <c r="G208" s="1109">
        <v>0.0</v>
      </c>
      <c r="H208" s="1118">
        <v>35700.0</v>
      </c>
      <c r="I208" s="1118">
        <f t="shared" si="1"/>
        <v>32450</v>
      </c>
      <c r="J208" s="1118">
        <f t="shared" si="2"/>
        <v>35700</v>
      </c>
      <c r="K208" s="1110"/>
    </row>
    <row r="209" ht="18.75" customHeight="1">
      <c r="A209" s="1110"/>
      <c r="B209" s="1108" t="s">
        <v>1059</v>
      </c>
      <c r="C209" s="1108" t="s">
        <v>9329</v>
      </c>
      <c r="D209" s="1116" t="s">
        <v>9330</v>
      </c>
      <c r="E209" s="1116" t="s">
        <v>9331</v>
      </c>
      <c r="F209" s="1109">
        <v>0.1</v>
      </c>
      <c r="G209" s="1109">
        <v>0.0</v>
      </c>
      <c r="H209" s="1118"/>
      <c r="I209" s="1118" t="str">
        <f t="shared" si="1"/>
        <v/>
      </c>
      <c r="J209" s="1118" t="str">
        <f t="shared" si="2"/>
        <v/>
      </c>
      <c r="K209" s="1110"/>
    </row>
    <row r="210" ht="18.75" customHeight="1">
      <c r="A210" s="1110"/>
      <c r="B210" s="1108" t="s">
        <v>1059</v>
      </c>
      <c r="C210" s="1108" t="s">
        <v>9329</v>
      </c>
      <c r="D210" s="1116" t="s">
        <v>1082</v>
      </c>
      <c r="E210" s="1116" t="s">
        <v>1083</v>
      </c>
      <c r="F210" s="1109">
        <v>0.1</v>
      </c>
      <c r="G210" s="1109">
        <v>0.0</v>
      </c>
      <c r="H210" s="1118">
        <v>2183300.0</v>
      </c>
      <c r="I210" s="1118">
        <f t="shared" si="1"/>
        <v>1984820</v>
      </c>
      <c r="J210" s="1118">
        <f t="shared" si="2"/>
        <v>2183300</v>
      </c>
      <c r="K210" s="1110"/>
    </row>
    <row r="211" ht="18.75" customHeight="1">
      <c r="A211" s="1110"/>
      <c r="B211" s="1108" t="s">
        <v>1059</v>
      </c>
      <c r="C211" s="1108" t="s">
        <v>9329</v>
      </c>
      <c r="D211" s="1116" t="s">
        <v>9332</v>
      </c>
      <c r="E211" s="1116" t="s">
        <v>9333</v>
      </c>
      <c r="F211" s="1109">
        <v>0.1</v>
      </c>
      <c r="G211" s="1109">
        <v>0.0</v>
      </c>
      <c r="H211" s="1118">
        <v>3960000.0</v>
      </c>
      <c r="I211" s="1118">
        <f t="shared" si="1"/>
        <v>3600000</v>
      </c>
      <c r="J211" s="1118">
        <f t="shared" si="2"/>
        <v>3960000</v>
      </c>
      <c r="K211" s="1110"/>
    </row>
    <row r="212" ht="18.75" customHeight="1">
      <c r="A212" s="1110"/>
      <c r="B212" s="1108" t="s">
        <v>1059</v>
      </c>
      <c r="C212" s="1108" t="s">
        <v>9329</v>
      </c>
      <c r="D212" s="1116" t="s">
        <v>1084</v>
      </c>
      <c r="E212" s="1116" t="s">
        <v>1085</v>
      </c>
      <c r="F212" s="1109">
        <v>0.1</v>
      </c>
      <c r="G212" s="1109">
        <v>0.0</v>
      </c>
      <c r="H212" s="1118">
        <v>1978800.0</v>
      </c>
      <c r="I212" s="1118">
        <f t="shared" si="1"/>
        <v>1798910</v>
      </c>
      <c r="J212" s="1118">
        <f t="shared" si="2"/>
        <v>1978800</v>
      </c>
      <c r="K212" s="1110"/>
    </row>
    <row r="213" ht="18.75" customHeight="1">
      <c r="A213" s="1110"/>
      <c r="B213" s="1108" t="s">
        <v>1059</v>
      </c>
      <c r="C213" s="1108" t="s">
        <v>9329</v>
      </c>
      <c r="D213" s="1116" t="s">
        <v>9334</v>
      </c>
      <c r="E213" s="1116" t="s">
        <v>9335</v>
      </c>
      <c r="F213" s="1109">
        <v>0.1</v>
      </c>
      <c r="G213" s="1109">
        <v>0.0</v>
      </c>
      <c r="H213" s="1118">
        <v>1.43374E7</v>
      </c>
      <c r="I213" s="1118">
        <f t="shared" si="1"/>
        <v>13034000</v>
      </c>
      <c r="J213" s="1118">
        <f t="shared" si="2"/>
        <v>14337400</v>
      </c>
      <c r="K213" s="1110"/>
    </row>
    <row r="214" ht="18.75" customHeight="1">
      <c r="A214" s="1110"/>
      <c r="B214" s="1108" t="s">
        <v>1059</v>
      </c>
      <c r="C214" s="1108" t="s">
        <v>9329</v>
      </c>
      <c r="D214" s="1116" t="s">
        <v>9336</v>
      </c>
      <c r="E214" s="1116" t="s">
        <v>9337</v>
      </c>
      <c r="F214" s="1109">
        <v>0.1</v>
      </c>
      <c r="G214" s="1109">
        <v>0.0</v>
      </c>
      <c r="H214" s="1116"/>
      <c r="I214" s="1118" t="str">
        <f t="shared" si="1"/>
        <v/>
      </c>
      <c r="J214" s="1118" t="str">
        <f t="shared" si="2"/>
        <v/>
      </c>
      <c r="K214" s="1110"/>
    </row>
    <row r="215" ht="18.75" customHeight="1">
      <c r="A215" s="1110"/>
      <c r="B215" s="1108" t="s">
        <v>1059</v>
      </c>
      <c r="C215" s="1108" t="s">
        <v>9329</v>
      </c>
      <c r="D215" s="1116" t="s">
        <v>9338</v>
      </c>
      <c r="E215" s="1116" t="s">
        <v>9339</v>
      </c>
      <c r="F215" s="1109">
        <v>0.1</v>
      </c>
      <c r="G215" s="1109">
        <v>0.0</v>
      </c>
      <c r="H215" s="1118">
        <v>5610000.0</v>
      </c>
      <c r="I215" s="1118">
        <f t="shared" si="1"/>
        <v>5100000</v>
      </c>
      <c r="J215" s="1118">
        <f t="shared" si="2"/>
        <v>5610000</v>
      </c>
      <c r="K215" s="1110"/>
    </row>
    <row r="216" ht="18.75" customHeight="1">
      <c r="A216" s="1110"/>
      <c r="B216" s="1108" t="s">
        <v>1059</v>
      </c>
      <c r="C216" s="1108" t="s">
        <v>9329</v>
      </c>
      <c r="D216" s="1116" t="s">
        <v>9340</v>
      </c>
      <c r="E216" s="1116" t="s">
        <v>9341</v>
      </c>
      <c r="F216" s="1109">
        <v>0.1</v>
      </c>
      <c r="G216" s="1109">
        <v>0.0</v>
      </c>
      <c r="H216" s="1116"/>
      <c r="I216" s="1118" t="str">
        <f t="shared" si="1"/>
        <v/>
      </c>
      <c r="J216" s="1118" t="str">
        <f t="shared" si="2"/>
        <v/>
      </c>
      <c r="K216" s="1110"/>
    </row>
    <row r="217" ht="18.75" customHeight="1">
      <c r="A217" s="1110"/>
      <c r="B217" s="1108" t="s">
        <v>1059</v>
      </c>
      <c r="C217" s="1108" t="s">
        <v>9329</v>
      </c>
      <c r="D217" s="1116" t="s">
        <v>9342</v>
      </c>
      <c r="E217" s="1116" t="s">
        <v>9343</v>
      </c>
      <c r="F217" s="1109">
        <v>0.1</v>
      </c>
      <c r="G217" s="1109">
        <v>0.0</v>
      </c>
      <c r="H217" s="1118">
        <v>5500000.0</v>
      </c>
      <c r="I217" s="1118">
        <f t="shared" si="1"/>
        <v>5000000</v>
      </c>
      <c r="J217" s="1118">
        <f t="shared" si="2"/>
        <v>5500000</v>
      </c>
      <c r="K217" s="1110"/>
    </row>
    <row r="218" ht="18.75" customHeight="1">
      <c r="A218" s="1110"/>
      <c r="B218" s="1108" t="s">
        <v>1059</v>
      </c>
      <c r="C218" s="1108" t="s">
        <v>9329</v>
      </c>
      <c r="D218" s="1116" t="s">
        <v>9344</v>
      </c>
      <c r="E218" s="1116" t="s">
        <v>9345</v>
      </c>
      <c r="F218" s="1109">
        <v>0.1</v>
      </c>
      <c r="G218" s="1109">
        <v>0.0</v>
      </c>
      <c r="H218" s="1118">
        <v>5885000.0</v>
      </c>
      <c r="I218" s="1118">
        <f t="shared" si="1"/>
        <v>5350000</v>
      </c>
      <c r="J218" s="1118">
        <f t="shared" si="2"/>
        <v>5885000</v>
      </c>
      <c r="K218" s="1110"/>
    </row>
    <row r="219" ht="18.75" customHeight="1">
      <c r="A219" s="1110"/>
      <c r="B219" s="1108" t="s">
        <v>1059</v>
      </c>
      <c r="C219" s="1108" t="s">
        <v>9329</v>
      </c>
      <c r="D219" s="1116" t="s">
        <v>9346</v>
      </c>
      <c r="E219" s="1116" t="s">
        <v>9347</v>
      </c>
      <c r="F219" s="1109">
        <v>0.1</v>
      </c>
      <c r="G219" s="1109">
        <v>0.0</v>
      </c>
      <c r="H219" s="1118"/>
      <c r="I219" s="1118" t="str">
        <f t="shared" si="1"/>
        <v/>
      </c>
      <c r="J219" s="1118" t="str">
        <f t="shared" si="2"/>
        <v/>
      </c>
      <c r="K219" s="1110"/>
    </row>
    <row r="220" ht="18.75" customHeight="1">
      <c r="A220" s="1110"/>
      <c r="B220" s="1108" t="s">
        <v>1059</v>
      </c>
      <c r="C220" s="1108" t="s">
        <v>9329</v>
      </c>
      <c r="D220" s="1116" t="s">
        <v>9348</v>
      </c>
      <c r="E220" s="1116" t="s">
        <v>9349</v>
      </c>
      <c r="F220" s="1109">
        <v>0.1</v>
      </c>
      <c r="G220" s="1109">
        <v>0.0</v>
      </c>
      <c r="H220" s="1118">
        <v>7661500.0</v>
      </c>
      <c r="I220" s="1118">
        <f t="shared" si="1"/>
        <v>6965000</v>
      </c>
      <c r="J220" s="1118">
        <f t="shared" si="2"/>
        <v>7661500</v>
      </c>
      <c r="K220" s="1110"/>
    </row>
    <row r="221" ht="18.75" customHeight="1">
      <c r="A221" s="1110"/>
      <c r="B221" s="1108" t="s">
        <v>1059</v>
      </c>
      <c r="C221" s="1108" t="s">
        <v>9329</v>
      </c>
      <c r="D221" s="1116" t="s">
        <v>9350</v>
      </c>
      <c r="E221" s="1116" t="s">
        <v>9351</v>
      </c>
      <c r="F221" s="1109">
        <v>0.1</v>
      </c>
      <c r="G221" s="1109">
        <v>0.0</v>
      </c>
      <c r="H221" s="1118">
        <v>8558000.0</v>
      </c>
      <c r="I221" s="1118">
        <f t="shared" si="1"/>
        <v>7780000</v>
      </c>
      <c r="J221" s="1118">
        <f t="shared" si="2"/>
        <v>8558000</v>
      </c>
      <c r="K221" s="1110"/>
    </row>
    <row r="222" ht="18.75" customHeight="1">
      <c r="A222" s="1110"/>
      <c r="B222" s="1108" t="s">
        <v>1059</v>
      </c>
      <c r="C222" s="1108" t="s">
        <v>9329</v>
      </c>
      <c r="D222" s="1116" t="s">
        <v>9352</v>
      </c>
      <c r="E222" s="1116" t="s">
        <v>9353</v>
      </c>
      <c r="F222" s="1109">
        <v>0.1</v>
      </c>
      <c r="G222" s="1109">
        <v>0.0</v>
      </c>
      <c r="H222" s="1116"/>
      <c r="I222" s="1118" t="str">
        <f t="shared" si="1"/>
        <v/>
      </c>
      <c r="J222" s="1118" t="str">
        <f t="shared" si="2"/>
        <v/>
      </c>
      <c r="K222" s="1110"/>
    </row>
    <row r="223" ht="18.75" customHeight="1">
      <c r="A223" s="1110"/>
      <c r="B223" s="1108" t="s">
        <v>1059</v>
      </c>
      <c r="C223" s="1108" t="s">
        <v>9329</v>
      </c>
      <c r="D223" s="1116" t="s">
        <v>9354</v>
      </c>
      <c r="E223" s="1116" t="s">
        <v>9355</v>
      </c>
      <c r="F223" s="1109">
        <v>0.1</v>
      </c>
      <c r="G223" s="1109">
        <v>0.0</v>
      </c>
      <c r="H223" s="1116"/>
      <c r="I223" s="1118" t="str">
        <f t="shared" si="1"/>
        <v/>
      </c>
      <c r="J223" s="1118" t="str">
        <f t="shared" si="2"/>
        <v/>
      </c>
      <c r="K223" s="1110"/>
    </row>
    <row r="224" ht="18.75" customHeight="1">
      <c r="A224" s="1110"/>
      <c r="B224" s="1108" t="s">
        <v>1059</v>
      </c>
      <c r="C224" s="1108" t="s">
        <v>9329</v>
      </c>
      <c r="D224" s="1116" t="s">
        <v>9356</v>
      </c>
      <c r="E224" s="1116" t="s">
        <v>9357</v>
      </c>
      <c r="F224" s="1109">
        <v>0.1</v>
      </c>
      <c r="G224" s="1109">
        <v>0.0</v>
      </c>
      <c r="H224" s="1116"/>
      <c r="I224" s="1118" t="str">
        <f t="shared" si="1"/>
        <v/>
      </c>
      <c r="J224" s="1118" t="str">
        <f t="shared" si="2"/>
        <v/>
      </c>
      <c r="K224" s="1110"/>
    </row>
    <row r="225" ht="18.75" customHeight="1">
      <c r="A225" s="1110"/>
      <c r="B225" s="1108" t="s">
        <v>1059</v>
      </c>
      <c r="C225" s="1108" t="s">
        <v>9329</v>
      </c>
      <c r="D225" s="1116" t="s">
        <v>9358</v>
      </c>
      <c r="E225" s="1116" t="s">
        <v>9359</v>
      </c>
      <c r="F225" s="1109">
        <v>0.1</v>
      </c>
      <c r="G225" s="1109">
        <v>0.0</v>
      </c>
      <c r="H225" s="1116"/>
      <c r="I225" s="1118" t="str">
        <f t="shared" si="1"/>
        <v/>
      </c>
      <c r="J225" s="1118" t="str">
        <f t="shared" si="2"/>
        <v/>
      </c>
      <c r="K225" s="1110"/>
    </row>
    <row r="226" ht="18.75" customHeight="1">
      <c r="A226" s="1110"/>
      <c r="B226" s="1108" t="s">
        <v>1059</v>
      </c>
      <c r="C226" s="1108" t="s">
        <v>9329</v>
      </c>
      <c r="D226" s="1116" t="s">
        <v>1086</v>
      </c>
      <c r="E226" s="1116" t="s">
        <v>1087</v>
      </c>
      <c r="F226" s="1109">
        <v>0.1</v>
      </c>
      <c r="G226" s="1109">
        <v>0.0</v>
      </c>
      <c r="H226" s="1118">
        <v>1299000.0</v>
      </c>
      <c r="I226" s="1118">
        <f t="shared" si="1"/>
        <v>1180910</v>
      </c>
      <c r="J226" s="1118">
        <f t="shared" si="2"/>
        <v>1299000</v>
      </c>
      <c r="K226" s="1110"/>
    </row>
    <row r="227" ht="18.75" customHeight="1">
      <c r="A227" s="1110"/>
      <c r="B227" s="1108" t="s">
        <v>1059</v>
      </c>
      <c r="C227" s="1108" t="s">
        <v>9329</v>
      </c>
      <c r="D227" s="1116" t="s">
        <v>1088</v>
      </c>
      <c r="E227" s="1116" t="s">
        <v>1089</v>
      </c>
      <c r="F227" s="1109">
        <v>0.1</v>
      </c>
      <c r="G227" s="1109">
        <v>0.0</v>
      </c>
      <c r="H227" s="1118">
        <v>1800000.0</v>
      </c>
      <c r="I227" s="1118">
        <f t="shared" si="1"/>
        <v>1636360</v>
      </c>
      <c r="J227" s="1118">
        <f t="shared" si="2"/>
        <v>1800000</v>
      </c>
      <c r="K227" s="1110"/>
    </row>
    <row r="228" ht="18.75" customHeight="1">
      <c r="A228" s="1110"/>
      <c r="B228" s="1108" t="s">
        <v>1059</v>
      </c>
      <c r="C228" s="1108" t="s">
        <v>9329</v>
      </c>
      <c r="D228" s="1116" t="s">
        <v>9360</v>
      </c>
      <c r="E228" s="1116" t="s">
        <v>9361</v>
      </c>
      <c r="F228" s="1109">
        <v>0.1</v>
      </c>
      <c r="G228" s="1109">
        <v>0.0</v>
      </c>
      <c r="H228" s="1118">
        <v>297000.0</v>
      </c>
      <c r="I228" s="1118">
        <f t="shared" si="1"/>
        <v>270000</v>
      </c>
      <c r="J228" s="1118">
        <f t="shared" si="2"/>
        <v>297000</v>
      </c>
      <c r="K228" s="1110"/>
    </row>
    <row r="229" ht="18.75" customHeight="1">
      <c r="A229" s="1110"/>
      <c r="B229" s="1108" t="s">
        <v>1059</v>
      </c>
      <c r="C229" s="1108" t="s">
        <v>9329</v>
      </c>
      <c r="D229" s="1116" t="s">
        <v>1090</v>
      </c>
      <c r="E229" s="1116" t="s">
        <v>1091</v>
      </c>
      <c r="F229" s="1109">
        <v>0.1</v>
      </c>
      <c r="G229" s="1109">
        <v>0.0</v>
      </c>
      <c r="H229" s="1118">
        <v>477000.0</v>
      </c>
      <c r="I229" s="1118">
        <f t="shared" si="1"/>
        <v>433640</v>
      </c>
      <c r="J229" s="1118">
        <f t="shared" si="2"/>
        <v>477000</v>
      </c>
      <c r="K229" s="1110"/>
    </row>
    <row r="230" ht="18.75" customHeight="1">
      <c r="A230" s="1110"/>
      <c r="B230" s="1108" t="s">
        <v>1059</v>
      </c>
      <c r="C230" s="1108" t="s">
        <v>9329</v>
      </c>
      <c r="D230" s="1116" t="s">
        <v>9362</v>
      </c>
      <c r="E230" s="1116" t="s">
        <v>9363</v>
      </c>
      <c r="F230" s="1109">
        <v>0.1</v>
      </c>
      <c r="G230" s="1109">
        <v>0.0</v>
      </c>
      <c r="H230" s="1118">
        <v>1430000.0</v>
      </c>
      <c r="I230" s="1118">
        <f t="shared" si="1"/>
        <v>1300000</v>
      </c>
      <c r="J230" s="1118">
        <f t="shared" si="2"/>
        <v>1430000</v>
      </c>
      <c r="K230" s="1110"/>
    </row>
    <row r="231" ht="18.75" customHeight="1">
      <c r="A231" s="1110"/>
      <c r="B231" s="1108" t="s">
        <v>1059</v>
      </c>
      <c r="C231" s="1108" t="s">
        <v>9329</v>
      </c>
      <c r="D231" s="1116" t="s">
        <v>1092</v>
      </c>
      <c r="E231" s="1116" t="s">
        <v>1093</v>
      </c>
      <c r="F231" s="1109">
        <v>0.1</v>
      </c>
      <c r="G231" s="1109">
        <v>0.0</v>
      </c>
      <c r="H231" s="1118">
        <v>748800.0</v>
      </c>
      <c r="I231" s="1118">
        <f t="shared" si="1"/>
        <v>680730</v>
      </c>
      <c r="J231" s="1118">
        <f t="shared" si="2"/>
        <v>748800</v>
      </c>
      <c r="K231" s="1110"/>
    </row>
    <row r="232" ht="18.75" customHeight="1">
      <c r="A232" s="1110"/>
      <c r="B232" s="1108" t="s">
        <v>1059</v>
      </c>
      <c r="C232" s="1108" t="s">
        <v>9329</v>
      </c>
      <c r="D232" s="1116" t="s">
        <v>9364</v>
      </c>
      <c r="E232" s="1116" t="s">
        <v>9365</v>
      </c>
      <c r="F232" s="1109">
        <v>0.1</v>
      </c>
      <c r="G232" s="1109">
        <v>0.0</v>
      </c>
      <c r="H232" s="1116"/>
      <c r="I232" s="1118" t="str">
        <f t="shared" si="1"/>
        <v/>
      </c>
      <c r="J232" s="1118" t="str">
        <f t="shared" si="2"/>
        <v/>
      </c>
      <c r="K232" s="1110"/>
    </row>
    <row r="233" ht="18.75" customHeight="1">
      <c r="A233" s="1110"/>
      <c r="B233" s="1108" t="s">
        <v>1059</v>
      </c>
      <c r="C233" s="1108" t="s">
        <v>9329</v>
      </c>
      <c r="D233" s="1116" t="s">
        <v>9366</v>
      </c>
      <c r="E233" s="1116" t="s">
        <v>9367</v>
      </c>
      <c r="F233" s="1109">
        <v>0.1</v>
      </c>
      <c r="G233" s="1109">
        <v>0.0</v>
      </c>
      <c r="H233" s="1116"/>
      <c r="I233" s="1118" t="str">
        <f t="shared" si="1"/>
        <v/>
      </c>
      <c r="J233" s="1118" t="str">
        <f t="shared" si="2"/>
        <v/>
      </c>
      <c r="K233" s="1110"/>
    </row>
    <row r="234" ht="18.75" customHeight="1">
      <c r="A234" s="1110"/>
      <c r="B234" s="1108" t="s">
        <v>1059</v>
      </c>
      <c r="C234" s="1108" t="s">
        <v>9329</v>
      </c>
      <c r="D234" s="1116" t="s">
        <v>9368</v>
      </c>
      <c r="E234" s="1116" t="s">
        <v>1095</v>
      </c>
      <c r="F234" s="1109">
        <v>0.1</v>
      </c>
      <c r="G234" s="1109">
        <v>0.0</v>
      </c>
      <c r="H234" s="1116"/>
      <c r="I234" s="1118" t="str">
        <f t="shared" si="1"/>
        <v/>
      </c>
      <c r="J234" s="1118" t="str">
        <f t="shared" si="2"/>
        <v/>
      </c>
      <c r="K234" s="1110"/>
    </row>
    <row r="235" ht="18.75" customHeight="1">
      <c r="A235" s="1110"/>
      <c r="B235" s="1108" t="s">
        <v>1059</v>
      </c>
      <c r="C235" s="1108" t="s">
        <v>9329</v>
      </c>
      <c r="D235" s="1116" t="s">
        <v>1094</v>
      </c>
      <c r="E235" s="1116" t="s">
        <v>1095</v>
      </c>
      <c r="F235" s="1109">
        <v>0.1</v>
      </c>
      <c r="G235" s="1109">
        <v>0.0</v>
      </c>
      <c r="H235" s="1118">
        <v>1347600.0</v>
      </c>
      <c r="I235" s="1118">
        <f t="shared" si="1"/>
        <v>1225090</v>
      </c>
      <c r="J235" s="1118">
        <f t="shared" si="2"/>
        <v>1347600</v>
      </c>
      <c r="K235" s="1110"/>
    </row>
    <row r="236" ht="18.75" customHeight="1">
      <c r="A236" s="1110"/>
      <c r="B236" s="1108" t="s">
        <v>1059</v>
      </c>
      <c r="C236" s="1108" t="s">
        <v>9329</v>
      </c>
      <c r="D236" s="1116" t="s">
        <v>9369</v>
      </c>
      <c r="E236" s="1116" t="s">
        <v>9370</v>
      </c>
      <c r="F236" s="1109">
        <v>0.1</v>
      </c>
      <c r="G236" s="1109">
        <v>0.0</v>
      </c>
      <c r="H236" s="1116"/>
      <c r="I236" s="1118" t="str">
        <f t="shared" si="1"/>
        <v/>
      </c>
      <c r="J236" s="1118" t="str">
        <f t="shared" si="2"/>
        <v/>
      </c>
      <c r="K236" s="1110"/>
    </row>
    <row r="237" ht="18.75" customHeight="1">
      <c r="A237" s="1110"/>
      <c r="B237" s="1108" t="s">
        <v>1059</v>
      </c>
      <c r="C237" s="1108" t="s">
        <v>9329</v>
      </c>
      <c r="D237" s="1116" t="s">
        <v>9371</v>
      </c>
      <c r="E237" s="1116" t="s">
        <v>9372</v>
      </c>
      <c r="F237" s="1109">
        <v>0.1</v>
      </c>
      <c r="G237" s="1109">
        <v>0.0</v>
      </c>
      <c r="H237" s="1118">
        <v>3465000.0</v>
      </c>
      <c r="I237" s="1118">
        <f t="shared" si="1"/>
        <v>3150000</v>
      </c>
      <c r="J237" s="1118">
        <f t="shared" si="2"/>
        <v>3465000</v>
      </c>
      <c r="K237" s="1110"/>
    </row>
    <row r="238" ht="18.75" customHeight="1">
      <c r="A238" s="1110"/>
      <c r="B238" s="1108" t="s">
        <v>1059</v>
      </c>
      <c r="C238" s="1108" t="s">
        <v>9329</v>
      </c>
      <c r="D238" s="1116" t="s">
        <v>9373</v>
      </c>
      <c r="E238" s="1116" t="s">
        <v>9374</v>
      </c>
      <c r="F238" s="1109">
        <v>0.1</v>
      </c>
      <c r="G238" s="1109">
        <v>0.0</v>
      </c>
      <c r="H238" s="1118">
        <v>6700000.0</v>
      </c>
      <c r="I238" s="1118">
        <f t="shared" si="1"/>
        <v>6090910</v>
      </c>
      <c r="J238" s="1118">
        <f t="shared" si="2"/>
        <v>6700000</v>
      </c>
      <c r="K238" s="1110"/>
    </row>
    <row r="239" ht="18.75" customHeight="1">
      <c r="A239" s="1110"/>
      <c r="B239" s="1108" t="s">
        <v>1059</v>
      </c>
      <c r="C239" s="1108" t="s">
        <v>9329</v>
      </c>
      <c r="D239" s="1116" t="s">
        <v>9375</v>
      </c>
      <c r="E239" s="1116" t="s">
        <v>9376</v>
      </c>
      <c r="F239" s="1109">
        <v>0.1</v>
      </c>
      <c r="G239" s="1109">
        <v>0.0</v>
      </c>
      <c r="H239" s="1116"/>
      <c r="I239" s="1118" t="str">
        <f t="shared" si="1"/>
        <v/>
      </c>
      <c r="J239" s="1118" t="str">
        <f t="shared" si="2"/>
        <v/>
      </c>
      <c r="K239" s="1110"/>
    </row>
    <row r="240" ht="18.75" customHeight="1">
      <c r="A240" s="1110"/>
      <c r="B240" s="1108" t="s">
        <v>1059</v>
      </c>
      <c r="C240" s="1108" t="s">
        <v>9329</v>
      </c>
      <c r="D240" s="1116" t="s">
        <v>9377</v>
      </c>
      <c r="E240" s="1116" t="s">
        <v>9378</v>
      </c>
      <c r="F240" s="1109">
        <v>0.1</v>
      </c>
      <c r="G240" s="1109">
        <v>0.0</v>
      </c>
      <c r="H240" s="1116"/>
      <c r="I240" s="1118" t="str">
        <f t="shared" si="1"/>
        <v/>
      </c>
      <c r="J240" s="1118" t="str">
        <f t="shared" si="2"/>
        <v/>
      </c>
      <c r="K240" s="1110"/>
    </row>
    <row r="241" ht="18.75" customHeight="1">
      <c r="A241" s="1110"/>
      <c r="B241" s="1108" t="s">
        <v>1059</v>
      </c>
      <c r="C241" s="1108" t="s">
        <v>9329</v>
      </c>
      <c r="D241" s="1116" t="s">
        <v>1096</v>
      </c>
      <c r="E241" s="1116" t="s">
        <v>1097</v>
      </c>
      <c r="F241" s="1109">
        <v>0.1</v>
      </c>
      <c r="G241" s="1109">
        <v>0.0</v>
      </c>
      <c r="H241" s="1118">
        <v>1536000.0</v>
      </c>
      <c r="I241" s="1118">
        <f t="shared" si="1"/>
        <v>1396360</v>
      </c>
      <c r="J241" s="1118">
        <f t="shared" si="2"/>
        <v>1536000</v>
      </c>
      <c r="K241" s="1110"/>
    </row>
    <row r="242" ht="18.75" customHeight="1">
      <c r="A242" s="1110"/>
      <c r="B242" s="1108" t="s">
        <v>1059</v>
      </c>
      <c r="C242" s="1108" t="s">
        <v>9329</v>
      </c>
      <c r="D242" s="1116" t="s">
        <v>9379</v>
      </c>
      <c r="E242" s="1116" t="s">
        <v>9380</v>
      </c>
      <c r="F242" s="1109">
        <v>0.1</v>
      </c>
      <c r="G242" s="1109">
        <v>0.0</v>
      </c>
      <c r="H242" s="1118">
        <v>4400000.0</v>
      </c>
      <c r="I242" s="1118">
        <f t="shared" si="1"/>
        <v>4000000</v>
      </c>
      <c r="J242" s="1118">
        <f t="shared" si="2"/>
        <v>4400000</v>
      </c>
      <c r="K242" s="1110"/>
    </row>
    <row r="243" ht="18.75" customHeight="1">
      <c r="A243" s="1110"/>
      <c r="B243" s="1108" t="s">
        <v>1059</v>
      </c>
      <c r="C243" s="1108" t="s">
        <v>9329</v>
      </c>
      <c r="D243" s="1116" t="s">
        <v>9381</v>
      </c>
      <c r="E243" s="1116" t="s">
        <v>9382</v>
      </c>
      <c r="F243" s="1109">
        <v>0.1</v>
      </c>
      <c r="G243" s="1109">
        <v>0.0</v>
      </c>
      <c r="H243" s="1118">
        <v>4764980.0</v>
      </c>
      <c r="I243" s="1118">
        <f t="shared" si="1"/>
        <v>4331800</v>
      </c>
      <c r="J243" s="1118">
        <f t="shared" si="2"/>
        <v>4764980</v>
      </c>
      <c r="K243" s="1110"/>
    </row>
    <row r="244" ht="18.75" customHeight="1">
      <c r="A244" s="1110"/>
      <c r="B244" s="1108" t="s">
        <v>1059</v>
      </c>
      <c r="C244" s="1108" t="s">
        <v>9329</v>
      </c>
      <c r="D244" s="1116" t="s">
        <v>9383</v>
      </c>
      <c r="E244" s="1116" t="s">
        <v>9384</v>
      </c>
      <c r="F244" s="1109">
        <v>0.1</v>
      </c>
      <c r="G244" s="1109">
        <v>0.0</v>
      </c>
      <c r="H244" s="1116"/>
      <c r="I244" s="1118" t="str">
        <f t="shared" si="1"/>
        <v/>
      </c>
      <c r="J244" s="1118" t="str">
        <f t="shared" si="2"/>
        <v/>
      </c>
      <c r="K244" s="1110"/>
    </row>
    <row r="245" ht="18.75" customHeight="1">
      <c r="A245" s="1110"/>
      <c r="B245" s="1108" t="s">
        <v>1059</v>
      </c>
      <c r="C245" s="1108" t="s">
        <v>9329</v>
      </c>
      <c r="D245" s="1116" t="s">
        <v>9385</v>
      </c>
      <c r="E245" s="1116" t="s">
        <v>9386</v>
      </c>
      <c r="F245" s="1109">
        <v>0.1</v>
      </c>
      <c r="G245" s="1109">
        <v>0.0</v>
      </c>
      <c r="H245" s="1116"/>
      <c r="I245" s="1118" t="str">
        <f t="shared" si="1"/>
        <v/>
      </c>
      <c r="J245" s="1118" t="str">
        <f t="shared" si="2"/>
        <v/>
      </c>
      <c r="K245" s="1110"/>
    </row>
    <row r="246" ht="18.75" customHeight="1">
      <c r="A246" s="1110"/>
      <c r="B246" s="1108" t="s">
        <v>1059</v>
      </c>
      <c r="C246" s="1108" t="s">
        <v>9329</v>
      </c>
      <c r="D246" s="1116" t="s">
        <v>1068</v>
      </c>
      <c r="E246" s="1116" t="s">
        <v>1069</v>
      </c>
      <c r="F246" s="1109">
        <v>0.1</v>
      </c>
      <c r="G246" s="1109">
        <v>0.0</v>
      </c>
      <c r="H246" s="1118">
        <v>1778700.0</v>
      </c>
      <c r="I246" s="1118">
        <f t="shared" si="1"/>
        <v>1617000</v>
      </c>
      <c r="J246" s="1118">
        <f t="shared" si="2"/>
        <v>1778700</v>
      </c>
      <c r="K246" s="1110"/>
    </row>
    <row r="247" ht="18.75" customHeight="1">
      <c r="A247" s="1110"/>
      <c r="B247" s="1108" t="s">
        <v>1059</v>
      </c>
      <c r="C247" s="1108" t="s">
        <v>9329</v>
      </c>
      <c r="D247" s="1116" t="s">
        <v>1070</v>
      </c>
      <c r="E247" s="1116" t="s">
        <v>1071</v>
      </c>
      <c r="F247" s="1109">
        <v>0.1</v>
      </c>
      <c r="G247" s="1109">
        <v>0.0</v>
      </c>
      <c r="H247" s="1118">
        <v>1859899.9999999998</v>
      </c>
      <c r="I247" s="1118">
        <f t="shared" si="1"/>
        <v>1690820</v>
      </c>
      <c r="J247" s="1118">
        <f t="shared" si="2"/>
        <v>1859900</v>
      </c>
      <c r="K247" s="1110"/>
    </row>
    <row r="248" ht="18.75" customHeight="1">
      <c r="A248" s="1110"/>
      <c r="B248" s="1108" t="s">
        <v>1059</v>
      </c>
      <c r="C248" s="1108" t="s">
        <v>9329</v>
      </c>
      <c r="D248" s="1116" t="s">
        <v>1072</v>
      </c>
      <c r="E248" s="1116" t="s">
        <v>1073</v>
      </c>
      <c r="F248" s="1109">
        <v>0.1</v>
      </c>
      <c r="G248" s="1109">
        <v>0.0</v>
      </c>
      <c r="H248" s="1118">
        <v>1859899.9999999998</v>
      </c>
      <c r="I248" s="1118">
        <f t="shared" si="1"/>
        <v>1690820</v>
      </c>
      <c r="J248" s="1118">
        <f t="shared" si="2"/>
        <v>1859900</v>
      </c>
      <c r="K248" s="1110"/>
    </row>
    <row r="249" ht="18.75" customHeight="1">
      <c r="A249" s="1110"/>
      <c r="B249" s="1108" t="s">
        <v>1059</v>
      </c>
      <c r="C249" s="1108" t="s">
        <v>9329</v>
      </c>
      <c r="D249" s="1116" t="s">
        <v>1074</v>
      </c>
      <c r="E249" s="1116" t="s">
        <v>1075</v>
      </c>
      <c r="F249" s="1109">
        <v>0.1</v>
      </c>
      <c r="G249" s="1109">
        <v>0.0</v>
      </c>
      <c r="H249" s="1118">
        <v>514499.99999999994</v>
      </c>
      <c r="I249" s="1118">
        <f t="shared" si="1"/>
        <v>467730</v>
      </c>
      <c r="J249" s="1118">
        <f t="shared" si="2"/>
        <v>514500</v>
      </c>
      <c r="K249" s="1110"/>
    </row>
    <row r="250" ht="18.75" customHeight="1">
      <c r="A250" s="1110"/>
      <c r="B250" s="1108" t="s">
        <v>1059</v>
      </c>
      <c r="C250" s="1108" t="s">
        <v>9329</v>
      </c>
      <c r="D250" s="1116" t="s">
        <v>1076</v>
      </c>
      <c r="E250" s="1116" t="s">
        <v>1077</v>
      </c>
      <c r="F250" s="1109">
        <v>0.1</v>
      </c>
      <c r="G250" s="1109">
        <v>0.0</v>
      </c>
      <c r="H250" s="1118">
        <v>670600.0</v>
      </c>
      <c r="I250" s="1118">
        <f t="shared" si="1"/>
        <v>609640</v>
      </c>
      <c r="J250" s="1118">
        <f t="shared" si="2"/>
        <v>670600</v>
      </c>
      <c r="K250" s="1110"/>
    </row>
    <row r="251" ht="18.75" customHeight="1">
      <c r="A251" s="1110"/>
      <c r="B251" s="1108" t="s">
        <v>1059</v>
      </c>
      <c r="C251" s="1108" t="s">
        <v>9329</v>
      </c>
      <c r="D251" s="1116" t="s">
        <v>1080</v>
      </c>
      <c r="E251" s="1116" t="s">
        <v>1081</v>
      </c>
      <c r="F251" s="1109">
        <v>0.1</v>
      </c>
      <c r="G251" s="1109">
        <v>0.0</v>
      </c>
      <c r="H251" s="1118">
        <v>671300.0</v>
      </c>
      <c r="I251" s="1118">
        <f t="shared" si="1"/>
        <v>610270</v>
      </c>
      <c r="J251" s="1118">
        <f t="shared" si="2"/>
        <v>671300</v>
      </c>
      <c r="K251" s="1110"/>
    </row>
    <row r="252" ht="18.75" customHeight="1">
      <c r="A252" s="1110"/>
      <c r="B252" s="1108" t="s">
        <v>1059</v>
      </c>
      <c r="C252" s="1108" t="s">
        <v>9329</v>
      </c>
      <c r="D252" s="1116" t="s">
        <v>1078</v>
      </c>
      <c r="E252" s="1116" t="s">
        <v>1079</v>
      </c>
      <c r="F252" s="1109">
        <v>0.1</v>
      </c>
      <c r="G252" s="1109">
        <v>0.0</v>
      </c>
      <c r="H252" s="1118">
        <v>517299.99999999994</v>
      </c>
      <c r="I252" s="1118">
        <f t="shared" si="1"/>
        <v>470270</v>
      </c>
      <c r="J252" s="1118">
        <f t="shared" si="2"/>
        <v>517300</v>
      </c>
      <c r="K252" s="1110"/>
    </row>
    <row r="253" ht="18.75" customHeight="1">
      <c r="A253" s="1110"/>
      <c r="B253" s="1108" t="s">
        <v>9387</v>
      </c>
      <c r="C253" s="1108" t="s">
        <v>9388</v>
      </c>
      <c r="D253" s="1116" t="s">
        <v>9389</v>
      </c>
      <c r="E253" s="1116" t="s">
        <v>9390</v>
      </c>
      <c r="F253" s="1109">
        <v>0.1</v>
      </c>
      <c r="G253" s="1109">
        <v>0.0</v>
      </c>
      <c r="H253" s="1118">
        <v>2.145E7</v>
      </c>
      <c r="I253" s="1118">
        <f t="shared" si="1"/>
        <v>19500000</v>
      </c>
      <c r="J253" s="1118">
        <f t="shared" si="2"/>
        <v>21450000</v>
      </c>
      <c r="K253" s="1110"/>
    </row>
    <row r="254" ht="18.75" customHeight="1">
      <c r="A254" s="1110"/>
      <c r="B254" s="1108" t="s">
        <v>9387</v>
      </c>
      <c r="C254" s="1108" t="s">
        <v>9388</v>
      </c>
      <c r="D254" s="1116" t="s">
        <v>9391</v>
      </c>
      <c r="E254" s="1116" t="s">
        <v>9392</v>
      </c>
      <c r="F254" s="1109">
        <v>0.1</v>
      </c>
      <c r="G254" s="1109">
        <v>0.0</v>
      </c>
      <c r="H254" s="1118"/>
      <c r="I254" s="1118" t="str">
        <f t="shared" si="1"/>
        <v/>
      </c>
      <c r="J254" s="1118" t="str">
        <f t="shared" si="2"/>
        <v/>
      </c>
      <c r="K254" s="1110"/>
    </row>
    <row r="255" ht="18.75" customHeight="1">
      <c r="A255" s="1110"/>
      <c r="B255" s="1108" t="s">
        <v>9387</v>
      </c>
      <c r="C255" s="1108" t="s">
        <v>9388</v>
      </c>
      <c r="D255" s="1116" t="s">
        <v>9393</v>
      </c>
      <c r="E255" s="1116" t="s">
        <v>9394</v>
      </c>
      <c r="F255" s="1109">
        <v>0.1</v>
      </c>
      <c r="G255" s="1109">
        <v>0.0</v>
      </c>
      <c r="H255" s="1118"/>
      <c r="I255" s="1118" t="str">
        <f t="shared" si="1"/>
        <v/>
      </c>
      <c r="J255" s="1118" t="str">
        <f t="shared" si="2"/>
        <v/>
      </c>
      <c r="K255" s="1110"/>
    </row>
    <row r="256" ht="18.75" customHeight="1">
      <c r="A256" s="1110"/>
      <c r="B256" s="1108" t="s">
        <v>9387</v>
      </c>
      <c r="C256" s="1108" t="s">
        <v>9388</v>
      </c>
      <c r="D256" s="1116" t="s">
        <v>9395</v>
      </c>
      <c r="E256" s="1116" t="s">
        <v>9396</v>
      </c>
      <c r="F256" s="1109">
        <v>0.1</v>
      </c>
      <c r="G256" s="1109">
        <v>0.0</v>
      </c>
      <c r="H256" s="1118">
        <v>7009750.0</v>
      </c>
      <c r="I256" s="1118">
        <f t="shared" si="1"/>
        <v>6372500</v>
      </c>
      <c r="J256" s="1118">
        <f t="shared" si="2"/>
        <v>7009750</v>
      </c>
      <c r="K256" s="1110"/>
    </row>
    <row r="257" ht="18.75" customHeight="1">
      <c r="A257" s="1110"/>
      <c r="B257" s="1108" t="s">
        <v>9387</v>
      </c>
      <c r="C257" s="1108" t="s">
        <v>9388</v>
      </c>
      <c r="D257" s="1116" t="s">
        <v>953</v>
      </c>
      <c r="E257" s="1116" t="s">
        <v>954</v>
      </c>
      <c r="F257" s="1109">
        <v>0.1</v>
      </c>
      <c r="G257" s="1109">
        <v>0.0</v>
      </c>
      <c r="H257" s="1118">
        <v>6915700.0</v>
      </c>
      <c r="I257" s="1118">
        <f t="shared" si="1"/>
        <v>6287000</v>
      </c>
      <c r="J257" s="1118">
        <f t="shared" si="2"/>
        <v>6915700</v>
      </c>
      <c r="K257" s="1110"/>
    </row>
    <row r="258" ht="18.75" customHeight="1">
      <c r="A258" s="1110"/>
      <c r="B258" s="1108" t="s">
        <v>9387</v>
      </c>
      <c r="C258" s="1108" t="s">
        <v>9388</v>
      </c>
      <c r="D258" s="1116" t="s">
        <v>9397</v>
      </c>
      <c r="E258" s="1116" t="s">
        <v>9398</v>
      </c>
      <c r="F258" s="1109">
        <v>0.1</v>
      </c>
      <c r="G258" s="1109">
        <v>0.0</v>
      </c>
      <c r="H258" s="1118"/>
      <c r="I258" s="1118" t="str">
        <f t="shared" si="1"/>
        <v/>
      </c>
      <c r="J258" s="1118" t="str">
        <f t="shared" si="2"/>
        <v/>
      </c>
      <c r="K258" s="1110"/>
    </row>
    <row r="259" ht="18.75" customHeight="1">
      <c r="A259" s="1110"/>
      <c r="B259" s="1108" t="s">
        <v>9387</v>
      </c>
      <c r="C259" s="1108" t="s">
        <v>9388</v>
      </c>
      <c r="D259" s="1116" t="s">
        <v>9399</v>
      </c>
      <c r="E259" s="1116" t="s">
        <v>9400</v>
      </c>
      <c r="F259" s="1109">
        <v>0.1</v>
      </c>
      <c r="G259" s="1109">
        <v>0.0</v>
      </c>
      <c r="H259" s="1118">
        <v>9456340.0</v>
      </c>
      <c r="I259" s="1118">
        <f t="shared" si="1"/>
        <v>8596670</v>
      </c>
      <c r="J259" s="1118">
        <f t="shared" si="2"/>
        <v>9456340</v>
      </c>
      <c r="K259" s="1110"/>
    </row>
    <row r="260" ht="18.75" customHeight="1">
      <c r="A260" s="1110"/>
      <c r="B260" s="1108" t="s">
        <v>9387</v>
      </c>
      <c r="C260" s="1108" t="s">
        <v>9388</v>
      </c>
      <c r="D260" s="1116" t="s">
        <v>964</v>
      </c>
      <c r="E260" s="1116" t="s">
        <v>965</v>
      </c>
      <c r="F260" s="1109">
        <v>0.1</v>
      </c>
      <c r="G260" s="1109">
        <v>0.0</v>
      </c>
      <c r="H260" s="1118">
        <v>9502790.0</v>
      </c>
      <c r="I260" s="1118">
        <f t="shared" si="1"/>
        <v>8638900</v>
      </c>
      <c r="J260" s="1118">
        <f t="shared" si="2"/>
        <v>9502790</v>
      </c>
      <c r="K260" s="1110"/>
    </row>
    <row r="261" ht="18.75" customHeight="1">
      <c r="A261" s="1110"/>
      <c r="B261" s="1108" t="s">
        <v>9387</v>
      </c>
      <c r="C261" s="1108" t="s">
        <v>9388</v>
      </c>
      <c r="D261" s="1116" t="s">
        <v>9401</v>
      </c>
      <c r="E261" s="1116" t="s">
        <v>9402</v>
      </c>
      <c r="F261" s="1109">
        <v>0.1</v>
      </c>
      <c r="G261" s="1109">
        <v>0.0</v>
      </c>
      <c r="H261" s="1118">
        <v>1.9965E7</v>
      </c>
      <c r="I261" s="1118">
        <f t="shared" si="1"/>
        <v>18150000</v>
      </c>
      <c r="J261" s="1118">
        <f t="shared" si="2"/>
        <v>19965000</v>
      </c>
      <c r="K261" s="1110"/>
    </row>
    <row r="262" ht="18.75" customHeight="1">
      <c r="A262" s="1110"/>
      <c r="B262" s="1108" t="s">
        <v>9387</v>
      </c>
      <c r="C262" s="1108" t="s">
        <v>9388</v>
      </c>
      <c r="D262" s="1116" t="s">
        <v>9403</v>
      </c>
      <c r="E262" s="1116" t="s">
        <v>9404</v>
      </c>
      <c r="F262" s="1109">
        <v>0.1</v>
      </c>
      <c r="G262" s="1109">
        <v>0.0</v>
      </c>
      <c r="H262" s="1118">
        <v>1.850001E7</v>
      </c>
      <c r="I262" s="1118">
        <f t="shared" si="1"/>
        <v>16818190</v>
      </c>
      <c r="J262" s="1118">
        <f t="shared" si="2"/>
        <v>18500010</v>
      </c>
      <c r="K262" s="1110"/>
    </row>
    <row r="263" ht="18.75" customHeight="1">
      <c r="A263" s="1110"/>
      <c r="B263" s="1108" t="s">
        <v>9387</v>
      </c>
      <c r="C263" s="1108" t="s">
        <v>9388</v>
      </c>
      <c r="D263" s="1116" t="s">
        <v>9405</v>
      </c>
      <c r="E263" s="1116" t="s">
        <v>9406</v>
      </c>
      <c r="F263" s="1109">
        <v>0.1</v>
      </c>
      <c r="G263" s="1109">
        <v>0.0</v>
      </c>
      <c r="H263" s="1118">
        <v>1.830686E7</v>
      </c>
      <c r="I263" s="1118">
        <f t="shared" si="1"/>
        <v>16642600</v>
      </c>
      <c r="J263" s="1118">
        <f t="shared" si="2"/>
        <v>18306860</v>
      </c>
      <c r="K263" s="1110"/>
    </row>
    <row r="264" ht="18.75" customHeight="1">
      <c r="A264" s="1110"/>
      <c r="B264" s="1108" t="s">
        <v>9387</v>
      </c>
      <c r="C264" s="1108" t="s">
        <v>9388</v>
      </c>
      <c r="D264" s="1116" t="s">
        <v>9407</v>
      </c>
      <c r="E264" s="1116" t="s">
        <v>9408</v>
      </c>
      <c r="F264" s="1109">
        <v>0.1</v>
      </c>
      <c r="G264" s="1109">
        <v>0.0</v>
      </c>
      <c r="H264" s="1118">
        <v>1.92181E7</v>
      </c>
      <c r="I264" s="1118">
        <f t="shared" si="1"/>
        <v>17471000</v>
      </c>
      <c r="J264" s="1118">
        <f t="shared" si="2"/>
        <v>19218100</v>
      </c>
      <c r="K264" s="1110"/>
    </row>
    <row r="265" ht="18.75" customHeight="1">
      <c r="A265" s="1110"/>
      <c r="B265" s="1108" t="s">
        <v>9387</v>
      </c>
      <c r="C265" s="1108" t="s">
        <v>9388</v>
      </c>
      <c r="D265" s="1116" t="s">
        <v>9409</v>
      </c>
      <c r="E265" s="1116" t="s">
        <v>9410</v>
      </c>
      <c r="F265" s="1109">
        <v>0.1</v>
      </c>
      <c r="G265" s="1109">
        <v>0.0</v>
      </c>
      <c r="H265" s="1118">
        <v>2.255E7</v>
      </c>
      <c r="I265" s="1118">
        <f t="shared" si="1"/>
        <v>20500000</v>
      </c>
      <c r="J265" s="1118">
        <f t="shared" si="2"/>
        <v>22550000</v>
      </c>
      <c r="K265" s="1110"/>
    </row>
    <row r="266" ht="18.75" customHeight="1">
      <c r="A266" s="1110"/>
      <c r="B266" s="1108" t="s">
        <v>9387</v>
      </c>
      <c r="C266" s="1108" t="s">
        <v>9388</v>
      </c>
      <c r="D266" s="1116" t="s">
        <v>9411</v>
      </c>
      <c r="E266" s="1116" t="s">
        <v>9412</v>
      </c>
      <c r="F266" s="1109">
        <v>0.1</v>
      </c>
      <c r="G266" s="1109">
        <v>0.0</v>
      </c>
      <c r="H266" s="1118">
        <v>2.101E7</v>
      </c>
      <c r="I266" s="1118">
        <f t="shared" si="1"/>
        <v>19100000</v>
      </c>
      <c r="J266" s="1118">
        <f t="shared" si="2"/>
        <v>21010000</v>
      </c>
      <c r="K266" s="1110"/>
    </row>
    <row r="267" ht="18.75" customHeight="1">
      <c r="A267" s="1110"/>
      <c r="B267" s="1108" t="s">
        <v>9387</v>
      </c>
      <c r="C267" s="1108" t="s">
        <v>9388</v>
      </c>
      <c r="D267" s="1116" t="s">
        <v>951</v>
      </c>
      <c r="E267" s="1116" t="s">
        <v>952</v>
      </c>
      <c r="F267" s="1109">
        <v>0.1</v>
      </c>
      <c r="G267" s="1109">
        <v>0.0</v>
      </c>
      <c r="H267" s="1118">
        <v>2.459721E7</v>
      </c>
      <c r="I267" s="1118">
        <f t="shared" si="1"/>
        <v>22361100</v>
      </c>
      <c r="J267" s="1118">
        <f t="shared" si="2"/>
        <v>24597210</v>
      </c>
      <c r="K267" s="1110"/>
    </row>
    <row r="268" ht="18.75" customHeight="1">
      <c r="A268" s="1110"/>
      <c r="B268" s="1108" t="s">
        <v>9387</v>
      </c>
      <c r="C268" s="1108" t="s">
        <v>9388</v>
      </c>
      <c r="D268" s="1116" t="s">
        <v>941</v>
      </c>
      <c r="E268" s="1116" t="s">
        <v>942</v>
      </c>
      <c r="F268" s="1109">
        <v>0.1</v>
      </c>
      <c r="G268" s="1109">
        <v>0.0</v>
      </c>
      <c r="H268" s="1118">
        <v>2.739308E7</v>
      </c>
      <c r="I268" s="1118">
        <f t="shared" si="1"/>
        <v>24902800</v>
      </c>
      <c r="J268" s="1118">
        <f t="shared" si="2"/>
        <v>27393080</v>
      </c>
      <c r="K268" s="1110"/>
    </row>
    <row r="269" ht="18.75" customHeight="1">
      <c r="A269" s="1110"/>
      <c r="B269" s="1108" t="s">
        <v>9387</v>
      </c>
      <c r="C269" s="1108" t="s">
        <v>9388</v>
      </c>
      <c r="D269" s="1116" t="s">
        <v>943</v>
      </c>
      <c r="E269" s="1116" t="s">
        <v>944</v>
      </c>
      <c r="F269" s="1109">
        <v>0.1</v>
      </c>
      <c r="G269" s="1109">
        <v>0.0</v>
      </c>
      <c r="H269" s="1118">
        <v>2.657116E7</v>
      </c>
      <c r="I269" s="1118">
        <f t="shared" si="1"/>
        <v>24155600</v>
      </c>
      <c r="J269" s="1118">
        <f t="shared" si="2"/>
        <v>26571160</v>
      </c>
      <c r="K269" s="1110"/>
    </row>
    <row r="270" ht="18.75" customHeight="1">
      <c r="A270" s="1110"/>
      <c r="B270" s="1108" t="s">
        <v>9387</v>
      </c>
      <c r="C270" s="1108" t="s">
        <v>9388</v>
      </c>
      <c r="D270" s="1116" t="s">
        <v>9413</v>
      </c>
      <c r="E270" s="1116" t="s">
        <v>9414</v>
      </c>
      <c r="F270" s="1109">
        <v>0.1</v>
      </c>
      <c r="G270" s="1109">
        <v>0.0</v>
      </c>
      <c r="H270" s="1118">
        <v>2.75E7</v>
      </c>
      <c r="I270" s="1118">
        <f t="shared" si="1"/>
        <v>25000000</v>
      </c>
      <c r="J270" s="1118">
        <f t="shared" si="2"/>
        <v>27500000</v>
      </c>
      <c r="K270" s="1110"/>
    </row>
    <row r="271" ht="18.75" customHeight="1">
      <c r="A271" s="1110"/>
      <c r="B271" s="1108" t="s">
        <v>9387</v>
      </c>
      <c r="C271" s="1108" t="s">
        <v>9388</v>
      </c>
      <c r="D271" s="1116" t="s">
        <v>9415</v>
      </c>
      <c r="E271" s="1116" t="s">
        <v>9416</v>
      </c>
      <c r="F271" s="1109">
        <v>0.1</v>
      </c>
      <c r="G271" s="1109">
        <v>0.0</v>
      </c>
      <c r="H271" s="1118">
        <v>6.7375E7</v>
      </c>
      <c r="I271" s="1118">
        <f t="shared" si="1"/>
        <v>61250000</v>
      </c>
      <c r="J271" s="1118">
        <f t="shared" si="2"/>
        <v>67375000</v>
      </c>
      <c r="K271" s="1110"/>
    </row>
    <row r="272" ht="18.75" customHeight="1">
      <c r="A272" s="1110"/>
      <c r="B272" s="1108" t="s">
        <v>9387</v>
      </c>
      <c r="C272" s="1108" t="s">
        <v>9388</v>
      </c>
      <c r="D272" s="1116" t="s">
        <v>9417</v>
      </c>
      <c r="E272" s="1116" t="s">
        <v>9418</v>
      </c>
      <c r="F272" s="1109">
        <v>0.1</v>
      </c>
      <c r="G272" s="1109">
        <v>0.0</v>
      </c>
      <c r="H272" s="1118">
        <v>1.078E8</v>
      </c>
      <c r="I272" s="1118">
        <f t="shared" si="1"/>
        <v>98000000</v>
      </c>
      <c r="J272" s="1118">
        <f t="shared" si="2"/>
        <v>107800000</v>
      </c>
      <c r="K272" s="1110"/>
    </row>
    <row r="273" ht="18.75" customHeight="1">
      <c r="A273" s="1110"/>
      <c r="B273" s="1108" t="s">
        <v>9387</v>
      </c>
      <c r="C273" s="1108" t="s">
        <v>9388</v>
      </c>
      <c r="D273" s="1116" t="s">
        <v>962</v>
      </c>
      <c r="E273" s="1116" t="s">
        <v>963</v>
      </c>
      <c r="F273" s="1109">
        <v>0.1</v>
      </c>
      <c r="G273" s="1109">
        <v>0.0</v>
      </c>
      <c r="H273" s="1118">
        <v>9258370.0</v>
      </c>
      <c r="I273" s="1118">
        <f t="shared" si="1"/>
        <v>8416700</v>
      </c>
      <c r="J273" s="1118">
        <f t="shared" si="2"/>
        <v>9258370</v>
      </c>
      <c r="K273" s="1110"/>
    </row>
    <row r="274" ht="18.75" customHeight="1">
      <c r="A274" s="1110"/>
      <c r="B274" s="1108" t="s">
        <v>9387</v>
      </c>
      <c r="C274" s="1108" t="s">
        <v>9388</v>
      </c>
      <c r="D274" s="1116" t="s">
        <v>9419</v>
      </c>
      <c r="E274" s="1116" t="s">
        <v>9420</v>
      </c>
      <c r="F274" s="1109">
        <v>0.1</v>
      </c>
      <c r="G274" s="1109">
        <v>0.0</v>
      </c>
      <c r="H274" s="1118">
        <v>1.33991E7</v>
      </c>
      <c r="I274" s="1118">
        <f t="shared" si="1"/>
        <v>12181000</v>
      </c>
      <c r="J274" s="1118">
        <f t="shared" si="2"/>
        <v>13399100</v>
      </c>
      <c r="K274" s="1110"/>
    </row>
    <row r="275" ht="18.75" customHeight="1">
      <c r="A275" s="1110"/>
      <c r="B275" s="1108" t="s">
        <v>9387</v>
      </c>
      <c r="C275" s="1108" t="s">
        <v>9388</v>
      </c>
      <c r="D275" s="1116" t="s">
        <v>972</v>
      </c>
      <c r="E275" s="1116" t="s">
        <v>973</v>
      </c>
      <c r="F275" s="1109">
        <v>0.1</v>
      </c>
      <c r="G275" s="1109">
        <v>0.0</v>
      </c>
      <c r="H275" s="1118">
        <v>1.00375E7</v>
      </c>
      <c r="I275" s="1118">
        <f t="shared" si="1"/>
        <v>9125000</v>
      </c>
      <c r="J275" s="1118">
        <f t="shared" si="2"/>
        <v>10037500</v>
      </c>
      <c r="K275" s="1110"/>
    </row>
    <row r="276" ht="18.75" customHeight="1">
      <c r="A276" s="1110"/>
      <c r="B276" s="1108" t="s">
        <v>9387</v>
      </c>
      <c r="C276" s="1108" t="s">
        <v>9388</v>
      </c>
      <c r="D276" s="1116" t="s">
        <v>9421</v>
      </c>
      <c r="E276" s="1116" t="s">
        <v>9422</v>
      </c>
      <c r="F276" s="1109">
        <v>0.1</v>
      </c>
      <c r="G276" s="1109">
        <v>0.0</v>
      </c>
      <c r="H276" s="1118">
        <v>1.2331E7</v>
      </c>
      <c r="I276" s="1118">
        <f t="shared" si="1"/>
        <v>11210000</v>
      </c>
      <c r="J276" s="1118">
        <f t="shared" si="2"/>
        <v>12331000</v>
      </c>
      <c r="K276" s="1110"/>
    </row>
    <row r="277" ht="18.75" customHeight="1">
      <c r="A277" s="1110"/>
      <c r="B277" s="1108" t="s">
        <v>9387</v>
      </c>
      <c r="C277" s="1108" t="s">
        <v>9388</v>
      </c>
      <c r="D277" s="1116" t="s">
        <v>9423</v>
      </c>
      <c r="E277" s="1116" t="s">
        <v>9424</v>
      </c>
      <c r="F277" s="1109">
        <v>0.1</v>
      </c>
      <c r="G277" s="1109">
        <v>0.0</v>
      </c>
      <c r="H277" s="1118">
        <v>1.1E7</v>
      </c>
      <c r="I277" s="1118">
        <f t="shared" si="1"/>
        <v>10000000</v>
      </c>
      <c r="J277" s="1118">
        <f t="shared" si="2"/>
        <v>11000000</v>
      </c>
      <c r="K277" s="1110"/>
    </row>
    <row r="278" ht="18.75" customHeight="1">
      <c r="A278" s="1110"/>
      <c r="B278" s="1108" t="s">
        <v>9387</v>
      </c>
      <c r="C278" s="1108" t="s">
        <v>9388</v>
      </c>
      <c r="D278" s="1116" t="s">
        <v>9425</v>
      </c>
      <c r="E278" s="1116" t="s">
        <v>9426</v>
      </c>
      <c r="F278" s="1109">
        <v>0.1</v>
      </c>
      <c r="G278" s="1109">
        <v>0.0</v>
      </c>
      <c r="H278" s="1118">
        <v>1.196E7</v>
      </c>
      <c r="I278" s="1118">
        <f t="shared" si="1"/>
        <v>10872730</v>
      </c>
      <c r="J278" s="1118">
        <f t="shared" si="2"/>
        <v>11960000</v>
      </c>
      <c r="K278" s="1110"/>
    </row>
    <row r="279" ht="18.75" customHeight="1">
      <c r="A279" s="1110"/>
      <c r="B279" s="1108" t="s">
        <v>9387</v>
      </c>
      <c r="C279" s="1108" t="s">
        <v>9388</v>
      </c>
      <c r="D279" s="1116" t="s">
        <v>9427</v>
      </c>
      <c r="E279" s="1116" t="s">
        <v>9428</v>
      </c>
      <c r="F279" s="1109">
        <v>0.1</v>
      </c>
      <c r="G279" s="1109">
        <v>0.0</v>
      </c>
      <c r="H279" s="1118">
        <v>1.485E7</v>
      </c>
      <c r="I279" s="1118">
        <f t="shared" si="1"/>
        <v>13500000</v>
      </c>
      <c r="J279" s="1118">
        <f t="shared" si="2"/>
        <v>14850000</v>
      </c>
      <c r="K279" s="1110"/>
    </row>
    <row r="280" ht="18.75" customHeight="1">
      <c r="A280" s="1110"/>
      <c r="B280" s="1108" t="s">
        <v>9387</v>
      </c>
      <c r="C280" s="1108" t="s">
        <v>9388</v>
      </c>
      <c r="D280" s="1116" t="s">
        <v>974</v>
      </c>
      <c r="E280" s="1116" t="s">
        <v>975</v>
      </c>
      <c r="F280" s="1109">
        <v>0.1</v>
      </c>
      <c r="G280" s="1109">
        <v>0.0</v>
      </c>
      <c r="H280" s="1118">
        <v>1.242593E7</v>
      </c>
      <c r="I280" s="1118">
        <f t="shared" si="1"/>
        <v>11296300</v>
      </c>
      <c r="J280" s="1118">
        <f t="shared" si="2"/>
        <v>12425930</v>
      </c>
      <c r="K280" s="1110"/>
    </row>
    <row r="281" ht="18.75" customHeight="1">
      <c r="A281" s="1110"/>
      <c r="B281" s="1108" t="s">
        <v>9387</v>
      </c>
      <c r="C281" s="1108" t="s">
        <v>9388</v>
      </c>
      <c r="D281" s="1116" t="s">
        <v>980</v>
      </c>
      <c r="E281" s="1116" t="s">
        <v>981</v>
      </c>
      <c r="F281" s="1109">
        <v>0.1</v>
      </c>
      <c r="G281" s="1109">
        <v>0.0</v>
      </c>
      <c r="H281" s="1118">
        <v>1.141558E7</v>
      </c>
      <c r="I281" s="1118">
        <f t="shared" si="1"/>
        <v>10377800</v>
      </c>
      <c r="J281" s="1118">
        <f t="shared" si="2"/>
        <v>11415580</v>
      </c>
      <c r="K281" s="1110"/>
    </row>
    <row r="282" ht="18.75" customHeight="1">
      <c r="A282" s="1110"/>
      <c r="B282" s="1108" t="s">
        <v>9387</v>
      </c>
      <c r="C282" s="1108" t="s">
        <v>9388</v>
      </c>
      <c r="D282" s="1116" t="s">
        <v>9429</v>
      </c>
      <c r="E282" s="1116" t="s">
        <v>9430</v>
      </c>
      <c r="F282" s="1109">
        <v>0.1</v>
      </c>
      <c r="G282" s="1109">
        <v>0.0</v>
      </c>
      <c r="H282" s="1118">
        <v>1.1605E7</v>
      </c>
      <c r="I282" s="1118">
        <f t="shared" si="1"/>
        <v>10550000</v>
      </c>
      <c r="J282" s="1118">
        <f t="shared" si="2"/>
        <v>11605000</v>
      </c>
      <c r="K282" s="1110"/>
    </row>
    <row r="283" ht="18.75" customHeight="1">
      <c r="A283" s="1110"/>
      <c r="B283" s="1108" t="s">
        <v>9387</v>
      </c>
      <c r="C283" s="1108" t="s">
        <v>9388</v>
      </c>
      <c r="D283" s="1116" t="s">
        <v>9431</v>
      </c>
      <c r="E283" s="1116" t="s">
        <v>9432</v>
      </c>
      <c r="F283" s="1109">
        <v>0.1</v>
      </c>
      <c r="G283" s="1109">
        <v>0.0</v>
      </c>
      <c r="H283" s="1118">
        <v>9666670.0</v>
      </c>
      <c r="I283" s="1118">
        <f t="shared" si="1"/>
        <v>8787880</v>
      </c>
      <c r="J283" s="1118">
        <f t="shared" si="2"/>
        <v>9666670</v>
      </c>
      <c r="K283" s="1110"/>
    </row>
    <row r="284" ht="18.75" customHeight="1">
      <c r="A284" s="1110"/>
      <c r="B284" s="1108" t="s">
        <v>9387</v>
      </c>
      <c r="C284" s="1108" t="s">
        <v>9388</v>
      </c>
      <c r="D284" s="1116" t="s">
        <v>9433</v>
      </c>
      <c r="E284" s="1116" t="s">
        <v>9434</v>
      </c>
      <c r="F284" s="1109">
        <v>0.1</v>
      </c>
      <c r="G284" s="1109">
        <v>0.0</v>
      </c>
      <c r="H284" s="1118"/>
      <c r="I284" s="1118" t="str">
        <f t="shared" si="1"/>
        <v/>
      </c>
      <c r="J284" s="1118" t="str">
        <f t="shared" si="2"/>
        <v/>
      </c>
      <c r="K284" s="1110"/>
    </row>
    <row r="285" ht="18.75" customHeight="1">
      <c r="A285" s="1110"/>
      <c r="B285" s="1108" t="s">
        <v>9387</v>
      </c>
      <c r="C285" s="1108" t="s">
        <v>9388</v>
      </c>
      <c r="D285" s="1116" t="s">
        <v>9435</v>
      </c>
      <c r="E285" s="1116" t="s">
        <v>9436</v>
      </c>
      <c r="F285" s="1109">
        <v>0.1</v>
      </c>
      <c r="G285" s="1109">
        <v>0.0</v>
      </c>
      <c r="H285" s="1118">
        <v>1.232E7</v>
      </c>
      <c r="I285" s="1118">
        <f t="shared" si="1"/>
        <v>11200000</v>
      </c>
      <c r="J285" s="1118">
        <f t="shared" si="2"/>
        <v>12320000</v>
      </c>
      <c r="K285" s="1110"/>
    </row>
    <row r="286" ht="18.75" customHeight="1">
      <c r="A286" s="1110"/>
      <c r="B286" s="1108" t="s">
        <v>9387</v>
      </c>
      <c r="C286" s="1108" t="s">
        <v>9388</v>
      </c>
      <c r="D286" s="1116" t="s">
        <v>902</v>
      </c>
      <c r="E286" s="1116" t="s">
        <v>903</v>
      </c>
      <c r="F286" s="1109">
        <v>0.1</v>
      </c>
      <c r="G286" s="1109">
        <v>0.0</v>
      </c>
      <c r="H286" s="1118">
        <v>7444360.0</v>
      </c>
      <c r="I286" s="1118">
        <f t="shared" si="1"/>
        <v>6767600</v>
      </c>
      <c r="J286" s="1118">
        <f t="shared" si="2"/>
        <v>7444360</v>
      </c>
      <c r="K286" s="1110"/>
    </row>
    <row r="287" ht="18.75" customHeight="1">
      <c r="A287" s="1110"/>
      <c r="B287" s="1108" t="s">
        <v>9387</v>
      </c>
      <c r="C287" s="1108" t="s">
        <v>9388</v>
      </c>
      <c r="D287" s="1116" t="s">
        <v>9437</v>
      </c>
      <c r="E287" s="1116" t="s">
        <v>9438</v>
      </c>
      <c r="F287" s="1109">
        <v>0.1</v>
      </c>
      <c r="G287" s="1109">
        <v>0.0</v>
      </c>
      <c r="H287" s="1118">
        <v>7368900.0</v>
      </c>
      <c r="I287" s="1118">
        <f t="shared" si="1"/>
        <v>6699000</v>
      </c>
      <c r="J287" s="1118">
        <f t="shared" si="2"/>
        <v>7368900</v>
      </c>
      <c r="K287" s="1110"/>
    </row>
    <row r="288" ht="18.75" customHeight="1">
      <c r="A288" s="1110"/>
      <c r="B288" s="1108" t="s">
        <v>9387</v>
      </c>
      <c r="C288" s="1108" t="s">
        <v>9388</v>
      </c>
      <c r="D288" s="1116" t="s">
        <v>9439</v>
      </c>
      <c r="E288" s="1116" t="s">
        <v>9440</v>
      </c>
      <c r="F288" s="1109">
        <v>0.1</v>
      </c>
      <c r="G288" s="1109">
        <v>0.0</v>
      </c>
      <c r="H288" s="1118">
        <v>7590000.0</v>
      </c>
      <c r="I288" s="1118">
        <f t="shared" si="1"/>
        <v>6900000</v>
      </c>
      <c r="J288" s="1118">
        <f t="shared" si="2"/>
        <v>7590000</v>
      </c>
      <c r="K288" s="1110"/>
    </row>
    <row r="289" ht="18.75" customHeight="1">
      <c r="A289" s="1110"/>
      <c r="B289" s="1108" t="s">
        <v>9387</v>
      </c>
      <c r="C289" s="1108" t="s">
        <v>9388</v>
      </c>
      <c r="D289" s="1116" t="s">
        <v>9441</v>
      </c>
      <c r="E289" s="1116" t="s">
        <v>9442</v>
      </c>
      <c r="F289" s="1109">
        <v>0.1</v>
      </c>
      <c r="G289" s="1109">
        <v>0.0</v>
      </c>
      <c r="H289" s="1118">
        <v>9130000.0</v>
      </c>
      <c r="I289" s="1118">
        <f t="shared" si="1"/>
        <v>8300000</v>
      </c>
      <c r="J289" s="1118">
        <f t="shared" si="2"/>
        <v>9130000</v>
      </c>
      <c r="K289" s="1110"/>
    </row>
    <row r="290" ht="18.75" customHeight="1">
      <c r="A290" s="1110"/>
      <c r="B290" s="1108" t="s">
        <v>9387</v>
      </c>
      <c r="C290" s="1108" t="s">
        <v>9388</v>
      </c>
      <c r="D290" s="1116" t="s">
        <v>9443</v>
      </c>
      <c r="E290" s="1116" t="s">
        <v>9444</v>
      </c>
      <c r="F290" s="1109">
        <v>0.1</v>
      </c>
      <c r="G290" s="1109">
        <v>0.0</v>
      </c>
      <c r="H290" s="1118">
        <v>7969710.0</v>
      </c>
      <c r="I290" s="1118">
        <f t="shared" si="1"/>
        <v>7245190</v>
      </c>
      <c r="J290" s="1118">
        <f t="shared" si="2"/>
        <v>7969710</v>
      </c>
      <c r="K290" s="1110"/>
    </row>
    <row r="291" ht="18.75" customHeight="1">
      <c r="A291" s="1110"/>
      <c r="B291" s="1108" t="s">
        <v>9387</v>
      </c>
      <c r="C291" s="1108" t="s">
        <v>9388</v>
      </c>
      <c r="D291" s="1116" t="s">
        <v>9445</v>
      </c>
      <c r="E291" s="1116" t="s">
        <v>9446</v>
      </c>
      <c r="F291" s="1109">
        <v>0.1</v>
      </c>
      <c r="G291" s="1109">
        <v>0.0</v>
      </c>
      <c r="H291" s="1118">
        <v>9900000.0</v>
      </c>
      <c r="I291" s="1118">
        <f t="shared" si="1"/>
        <v>9000000</v>
      </c>
      <c r="J291" s="1118">
        <f t="shared" si="2"/>
        <v>9900000</v>
      </c>
      <c r="K291" s="1110"/>
    </row>
    <row r="292" ht="18.75" customHeight="1">
      <c r="A292" s="1110"/>
      <c r="B292" s="1108" t="s">
        <v>9387</v>
      </c>
      <c r="C292" s="1108" t="s">
        <v>9388</v>
      </c>
      <c r="D292" s="1116" t="s">
        <v>9447</v>
      </c>
      <c r="E292" s="1116" t="s">
        <v>9448</v>
      </c>
      <c r="F292" s="1109">
        <v>0.1</v>
      </c>
      <c r="G292" s="1109">
        <v>0.0</v>
      </c>
      <c r="H292" s="1118">
        <v>1.87E7</v>
      </c>
      <c r="I292" s="1118">
        <f t="shared" si="1"/>
        <v>17000000</v>
      </c>
      <c r="J292" s="1118">
        <f t="shared" si="2"/>
        <v>18700000</v>
      </c>
      <c r="K292" s="1110"/>
    </row>
    <row r="293" ht="18.75" customHeight="1">
      <c r="A293" s="1110"/>
      <c r="B293" s="1108" t="s">
        <v>9387</v>
      </c>
      <c r="C293" s="1108" t="s">
        <v>9388</v>
      </c>
      <c r="D293" s="1116" t="s">
        <v>9449</v>
      </c>
      <c r="E293" s="1116" t="s">
        <v>9450</v>
      </c>
      <c r="F293" s="1109">
        <v>0.1</v>
      </c>
      <c r="G293" s="1109">
        <v>0.0</v>
      </c>
      <c r="H293" s="1118">
        <v>2.6775E7</v>
      </c>
      <c r="I293" s="1118">
        <f t="shared" si="1"/>
        <v>24340910</v>
      </c>
      <c r="J293" s="1118">
        <f t="shared" si="2"/>
        <v>26775000</v>
      </c>
      <c r="K293" s="1110"/>
    </row>
    <row r="294" ht="18.75" customHeight="1">
      <c r="A294" s="1110"/>
      <c r="B294" s="1108" t="s">
        <v>9387</v>
      </c>
      <c r="C294" s="1108" t="s">
        <v>9388</v>
      </c>
      <c r="D294" s="1116" t="s">
        <v>9451</v>
      </c>
      <c r="E294" s="1116" t="s">
        <v>9452</v>
      </c>
      <c r="F294" s="1109">
        <v>0.1</v>
      </c>
      <c r="G294" s="1109">
        <v>0.0</v>
      </c>
      <c r="H294" s="1118">
        <v>6024590.0</v>
      </c>
      <c r="I294" s="1118">
        <f t="shared" si="1"/>
        <v>5476900</v>
      </c>
      <c r="J294" s="1118">
        <f t="shared" si="2"/>
        <v>6024590</v>
      </c>
      <c r="K294" s="1110"/>
    </row>
    <row r="295" ht="18.75" customHeight="1">
      <c r="A295" s="1110"/>
      <c r="B295" s="1108" t="s">
        <v>9387</v>
      </c>
      <c r="C295" s="1108" t="s">
        <v>9388</v>
      </c>
      <c r="D295" s="1116" t="s">
        <v>904</v>
      </c>
      <c r="E295" s="1116" t="s">
        <v>905</v>
      </c>
      <c r="F295" s="1109">
        <v>0.1</v>
      </c>
      <c r="G295" s="1109">
        <v>0.0</v>
      </c>
      <c r="H295" s="1118">
        <v>6470640.0</v>
      </c>
      <c r="I295" s="1118">
        <f t="shared" si="1"/>
        <v>5882400</v>
      </c>
      <c r="J295" s="1118">
        <f t="shared" si="2"/>
        <v>6470640</v>
      </c>
      <c r="K295" s="1110"/>
    </row>
    <row r="296" ht="18.75" customHeight="1">
      <c r="A296" s="1110"/>
      <c r="B296" s="1108" t="s">
        <v>9387</v>
      </c>
      <c r="C296" s="1108" t="s">
        <v>9388</v>
      </c>
      <c r="D296" s="1116" t="s">
        <v>9453</v>
      </c>
      <c r="E296" s="1116" t="s">
        <v>9454</v>
      </c>
      <c r="F296" s="1109">
        <v>0.1</v>
      </c>
      <c r="G296" s="1109">
        <v>0.0</v>
      </c>
      <c r="H296" s="1118"/>
      <c r="I296" s="1118" t="str">
        <f t="shared" si="1"/>
        <v/>
      </c>
      <c r="J296" s="1118" t="str">
        <f t="shared" si="2"/>
        <v/>
      </c>
      <c r="K296" s="1110"/>
    </row>
    <row r="297" ht="18.75" customHeight="1">
      <c r="A297" s="1110"/>
      <c r="B297" s="1108" t="s">
        <v>9387</v>
      </c>
      <c r="C297" s="1108" t="s">
        <v>9388</v>
      </c>
      <c r="D297" s="1116" t="s">
        <v>9455</v>
      </c>
      <c r="E297" s="1116" t="s">
        <v>9456</v>
      </c>
      <c r="F297" s="1109">
        <v>0.1</v>
      </c>
      <c r="G297" s="1109">
        <v>0.0</v>
      </c>
      <c r="H297" s="1118"/>
      <c r="I297" s="1118" t="str">
        <f t="shared" si="1"/>
        <v/>
      </c>
      <c r="J297" s="1118" t="str">
        <f t="shared" si="2"/>
        <v/>
      </c>
      <c r="K297" s="1110"/>
    </row>
    <row r="298" ht="18.75" customHeight="1">
      <c r="A298" s="1110"/>
      <c r="B298" s="1108" t="s">
        <v>9387</v>
      </c>
      <c r="C298" s="1108" t="s">
        <v>9388</v>
      </c>
      <c r="D298" s="1116" t="s">
        <v>9457</v>
      </c>
      <c r="E298" s="1116" t="s">
        <v>9458</v>
      </c>
      <c r="F298" s="1109">
        <v>0.1</v>
      </c>
      <c r="G298" s="1109">
        <v>0.0</v>
      </c>
      <c r="H298" s="1118">
        <v>8800000.0</v>
      </c>
      <c r="I298" s="1118">
        <f t="shared" si="1"/>
        <v>8000000</v>
      </c>
      <c r="J298" s="1118">
        <f t="shared" si="2"/>
        <v>8800000</v>
      </c>
      <c r="K298" s="1110"/>
    </row>
    <row r="299" ht="18.75" customHeight="1">
      <c r="A299" s="1110"/>
      <c r="B299" s="1108" t="s">
        <v>9387</v>
      </c>
      <c r="C299" s="1108" t="s">
        <v>9388</v>
      </c>
      <c r="D299" s="1116" t="s">
        <v>908</v>
      </c>
      <c r="E299" s="1116" t="s">
        <v>909</v>
      </c>
      <c r="F299" s="1109">
        <v>0.1</v>
      </c>
      <c r="G299" s="1109">
        <v>0.0</v>
      </c>
      <c r="H299" s="1118">
        <v>6620350.0</v>
      </c>
      <c r="I299" s="1118">
        <f t="shared" si="1"/>
        <v>6018500</v>
      </c>
      <c r="J299" s="1118">
        <f t="shared" si="2"/>
        <v>6620350</v>
      </c>
      <c r="K299" s="1110"/>
    </row>
    <row r="300" ht="18.75" customHeight="1">
      <c r="A300" s="1110"/>
      <c r="B300" s="1108" t="s">
        <v>9387</v>
      </c>
      <c r="C300" s="1108" t="s">
        <v>9388</v>
      </c>
      <c r="D300" s="1116" t="s">
        <v>9459</v>
      </c>
      <c r="E300" s="1116" t="s">
        <v>9460</v>
      </c>
      <c r="F300" s="1109">
        <v>0.1</v>
      </c>
      <c r="G300" s="1109">
        <v>0.0</v>
      </c>
      <c r="H300" s="1118">
        <v>7700000.0</v>
      </c>
      <c r="I300" s="1118">
        <f t="shared" si="1"/>
        <v>7000000</v>
      </c>
      <c r="J300" s="1118">
        <f t="shared" si="2"/>
        <v>7700000</v>
      </c>
      <c r="K300" s="1110"/>
    </row>
    <row r="301" ht="18.75" customHeight="1">
      <c r="A301" s="1110"/>
      <c r="B301" s="1108" t="s">
        <v>9387</v>
      </c>
      <c r="C301" s="1108" t="s">
        <v>9388</v>
      </c>
      <c r="D301" s="1116" t="s">
        <v>912</v>
      </c>
      <c r="E301" s="1116" t="s">
        <v>913</v>
      </c>
      <c r="F301" s="1109">
        <v>0.1</v>
      </c>
      <c r="G301" s="1109">
        <v>0.0</v>
      </c>
      <c r="H301" s="1118">
        <v>6470640.0</v>
      </c>
      <c r="I301" s="1118">
        <f t="shared" si="1"/>
        <v>5882400</v>
      </c>
      <c r="J301" s="1118">
        <f t="shared" si="2"/>
        <v>6470640</v>
      </c>
      <c r="K301" s="1110"/>
    </row>
    <row r="302" ht="18.75" customHeight="1">
      <c r="A302" s="1110"/>
      <c r="B302" s="1108" t="s">
        <v>9387</v>
      </c>
      <c r="C302" s="1108" t="s">
        <v>9388</v>
      </c>
      <c r="D302" s="1116" t="s">
        <v>9461</v>
      </c>
      <c r="E302" s="1116" t="s">
        <v>9462</v>
      </c>
      <c r="F302" s="1109">
        <v>0.1</v>
      </c>
      <c r="G302" s="1109">
        <v>0.0</v>
      </c>
      <c r="H302" s="1118"/>
      <c r="I302" s="1118" t="str">
        <f t="shared" si="1"/>
        <v/>
      </c>
      <c r="J302" s="1118" t="str">
        <f t="shared" si="2"/>
        <v/>
      </c>
      <c r="K302" s="1110"/>
    </row>
    <row r="303" ht="18.75" customHeight="1">
      <c r="A303" s="1110"/>
      <c r="B303" s="1108" t="s">
        <v>9387</v>
      </c>
      <c r="C303" s="1108" t="s">
        <v>9388</v>
      </c>
      <c r="D303" s="1116" t="s">
        <v>916</v>
      </c>
      <c r="E303" s="1116" t="s">
        <v>9463</v>
      </c>
      <c r="F303" s="1109">
        <v>0.1</v>
      </c>
      <c r="G303" s="1109">
        <v>0.0</v>
      </c>
      <c r="H303" s="1118">
        <v>1.004971E7</v>
      </c>
      <c r="I303" s="1118">
        <f t="shared" si="1"/>
        <v>9136100</v>
      </c>
      <c r="J303" s="1118">
        <f t="shared" si="2"/>
        <v>10049710</v>
      </c>
      <c r="K303" s="1110"/>
    </row>
    <row r="304" ht="18.75" customHeight="1">
      <c r="A304" s="1110"/>
      <c r="B304" s="1108" t="s">
        <v>9387</v>
      </c>
      <c r="C304" s="1108" t="s">
        <v>9388</v>
      </c>
      <c r="D304" s="1116" t="s">
        <v>9464</v>
      </c>
      <c r="E304" s="1116" t="s">
        <v>9465</v>
      </c>
      <c r="F304" s="1109">
        <v>0.1</v>
      </c>
      <c r="G304" s="1109">
        <v>0.0</v>
      </c>
      <c r="H304" s="1118">
        <v>1.155E7</v>
      </c>
      <c r="I304" s="1118">
        <f t="shared" si="1"/>
        <v>10500000</v>
      </c>
      <c r="J304" s="1118">
        <f t="shared" si="2"/>
        <v>11550000</v>
      </c>
      <c r="K304" s="1110"/>
    </row>
    <row r="305" ht="18.75" customHeight="1">
      <c r="A305" s="1110"/>
      <c r="B305" s="1108" t="s">
        <v>9387</v>
      </c>
      <c r="C305" s="1108" t="s">
        <v>9388</v>
      </c>
      <c r="D305" s="1116" t="s">
        <v>9466</v>
      </c>
      <c r="E305" s="1116" t="s">
        <v>9467</v>
      </c>
      <c r="F305" s="1109">
        <v>0.1</v>
      </c>
      <c r="G305" s="1109">
        <v>0.0</v>
      </c>
      <c r="H305" s="1118">
        <v>2.5E7</v>
      </c>
      <c r="I305" s="1118">
        <f t="shared" si="1"/>
        <v>22727270</v>
      </c>
      <c r="J305" s="1118">
        <f t="shared" si="2"/>
        <v>25000000</v>
      </c>
      <c r="K305" s="1110"/>
    </row>
    <row r="306" ht="18.75" customHeight="1">
      <c r="A306" s="1110"/>
      <c r="B306" s="1108" t="s">
        <v>9387</v>
      </c>
      <c r="C306" s="1108" t="s">
        <v>9388</v>
      </c>
      <c r="D306" s="1116" t="s">
        <v>9468</v>
      </c>
      <c r="E306" s="1116" t="s">
        <v>9469</v>
      </c>
      <c r="F306" s="1109">
        <v>0.1</v>
      </c>
      <c r="G306" s="1109">
        <v>0.0</v>
      </c>
      <c r="H306" s="1118">
        <v>1.43E7</v>
      </c>
      <c r="I306" s="1118">
        <f t="shared" si="1"/>
        <v>13000000</v>
      </c>
      <c r="J306" s="1118">
        <f t="shared" si="2"/>
        <v>14300000</v>
      </c>
      <c r="K306" s="1110"/>
    </row>
    <row r="307" ht="18.75" customHeight="1">
      <c r="A307" s="1110"/>
      <c r="B307" s="1108" t="s">
        <v>9387</v>
      </c>
      <c r="C307" s="1108" t="s">
        <v>9388</v>
      </c>
      <c r="D307" s="1116" t="s">
        <v>9470</v>
      </c>
      <c r="E307" s="1116" t="s">
        <v>9471</v>
      </c>
      <c r="F307" s="1109">
        <v>0.1</v>
      </c>
      <c r="G307" s="1109">
        <v>0.0</v>
      </c>
      <c r="H307" s="1118">
        <v>1.463E7</v>
      </c>
      <c r="I307" s="1118">
        <f t="shared" si="1"/>
        <v>13300000</v>
      </c>
      <c r="J307" s="1118">
        <f t="shared" si="2"/>
        <v>14630000</v>
      </c>
      <c r="K307" s="1110"/>
    </row>
    <row r="308" ht="18.75" customHeight="1">
      <c r="A308" s="1110"/>
      <c r="B308" s="1108" t="s">
        <v>9387</v>
      </c>
      <c r="C308" s="1108" t="s">
        <v>9388</v>
      </c>
      <c r="D308" s="1116" t="s">
        <v>920</v>
      </c>
      <c r="E308" s="1116" t="s">
        <v>921</v>
      </c>
      <c r="F308" s="1109">
        <v>0.1</v>
      </c>
      <c r="G308" s="1109">
        <v>0.0</v>
      </c>
      <c r="H308" s="1118">
        <v>1.525744E7</v>
      </c>
      <c r="I308" s="1118">
        <f t="shared" si="1"/>
        <v>13870400</v>
      </c>
      <c r="J308" s="1118">
        <f t="shared" si="2"/>
        <v>15257440</v>
      </c>
      <c r="K308" s="1110"/>
    </row>
    <row r="309" ht="18.75" customHeight="1">
      <c r="A309" s="1110"/>
      <c r="B309" s="1108" t="s">
        <v>9387</v>
      </c>
      <c r="C309" s="1108" t="s">
        <v>9388</v>
      </c>
      <c r="D309" s="1116" t="s">
        <v>9472</v>
      </c>
      <c r="E309" s="1116" t="s">
        <v>9473</v>
      </c>
      <c r="F309" s="1109">
        <v>0.1</v>
      </c>
      <c r="G309" s="1109">
        <v>0.0</v>
      </c>
      <c r="H309" s="1118">
        <v>1.584E7</v>
      </c>
      <c r="I309" s="1118">
        <f t="shared" si="1"/>
        <v>14400000</v>
      </c>
      <c r="J309" s="1118">
        <f t="shared" si="2"/>
        <v>15840000</v>
      </c>
      <c r="K309" s="1110"/>
    </row>
    <row r="310" ht="18.75" customHeight="1">
      <c r="A310" s="1110"/>
      <c r="B310" s="1108" t="s">
        <v>9387</v>
      </c>
      <c r="C310" s="1108" t="s">
        <v>9388</v>
      </c>
      <c r="D310" s="1116" t="s">
        <v>924</v>
      </c>
      <c r="E310" s="1116" t="s">
        <v>925</v>
      </c>
      <c r="F310" s="1109">
        <v>0.1</v>
      </c>
      <c r="G310" s="1109">
        <v>0.0</v>
      </c>
      <c r="H310" s="1118">
        <v>2.036122E7</v>
      </c>
      <c r="I310" s="1118">
        <f t="shared" si="1"/>
        <v>18510200</v>
      </c>
      <c r="J310" s="1118">
        <f t="shared" si="2"/>
        <v>20361220</v>
      </c>
      <c r="K310" s="1110"/>
    </row>
    <row r="311" ht="18.75" customHeight="1">
      <c r="A311" s="1110"/>
      <c r="B311" s="1108" t="s">
        <v>9387</v>
      </c>
      <c r="C311" s="1108" t="s">
        <v>9388</v>
      </c>
      <c r="D311" s="1116" t="s">
        <v>9474</v>
      </c>
      <c r="E311" s="1116" t="s">
        <v>9475</v>
      </c>
      <c r="F311" s="1109">
        <v>0.1</v>
      </c>
      <c r="G311" s="1109">
        <v>0.0</v>
      </c>
      <c r="H311" s="1118">
        <v>1.98E7</v>
      </c>
      <c r="I311" s="1118">
        <f t="shared" si="1"/>
        <v>18000000</v>
      </c>
      <c r="J311" s="1118">
        <f t="shared" si="2"/>
        <v>19800000</v>
      </c>
      <c r="K311" s="1110"/>
    </row>
    <row r="312" ht="18.75" customHeight="1">
      <c r="A312" s="1110"/>
      <c r="B312" s="1108" t="s">
        <v>9387</v>
      </c>
      <c r="C312" s="1108" t="s">
        <v>9388</v>
      </c>
      <c r="D312" s="1116" t="s">
        <v>932</v>
      </c>
      <c r="E312" s="1116" t="s">
        <v>933</v>
      </c>
      <c r="F312" s="1109">
        <v>0.1</v>
      </c>
      <c r="G312" s="1109">
        <v>0.0</v>
      </c>
      <c r="H312" s="1118">
        <v>8277500.0</v>
      </c>
      <c r="I312" s="1118">
        <f t="shared" si="1"/>
        <v>7525000</v>
      </c>
      <c r="J312" s="1118">
        <f t="shared" si="2"/>
        <v>8277500</v>
      </c>
      <c r="K312" s="1110"/>
    </row>
    <row r="313" ht="18.75" customHeight="1">
      <c r="A313" s="1110"/>
      <c r="B313" s="1108" t="s">
        <v>9387</v>
      </c>
      <c r="C313" s="1108" t="s">
        <v>9388</v>
      </c>
      <c r="D313" s="1116" t="s">
        <v>9476</v>
      </c>
      <c r="E313" s="1116" t="s">
        <v>9477</v>
      </c>
      <c r="F313" s="1109">
        <v>0.1</v>
      </c>
      <c r="G313" s="1109">
        <v>0.0</v>
      </c>
      <c r="H313" s="1118">
        <v>1.65E7</v>
      </c>
      <c r="I313" s="1118">
        <f t="shared" si="1"/>
        <v>15000000</v>
      </c>
      <c r="J313" s="1118">
        <f t="shared" si="2"/>
        <v>16500000</v>
      </c>
      <c r="K313" s="1110"/>
    </row>
    <row r="314" ht="18.75" customHeight="1">
      <c r="A314" s="1110"/>
      <c r="B314" s="1108" t="s">
        <v>9387</v>
      </c>
      <c r="C314" s="1108" t="s">
        <v>9388</v>
      </c>
      <c r="D314" s="1116" t="s">
        <v>934</v>
      </c>
      <c r="E314" s="1116" t="s">
        <v>935</v>
      </c>
      <c r="F314" s="1109">
        <v>0.1</v>
      </c>
      <c r="G314" s="1109">
        <v>0.0</v>
      </c>
      <c r="H314" s="1118">
        <v>1.717023E7</v>
      </c>
      <c r="I314" s="1118">
        <f t="shared" si="1"/>
        <v>15609300</v>
      </c>
      <c r="J314" s="1118">
        <f t="shared" si="2"/>
        <v>17170230</v>
      </c>
      <c r="K314" s="1110"/>
    </row>
    <row r="315" ht="18.75" customHeight="1">
      <c r="A315" s="1110"/>
      <c r="B315" s="1108" t="s">
        <v>9387</v>
      </c>
      <c r="C315" s="1108" t="s">
        <v>9388</v>
      </c>
      <c r="D315" s="1116" t="s">
        <v>939</v>
      </c>
      <c r="E315" s="1116" t="s">
        <v>940</v>
      </c>
      <c r="F315" s="1109">
        <v>0.1</v>
      </c>
      <c r="G315" s="1109">
        <v>0.0</v>
      </c>
      <c r="H315" s="1118">
        <v>1.710093E7</v>
      </c>
      <c r="I315" s="1118">
        <f t="shared" si="1"/>
        <v>15546300</v>
      </c>
      <c r="J315" s="1118">
        <f t="shared" si="2"/>
        <v>17100930</v>
      </c>
      <c r="K315" s="1110"/>
    </row>
    <row r="316" ht="18.75" customHeight="1">
      <c r="A316" s="1110"/>
      <c r="B316" s="1108" t="s">
        <v>9387</v>
      </c>
      <c r="C316" s="1108" t="s">
        <v>9388</v>
      </c>
      <c r="D316" s="1116" t="s">
        <v>9478</v>
      </c>
      <c r="E316" s="1116" t="s">
        <v>9479</v>
      </c>
      <c r="F316" s="1109">
        <v>0.1</v>
      </c>
      <c r="G316" s="1109">
        <v>0.0</v>
      </c>
      <c r="H316" s="1118">
        <v>1.87E7</v>
      </c>
      <c r="I316" s="1118">
        <f t="shared" si="1"/>
        <v>17000000</v>
      </c>
      <c r="J316" s="1118">
        <f t="shared" si="2"/>
        <v>18700000</v>
      </c>
      <c r="K316" s="1110"/>
    </row>
    <row r="317" ht="18.75" customHeight="1">
      <c r="A317" s="1110"/>
      <c r="B317" s="1108" t="s">
        <v>9387</v>
      </c>
      <c r="C317" s="1108" t="s">
        <v>9388</v>
      </c>
      <c r="D317" s="1116" t="s">
        <v>9480</v>
      </c>
      <c r="E317" s="1116" t="s">
        <v>9481</v>
      </c>
      <c r="F317" s="1109">
        <v>0.1</v>
      </c>
      <c r="G317" s="1109">
        <v>0.0</v>
      </c>
      <c r="H317" s="1118">
        <v>1.960001E7</v>
      </c>
      <c r="I317" s="1118">
        <f t="shared" si="1"/>
        <v>17818190</v>
      </c>
      <c r="J317" s="1118">
        <f t="shared" si="2"/>
        <v>19600010</v>
      </c>
      <c r="K317" s="1110"/>
    </row>
    <row r="318" ht="18.75" customHeight="1">
      <c r="A318" s="1110"/>
      <c r="B318" s="1108" t="s">
        <v>9387</v>
      </c>
      <c r="C318" s="1108" t="s">
        <v>9388</v>
      </c>
      <c r="D318" s="1116" t="s">
        <v>945</v>
      </c>
      <c r="E318" s="1116" t="s">
        <v>946</v>
      </c>
      <c r="F318" s="1109">
        <v>0.1</v>
      </c>
      <c r="G318" s="1109">
        <v>0.0</v>
      </c>
      <c r="H318" s="1118">
        <v>2.591116E7</v>
      </c>
      <c r="I318" s="1118">
        <f t="shared" si="1"/>
        <v>23555600</v>
      </c>
      <c r="J318" s="1118">
        <f t="shared" si="2"/>
        <v>25911160</v>
      </c>
      <c r="K318" s="1110"/>
    </row>
    <row r="319" ht="18.75" customHeight="1">
      <c r="A319" s="1110"/>
      <c r="B319" s="1108" t="s">
        <v>9387</v>
      </c>
      <c r="C319" s="1108" t="s">
        <v>9388</v>
      </c>
      <c r="D319" s="1116" t="s">
        <v>947</v>
      </c>
      <c r="E319" s="1116" t="s">
        <v>948</v>
      </c>
      <c r="F319" s="1109">
        <v>0.1</v>
      </c>
      <c r="G319" s="1109">
        <v>0.0</v>
      </c>
      <c r="H319" s="1118">
        <v>2.52593E7</v>
      </c>
      <c r="I319" s="1118">
        <f t="shared" si="1"/>
        <v>22963000</v>
      </c>
      <c r="J319" s="1118">
        <f t="shared" si="2"/>
        <v>25259300</v>
      </c>
      <c r="K319" s="1110"/>
    </row>
    <row r="320" ht="18.75" customHeight="1">
      <c r="A320" s="1110"/>
      <c r="B320" s="1108" t="s">
        <v>9387</v>
      </c>
      <c r="C320" s="1108" t="s">
        <v>9388</v>
      </c>
      <c r="D320" s="1116" t="s">
        <v>9482</v>
      </c>
      <c r="E320" s="1116" t="s">
        <v>9483</v>
      </c>
      <c r="F320" s="1109">
        <v>0.1</v>
      </c>
      <c r="G320" s="1109">
        <v>0.0</v>
      </c>
      <c r="H320" s="1118">
        <v>2.710015E7</v>
      </c>
      <c r="I320" s="1118">
        <f t="shared" si="1"/>
        <v>24636500</v>
      </c>
      <c r="J320" s="1118">
        <f t="shared" si="2"/>
        <v>27100150</v>
      </c>
      <c r="K320" s="1110"/>
    </row>
    <row r="321" ht="18.75" customHeight="1">
      <c r="A321" s="1110"/>
      <c r="B321" s="1108" t="s">
        <v>9387</v>
      </c>
      <c r="C321" s="1108" t="s">
        <v>9388</v>
      </c>
      <c r="D321" s="1116" t="s">
        <v>9484</v>
      </c>
      <c r="E321" s="1116" t="s">
        <v>9485</v>
      </c>
      <c r="F321" s="1109">
        <v>0.1</v>
      </c>
      <c r="G321" s="1109">
        <v>0.0</v>
      </c>
      <c r="H321" s="1118">
        <v>2.587651E7</v>
      </c>
      <c r="I321" s="1118">
        <f t="shared" si="1"/>
        <v>23524100</v>
      </c>
      <c r="J321" s="1118">
        <f t="shared" si="2"/>
        <v>25876510</v>
      </c>
      <c r="K321" s="1110"/>
    </row>
    <row r="322" ht="18.75" customHeight="1">
      <c r="A322" s="1110"/>
      <c r="B322" s="1108" t="s">
        <v>9387</v>
      </c>
      <c r="C322" s="1108" t="s">
        <v>9388</v>
      </c>
      <c r="D322" s="1116" t="s">
        <v>9486</v>
      </c>
      <c r="E322" s="1116" t="s">
        <v>9487</v>
      </c>
      <c r="F322" s="1109">
        <v>0.1</v>
      </c>
      <c r="G322" s="1109">
        <v>0.0</v>
      </c>
      <c r="H322" s="1118">
        <v>3.245E7</v>
      </c>
      <c r="I322" s="1118">
        <f t="shared" si="1"/>
        <v>29500000</v>
      </c>
      <c r="J322" s="1118">
        <f t="shared" si="2"/>
        <v>32450000</v>
      </c>
      <c r="K322" s="1110"/>
    </row>
    <row r="323" ht="18.75" customHeight="1">
      <c r="A323" s="1110"/>
      <c r="B323" s="1108" t="s">
        <v>9387</v>
      </c>
      <c r="C323" s="1108" t="s">
        <v>9388</v>
      </c>
      <c r="D323" s="1116" t="s">
        <v>9488</v>
      </c>
      <c r="E323" s="1116" t="s">
        <v>9489</v>
      </c>
      <c r="F323" s="1109">
        <v>0.1</v>
      </c>
      <c r="G323" s="1109">
        <v>0.0</v>
      </c>
      <c r="H323" s="1118"/>
      <c r="I323" s="1118" t="str">
        <f t="shared" si="1"/>
        <v/>
      </c>
      <c r="J323" s="1118" t="str">
        <f t="shared" si="2"/>
        <v/>
      </c>
      <c r="K323" s="1110"/>
    </row>
    <row r="324" ht="18.75" customHeight="1">
      <c r="A324" s="1110"/>
      <c r="B324" s="1108" t="s">
        <v>9387</v>
      </c>
      <c r="C324" s="1108" t="s">
        <v>9388</v>
      </c>
      <c r="D324" s="1116" t="s">
        <v>9490</v>
      </c>
      <c r="E324" s="1116" t="s">
        <v>9491</v>
      </c>
      <c r="F324" s="1109">
        <v>0.1</v>
      </c>
      <c r="G324" s="1109">
        <v>0.0</v>
      </c>
      <c r="H324" s="1118"/>
      <c r="I324" s="1118" t="str">
        <f t="shared" si="1"/>
        <v/>
      </c>
      <c r="J324" s="1118" t="str">
        <f t="shared" si="2"/>
        <v/>
      </c>
      <c r="K324" s="1110"/>
    </row>
    <row r="325" ht="18.75" customHeight="1">
      <c r="A325" s="1110"/>
      <c r="B325" s="1108" t="s">
        <v>9387</v>
      </c>
      <c r="C325" s="1108" t="s">
        <v>9388</v>
      </c>
      <c r="D325" s="1116" t="s">
        <v>9492</v>
      </c>
      <c r="E325" s="1116" t="s">
        <v>9493</v>
      </c>
      <c r="F325" s="1109">
        <v>0.1</v>
      </c>
      <c r="G325" s="1109">
        <v>0.0</v>
      </c>
      <c r="H325" s="1118"/>
      <c r="I325" s="1118" t="str">
        <f t="shared" si="1"/>
        <v/>
      </c>
      <c r="J325" s="1118" t="str">
        <f t="shared" si="2"/>
        <v/>
      </c>
      <c r="K325" s="1110"/>
    </row>
    <row r="326" ht="18.75" customHeight="1">
      <c r="A326" s="1110"/>
      <c r="B326" s="1108" t="s">
        <v>9387</v>
      </c>
      <c r="C326" s="1108" t="s">
        <v>9388</v>
      </c>
      <c r="D326" s="1116" t="s">
        <v>968</v>
      </c>
      <c r="E326" s="1116" t="s">
        <v>969</v>
      </c>
      <c r="F326" s="1109">
        <v>0.1</v>
      </c>
      <c r="G326" s="1109">
        <v>0.0</v>
      </c>
      <c r="H326" s="1118">
        <v>1.024628E7</v>
      </c>
      <c r="I326" s="1118">
        <f t="shared" si="1"/>
        <v>9314800</v>
      </c>
      <c r="J326" s="1118">
        <f t="shared" si="2"/>
        <v>10246280</v>
      </c>
      <c r="K326" s="1110"/>
    </row>
    <row r="327" ht="18.75" customHeight="1">
      <c r="A327" s="1110"/>
      <c r="B327" s="1108" t="s">
        <v>9387</v>
      </c>
      <c r="C327" s="1108" t="s">
        <v>9388</v>
      </c>
      <c r="D327" s="1116" t="s">
        <v>9494</v>
      </c>
      <c r="E327" s="1116" t="s">
        <v>9495</v>
      </c>
      <c r="F327" s="1109">
        <v>0.1</v>
      </c>
      <c r="G327" s="1109">
        <v>0.0</v>
      </c>
      <c r="H327" s="1118">
        <v>1.066251E7</v>
      </c>
      <c r="I327" s="1118">
        <f t="shared" si="1"/>
        <v>9693190</v>
      </c>
      <c r="J327" s="1118">
        <f t="shared" si="2"/>
        <v>10662510</v>
      </c>
      <c r="K327" s="1110"/>
    </row>
    <row r="328" ht="18.75" customHeight="1">
      <c r="A328" s="1110"/>
      <c r="B328" s="1108" t="s">
        <v>9387</v>
      </c>
      <c r="C328" s="1108" t="s">
        <v>9388</v>
      </c>
      <c r="D328" s="1116" t="s">
        <v>9496</v>
      </c>
      <c r="E328" s="1116" t="s">
        <v>9497</v>
      </c>
      <c r="F328" s="1109">
        <v>0.1</v>
      </c>
      <c r="G328" s="1109">
        <v>0.0</v>
      </c>
      <c r="H328" s="1118">
        <v>1.21E7</v>
      </c>
      <c r="I328" s="1118">
        <f t="shared" si="1"/>
        <v>11000000</v>
      </c>
      <c r="J328" s="1118">
        <f t="shared" si="2"/>
        <v>12100000</v>
      </c>
      <c r="K328" s="1110"/>
    </row>
    <row r="329" ht="18.75" customHeight="1">
      <c r="A329" s="1110"/>
      <c r="B329" s="1108" t="s">
        <v>9387</v>
      </c>
      <c r="C329" s="1108" t="s">
        <v>9388</v>
      </c>
      <c r="D329" s="1116" t="s">
        <v>982</v>
      </c>
      <c r="E329" s="1116" t="s">
        <v>983</v>
      </c>
      <c r="F329" s="1109">
        <v>0.1</v>
      </c>
      <c r="G329" s="1109">
        <v>0.0</v>
      </c>
      <c r="H329" s="1118">
        <v>1.233122E7</v>
      </c>
      <c r="I329" s="1118">
        <f t="shared" si="1"/>
        <v>11210200</v>
      </c>
      <c r="J329" s="1118">
        <f t="shared" si="2"/>
        <v>12331220</v>
      </c>
      <c r="K329" s="1110"/>
    </row>
    <row r="330" ht="18.75" customHeight="1">
      <c r="A330" s="1110"/>
      <c r="B330" s="1108" t="s">
        <v>9387</v>
      </c>
      <c r="C330" s="1108" t="s">
        <v>9388</v>
      </c>
      <c r="D330" s="1116" t="s">
        <v>9498</v>
      </c>
      <c r="E330" s="1116" t="s">
        <v>9499</v>
      </c>
      <c r="F330" s="1109">
        <v>0.1</v>
      </c>
      <c r="G330" s="1109">
        <v>0.0</v>
      </c>
      <c r="H330" s="1118">
        <v>1.264966E7</v>
      </c>
      <c r="I330" s="1118">
        <f t="shared" si="1"/>
        <v>11499690</v>
      </c>
      <c r="J330" s="1118">
        <f t="shared" si="2"/>
        <v>12649660</v>
      </c>
      <c r="K330" s="1110"/>
    </row>
    <row r="331" ht="18.75" customHeight="1">
      <c r="A331" s="1110"/>
      <c r="B331" s="1108" t="s">
        <v>9387</v>
      </c>
      <c r="C331" s="1108" t="s">
        <v>9388</v>
      </c>
      <c r="D331" s="1116" t="s">
        <v>9500</v>
      </c>
      <c r="E331" s="1116" t="s">
        <v>9501</v>
      </c>
      <c r="F331" s="1109">
        <v>0.1</v>
      </c>
      <c r="G331" s="1109">
        <v>0.0</v>
      </c>
      <c r="H331" s="1118">
        <v>1.43E7</v>
      </c>
      <c r="I331" s="1118">
        <f t="shared" si="1"/>
        <v>13000000</v>
      </c>
      <c r="J331" s="1118">
        <f t="shared" si="2"/>
        <v>14300000</v>
      </c>
      <c r="K331" s="1110"/>
    </row>
    <row r="332" ht="18.75" customHeight="1">
      <c r="A332" s="1110"/>
      <c r="B332" s="1108" t="s">
        <v>9387</v>
      </c>
      <c r="C332" s="1108" t="s">
        <v>9388</v>
      </c>
      <c r="D332" s="1116" t="s">
        <v>9502</v>
      </c>
      <c r="E332" s="1116" t="s">
        <v>9503</v>
      </c>
      <c r="F332" s="1109">
        <v>0.1</v>
      </c>
      <c r="G332" s="1109">
        <v>0.0</v>
      </c>
      <c r="H332" s="1118">
        <v>1.415436E7</v>
      </c>
      <c r="I332" s="1118">
        <f t="shared" si="1"/>
        <v>12867600</v>
      </c>
      <c r="J332" s="1118">
        <f t="shared" si="2"/>
        <v>14154360</v>
      </c>
      <c r="K332" s="1110"/>
    </row>
    <row r="333" ht="18.75" customHeight="1">
      <c r="A333" s="1110"/>
      <c r="B333" s="1108" t="s">
        <v>9387</v>
      </c>
      <c r="C333" s="1108" t="s">
        <v>9388</v>
      </c>
      <c r="D333" s="1116" t="s">
        <v>994</v>
      </c>
      <c r="E333" s="1116" t="s">
        <v>995</v>
      </c>
      <c r="F333" s="1109">
        <v>0.1</v>
      </c>
      <c r="G333" s="1109">
        <v>0.0</v>
      </c>
      <c r="H333" s="1118">
        <v>1.680558E7</v>
      </c>
      <c r="I333" s="1118">
        <f t="shared" si="1"/>
        <v>15277800</v>
      </c>
      <c r="J333" s="1118">
        <f t="shared" si="2"/>
        <v>16805580</v>
      </c>
      <c r="K333" s="1110"/>
    </row>
    <row r="334" ht="18.75" customHeight="1">
      <c r="A334" s="1110"/>
      <c r="B334" s="1108" t="s">
        <v>9387</v>
      </c>
      <c r="C334" s="1108" t="s">
        <v>9388</v>
      </c>
      <c r="D334" s="1116" t="s">
        <v>990</v>
      </c>
      <c r="E334" s="1116" t="s">
        <v>991</v>
      </c>
      <c r="F334" s="1109">
        <v>0.1</v>
      </c>
      <c r="G334" s="1109">
        <v>0.0</v>
      </c>
      <c r="H334" s="1118">
        <v>1.517593E7</v>
      </c>
      <c r="I334" s="1118">
        <f t="shared" si="1"/>
        <v>13796300</v>
      </c>
      <c r="J334" s="1118">
        <f t="shared" si="2"/>
        <v>15175930</v>
      </c>
      <c r="K334" s="1110"/>
    </row>
    <row r="335" ht="18.75" customHeight="1">
      <c r="A335" s="1110"/>
      <c r="B335" s="1108" t="s">
        <v>9387</v>
      </c>
      <c r="C335" s="1108" t="s">
        <v>9388</v>
      </c>
      <c r="D335" s="1116" t="s">
        <v>999</v>
      </c>
      <c r="E335" s="1116" t="s">
        <v>1000</v>
      </c>
      <c r="F335" s="1109">
        <v>0.1</v>
      </c>
      <c r="G335" s="1109">
        <v>0.0</v>
      </c>
      <c r="H335" s="1118">
        <v>1.639616E7</v>
      </c>
      <c r="I335" s="1118">
        <f t="shared" si="1"/>
        <v>14905600</v>
      </c>
      <c r="J335" s="1118">
        <f t="shared" si="2"/>
        <v>16396160</v>
      </c>
      <c r="K335" s="1110"/>
    </row>
    <row r="336" ht="18.75" customHeight="1">
      <c r="A336" s="1110"/>
      <c r="B336" s="1108" t="s">
        <v>9387</v>
      </c>
      <c r="C336" s="1108" t="s">
        <v>9388</v>
      </c>
      <c r="D336" s="1116" t="s">
        <v>986</v>
      </c>
      <c r="E336" s="1116" t="s">
        <v>987</v>
      </c>
      <c r="F336" s="1109">
        <v>0.1</v>
      </c>
      <c r="G336" s="1109">
        <v>0.0</v>
      </c>
      <c r="H336" s="1118">
        <v>1.719157E7</v>
      </c>
      <c r="I336" s="1118">
        <f t="shared" si="1"/>
        <v>15628700</v>
      </c>
      <c r="J336" s="1118">
        <f t="shared" si="2"/>
        <v>17191570</v>
      </c>
      <c r="K336" s="1110"/>
    </row>
    <row r="337" ht="18.75" customHeight="1">
      <c r="A337" s="1110"/>
      <c r="B337" s="1108" t="s">
        <v>9387</v>
      </c>
      <c r="C337" s="1108" t="s">
        <v>9504</v>
      </c>
      <c r="D337" s="1116" t="s">
        <v>815</v>
      </c>
      <c r="E337" s="1116" t="s">
        <v>816</v>
      </c>
      <c r="F337" s="1109">
        <v>0.1</v>
      </c>
      <c r="G337" s="1109">
        <v>0.0</v>
      </c>
      <c r="H337" s="1118">
        <v>1.031756E7</v>
      </c>
      <c r="I337" s="1118">
        <f t="shared" si="1"/>
        <v>9379600</v>
      </c>
      <c r="J337" s="1118">
        <f t="shared" si="2"/>
        <v>10317560</v>
      </c>
      <c r="K337" s="1110"/>
    </row>
    <row r="338" ht="18.75" customHeight="1">
      <c r="A338" s="1110"/>
      <c r="B338" s="1108" t="s">
        <v>9387</v>
      </c>
      <c r="C338" s="1108" t="s">
        <v>9504</v>
      </c>
      <c r="D338" s="1116" t="s">
        <v>811</v>
      </c>
      <c r="E338" s="1116" t="s">
        <v>812</v>
      </c>
      <c r="F338" s="1109">
        <v>0.1</v>
      </c>
      <c r="G338" s="1109">
        <v>0.0</v>
      </c>
      <c r="H338" s="1118">
        <v>9502790.0</v>
      </c>
      <c r="I338" s="1118">
        <f t="shared" si="1"/>
        <v>8638900</v>
      </c>
      <c r="J338" s="1118">
        <f t="shared" si="2"/>
        <v>9502790</v>
      </c>
      <c r="K338" s="1110"/>
    </row>
    <row r="339" ht="18.75" customHeight="1">
      <c r="A339" s="1110"/>
      <c r="B339" s="1108" t="s">
        <v>9387</v>
      </c>
      <c r="C339" s="1108" t="s">
        <v>9504</v>
      </c>
      <c r="D339" s="1116" t="s">
        <v>819</v>
      </c>
      <c r="E339" s="1116" t="s">
        <v>820</v>
      </c>
      <c r="F339" s="1109">
        <v>0.1</v>
      </c>
      <c r="G339" s="1109">
        <v>0.0</v>
      </c>
      <c r="H339" s="1118">
        <v>9820580.0</v>
      </c>
      <c r="I339" s="1118">
        <f t="shared" si="1"/>
        <v>8927800</v>
      </c>
      <c r="J339" s="1118">
        <f t="shared" si="2"/>
        <v>9820580</v>
      </c>
      <c r="K339" s="1110"/>
    </row>
    <row r="340" ht="18.75" customHeight="1">
      <c r="A340" s="1110"/>
      <c r="B340" s="1108" t="s">
        <v>9387</v>
      </c>
      <c r="C340" s="1108" t="s">
        <v>9504</v>
      </c>
      <c r="D340" s="1116" t="s">
        <v>823</v>
      </c>
      <c r="E340" s="1116" t="s">
        <v>824</v>
      </c>
      <c r="F340" s="1109">
        <v>0.1</v>
      </c>
      <c r="G340" s="1109">
        <v>0.0</v>
      </c>
      <c r="H340" s="1118">
        <v>8206220.0</v>
      </c>
      <c r="I340" s="1118">
        <f t="shared" si="1"/>
        <v>7460200</v>
      </c>
      <c r="J340" s="1118">
        <f t="shared" si="2"/>
        <v>8206220</v>
      </c>
      <c r="K340" s="1110"/>
    </row>
    <row r="341" ht="18.75" customHeight="1">
      <c r="A341" s="1110"/>
      <c r="B341" s="1108" t="s">
        <v>9387</v>
      </c>
      <c r="C341" s="1108" t="s">
        <v>9504</v>
      </c>
      <c r="D341" s="1116" t="s">
        <v>9505</v>
      </c>
      <c r="E341" s="1116" t="s">
        <v>9506</v>
      </c>
      <c r="F341" s="1109">
        <v>0.1</v>
      </c>
      <c r="G341" s="1109">
        <v>0.0</v>
      </c>
      <c r="H341" s="1118"/>
      <c r="I341" s="1118" t="str">
        <f t="shared" si="1"/>
        <v/>
      </c>
      <c r="J341" s="1118" t="str">
        <f t="shared" si="2"/>
        <v/>
      </c>
      <c r="K341" s="1110"/>
    </row>
    <row r="342" ht="18.75" customHeight="1">
      <c r="A342" s="1110"/>
      <c r="B342" s="1108" t="s">
        <v>9387</v>
      </c>
      <c r="C342" s="1108" t="s">
        <v>9504</v>
      </c>
      <c r="D342" s="1116" t="s">
        <v>9507</v>
      </c>
      <c r="E342" s="1116" t="s">
        <v>9508</v>
      </c>
      <c r="F342" s="1109">
        <v>0.1</v>
      </c>
      <c r="G342" s="1109">
        <v>0.0</v>
      </c>
      <c r="H342" s="1118">
        <v>2.359756E7</v>
      </c>
      <c r="I342" s="1118">
        <f t="shared" si="1"/>
        <v>21452330</v>
      </c>
      <c r="J342" s="1118">
        <f t="shared" si="2"/>
        <v>23597560</v>
      </c>
      <c r="K342" s="1110"/>
    </row>
    <row r="343" ht="18.75" customHeight="1">
      <c r="A343" s="1110"/>
      <c r="B343" s="1108" t="s">
        <v>9387</v>
      </c>
      <c r="C343" s="1108" t="s">
        <v>9504</v>
      </c>
      <c r="D343" s="1116" t="s">
        <v>829</v>
      </c>
      <c r="E343" s="1116" t="s">
        <v>830</v>
      </c>
      <c r="F343" s="1109">
        <v>0.1</v>
      </c>
      <c r="G343" s="1109">
        <v>0.0</v>
      </c>
      <c r="H343" s="1118">
        <v>3.333913E7</v>
      </c>
      <c r="I343" s="1118">
        <f t="shared" si="1"/>
        <v>30308300</v>
      </c>
      <c r="J343" s="1118">
        <f t="shared" si="2"/>
        <v>33339130</v>
      </c>
      <c r="K343" s="1110"/>
    </row>
    <row r="344" ht="18.75" customHeight="1">
      <c r="A344" s="1110"/>
      <c r="B344" s="1108" t="s">
        <v>9387</v>
      </c>
      <c r="C344" s="1108" t="s">
        <v>9504</v>
      </c>
      <c r="D344" s="1116" t="s">
        <v>9509</v>
      </c>
      <c r="E344" s="1116" t="s">
        <v>9510</v>
      </c>
      <c r="F344" s="1109">
        <v>0.1</v>
      </c>
      <c r="G344" s="1109">
        <v>0.0</v>
      </c>
      <c r="H344" s="1118">
        <v>2.75E7</v>
      </c>
      <c r="I344" s="1118">
        <f t="shared" si="1"/>
        <v>25000000</v>
      </c>
      <c r="J344" s="1118">
        <f t="shared" si="2"/>
        <v>27500000</v>
      </c>
      <c r="K344" s="1110"/>
    </row>
    <row r="345" ht="18.75" customHeight="1">
      <c r="A345" s="1110"/>
      <c r="B345" s="1108" t="s">
        <v>9387</v>
      </c>
      <c r="C345" s="1108" t="s">
        <v>9504</v>
      </c>
      <c r="D345" s="1116" t="s">
        <v>833</v>
      </c>
      <c r="E345" s="1116" t="s">
        <v>834</v>
      </c>
      <c r="F345" s="1109">
        <v>0.1</v>
      </c>
      <c r="G345" s="1109">
        <v>0.0</v>
      </c>
      <c r="H345" s="1118">
        <v>2.609541E7</v>
      </c>
      <c r="I345" s="1118">
        <f t="shared" si="1"/>
        <v>23723100</v>
      </c>
      <c r="J345" s="1118">
        <f t="shared" si="2"/>
        <v>26095410</v>
      </c>
      <c r="K345" s="1110"/>
    </row>
    <row r="346" ht="18.75" customHeight="1">
      <c r="A346" s="1110"/>
      <c r="B346" s="1108" t="s">
        <v>9387</v>
      </c>
      <c r="C346" s="1108" t="s">
        <v>9504</v>
      </c>
      <c r="D346" s="1116" t="s">
        <v>9511</v>
      </c>
      <c r="E346" s="1116" t="s">
        <v>9512</v>
      </c>
      <c r="F346" s="1109">
        <v>0.1</v>
      </c>
      <c r="G346" s="1109">
        <v>0.0</v>
      </c>
      <c r="H346" s="1118">
        <v>3.74E7</v>
      </c>
      <c r="I346" s="1118">
        <f t="shared" si="1"/>
        <v>34000000</v>
      </c>
      <c r="J346" s="1118">
        <f t="shared" si="2"/>
        <v>37400000</v>
      </c>
      <c r="K346" s="1110"/>
    </row>
    <row r="347" ht="18.75" customHeight="1">
      <c r="A347" s="1110"/>
      <c r="B347" s="1108" t="s">
        <v>9387</v>
      </c>
      <c r="C347" s="1108" t="s">
        <v>9504</v>
      </c>
      <c r="D347" s="1116" t="s">
        <v>9513</v>
      </c>
      <c r="E347" s="1116" t="s">
        <v>9514</v>
      </c>
      <c r="F347" s="1109">
        <v>0.1</v>
      </c>
      <c r="G347" s="1109">
        <v>0.0</v>
      </c>
      <c r="H347" s="1118"/>
      <c r="I347" s="1118" t="str">
        <f t="shared" si="1"/>
        <v/>
      </c>
      <c r="J347" s="1118" t="str">
        <f t="shared" si="2"/>
        <v/>
      </c>
      <c r="K347" s="1110"/>
    </row>
    <row r="348" ht="18.75" customHeight="1">
      <c r="A348" s="1110"/>
      <c r="B348" s="1108" t="s">
        <v>9387</v>
      </c>
      <c r="C348" s="1108" t="s">
        <v>9504</v>
      </c>
      <c r="D348" s="1116" t="s">
        <v>9515</v>
      </c>
      <c r="E348" s="1116" t="s">
        <v>9516</v>
      </c>
      <c r="F348" s="1109">
        <v>0.1</v>
      </c>
      <c r="G348" s="1109">
        <v>0.0</v>
      </c>
      <c r="H348" s="1118">
        <v>1.045E7</v>
      </c>
      <c r="I348" s="1118">
        <f t="shared" si="1"/>
        <v>9500000</v>
      </c>
      <c r="J348" s="1118">
        <f t="shared" si="2"/>
        <v>10450000</v>
      </c>
      <c r="K348" s="1110"/>
    </row>
    <row r="349" ht="18.75" customHeight="1">
      <c r="A349" s="1110"/>
      <c r="B349" s="1108" t="s">
        <v>9387</v>
      </c>
      <c r="C349" s="1108" t="s">
        <v>9504</v>
      </c>
      <c r="D349" s="1116" t="s">
        <v>9517</v>
      </c>
      <c r="E349" s="1116" t="s">
        <v>9518</v>
      </c>
      <c r="F349" s="1109">
        <v>0.1</v>
      </c>
      <c r="G349" s="1109">
        <v>0.0</v>
      </c>
      <c r="H349" s="1118">
        <v>1.00925E7</v>
      </c>
      <c r="I349" s="1118">
        <f t="shared" si="1"/>
        <v>9175000</v>
      </c>
      <c r="J349" s="1118">
        <f t="shared" si="2"/>
        <v>10092500</v>
      </c>
      <c r="K349" s="1110"/>
    </row>
    <row r="350" ht="18.75" customHeight="1">
      <c r="A350" s="1110"/>
      <c r="B350" s="1108" t="s">
        <v>9387</v>
      </c>
      <c r="C350" s="1108" t="s">
        <v>9504</v>
      </c>
      <c r="D350" s="1116" t="s">
        <v>9519</v>
      </c>
      <c r="E350" s="1116" t="s">
        <v>9520</v>
      </c>
      <c r="F350" s="1109">
        <v>0.1</v>
      </c>
      <c r="G350" s="1109">
        <v>0.0</v>
      </c>
      <c r="H350" s="1118">
        <v>1.1385E7</v>
      </c>
      <c r="I350" s="1118">
        <f t="shared" si="1"/>
        <v>10350000</v>
      </c>
      <c r="J350" s="1118">
        <f t="shared" si="2"/>
        <v>11385000</v>
      </c>
      <c r="K350" s="1110"/>
    </row>
    <row r="351" ht="18.75" customHeight="1">
      <c r="A351" s="1110"/>
      <c r="B351" s="1108" t="s">
        <v>9387</v>
      </c>
      <c r="C351" s="1108" t="s">
        <v>9504</v>
      </c>
      <c r="D351" s="1116" t="s">
        <v>892</v>
      </c>
      <c r="E351" s="1116" t="s">
        <v>893</v>
      </c>
      <c r="F351" s="1109">
        <v>0.1</v>
      </c>
      <c r="G351" s="1109">
        <v>0.0</v>
      </c>
      <c r="H351" s="1118">
        <v>1.213058E7</v>
      </c>
      <c r="I351" s="1118">
        <f t="shared" si="1"/>
        <v>11027800</v>
      </c>
      <c r="J351" s="1118">
        <f t="shared" si="2"/>
        <v>12130580</v>
      </c>
      <c r="K351" s="1110"/>
    </row>
    <row r="352" ht="18.75" customHeight="1">
      <c r="A352" s="1110"/>
      <c r="B352" s="1108" t="s">
        <v>9387</v>
      </c>
      <c r="C352" s="1108" t="s">
        <v>9504</v>
      </c>
      <c r="D352" s="1116" t="s">
        <v>9521</v>
      </c>
      <c r="E352" s="1116" t="s">
        <v>9522</v>
      </c>
      <c r="F352" s="1109">
        <v>0.1</v>
      </c>
      <c r="G352" s="1109">
        <v>0.0</v>
      </c>
      <c r="H352" s="1118">
        <v>1.43E7</v>
      </c>
      <c r="I352" s="1118">
        <f t="shared" si="1"/>
        <v>13000000</v>
      </c>
      <c r="J352" s="1118">
        <f t="shared" si="2"/>
        <v>14300000</v>
      </c>
      <c r="K352" s="1110"/>
    </row>
    <row r="353" ht="18.75" customHeight="1">
      <c r="A353" s="1110"/>
      <c r="B353" s="1108" t="s">
        <v>9387</v>
      </c>
      <c r="C353" s="1108" t="s">
        <v>9504</v>
      </c>
      <c r="D353" s="1116" t="s">
        <v>9523</v>
      </c>
      <c r="E353" s="1116" t="s">
        <v>9524</v>
      </c>
      <c r="F353" s="1109">
        <v>0.1</v>
      </c>
      <c r="G353" s="1109">
        <v>0.0</v>
      </c>
      <c r="H353" s="1118">
        <v>1.34805E7</v>
      </c>
      <c r="I353" s="1118">
        <f t="shared" si="1"/>
        <v>12255000</v>
      </c>
      <c r="J353" s="1118">
        <f t="shared" si="2"/>
        <v>13480500</v>
      </c>
      <c r="K353" s="1110"/>
    </row>
    <row r="354" ht="18.75" customHeight="1">
      <c r="A354" s="1110"/>
      <c r="B354" s="1108" t="s">
        <v>9387</v>
      </c>
      <c r="C354" s="1108" t="s">
        <v>9504</v>
      </c>
      <c r="D354" s="1116" t="s">
        <v>9525</v>
      </c>
      <c r="E354" s="1116" t="s">
        <v>9526</v>
      </c>
      <c r="F354" s="1109">
        <v>0.1</v>
      </c>
      <c r="G354" s="1109">
        <v>0.0</v>
      </c>
      <c r="H354" s="1118">
        <v>1.362075E7</v>
      </c>
      <c r="I354" s="1118">
        <f t="shared" si="1"/>
        <v>12382500</v>
      </c>
      <c r="J354" s="1118">
        <f t="shared" si="2"/>
        <v>13620750</v>
      </c>
      <c r="K354" s="1110"/>
    </row>
    <row r="355" ht="18.75" customHeight="1">
      <c r="A355" s="1110"/>
      <c r="B355" s="1108" t="s">
        <v>9387</v>
      </c>
      <c r="C355" s="1108" t="s">
        <v>9504</v>
      </c>
      <c r="D355" s="1116" t="s">
        <v>9527</v>
      </c>
      <c r="E355" s="1116" t="s">
        <v>9528</v>
      </c>
      <c r="F355" s="1109">
        <v>0.1</v>
      </c>
      <c r="G355" s="1109">
        <v>0.0</v>
      </c>
      <c r="H355" s="1118">
        <v>1.65E7</v>
      </c>
      <c r="I355" s="1118">
        <f t="shared" si="1"/>
        <v>15000000</v>
      </c>
      <c r="J355" s="1118">
        <f t="shared" si="2"/>
        <v>16500000</v>
      </c>
      <c r="K355" s="1110"/>
    </row>
    <row r="356" ht="18.75" customHeight="1">
      <c r="A356" s="1110"/>
      <c r="B356" s="1108" t="s">
        <v>9387</v>
      </c>
      <c r="C356" s="1108" t="s">
        <v>9504</v>
      </c>
      <c r="D356" s="1116" t="s">
        <v>839</v>
      </c>
      <c r="E356" s="1116" t="s">
        <v>840</v>
      </c>
      <c r="F356" s="1109">
        <v>0.1</v>
      </c>
      <c r="G356" s="1109">
        <v>0.0</v>
      </c>
      <c r="H356" s="1118">
        <v>9828720.0</v>
      </c>
      <c r="I356" s="1118">
        <f t="shared" si="1"/>
        <v>8935200</v>
      </c>
      <c r="J356" s="1118">
        <f t="shared" si="2"/>
        <v>9828720</v>
      </c>
      <c r="K356" s="1110"/>
    </row>
    <row r="357" ht="18.75" customHeight="1">
      <c r="A357" s="1110"/>
      <c r="B357" s="1108" t="s">
        <v>9387</v>
      </c>
      <c r="C357" s="1108" t="s">
        <v>9504</v>
      </c>
      <c r="D357" s="1116" t="s">
        <v>9529</v>
      </c>
      <c r="E357" s="1116" t="s">
        <v>9530</v>
      </c>
      <c r="F357" s="1109">
        <v>0.1</v>
      </c>
      <c r="G357" s="1109">
        <v>0.0</v>
      </c>
      <c r="H357" s="1118">
        <v>9570000.0</v>
      </c>
      <c r="I357" s="1118">
        <f t="shared" si="1"/>
        <v>8700000</v>
      </c>
      <c r="J357" s="1118">
        <f t="shared" si="2"/>
        <v>9570000</v>
      </c>
      <c r="K357" s="1110"/>
    </row>
    <row r="358" ht="18.75" customHeight="1">
      <c r="A358" s="1110"/>
      <c r="B358" s="1108" t="s">
        <v>9387</v>
      </c>
      <c r="C358" s="1108" t="s">
        <v>9504</v>
      </c>
      <c r="D358" s="1116" t="s">
        <v>9531</v>
      </c>
      <c r="E358" s="1116" t="s">
        <v>9532</v>
      </c>
      <c r="F358" s="1109">
        <v>0.1</v>
      </c>
      <c r="G358" s="1109">
        <v>0.0</v>
      </c>
      <c r="H358" s="1118">
        <v>9240000.0</v>
      </c>
      <c r="I358" s="1118">
        <f t="shared" si="1"/>
        <v>8400000</v>
      </c>
      <c r="J358" s="1118">
        <f t="shared" si="2"/>
        <v>9240000</v>
      </c>
      <c r="K358" s="1110"/>
    </row>
    <row r="359" ht="18.75" customHeight="1">
      <c r="A359" s="1110"/>
      <c r="B359" s="1108" t="s">
        <v>9387</v>
      </c>
      <c r="C359" s="1108" t="s">
        <v>9504</v>
      </c>
      <c r="D359" s="1116" t="s">
        <v>9533</v>
      </c>
      <c r="E359" s="1116" t="s">
        <v>9534</v>
      </c>
      <c r="F359" s="1109">
        <v>0.1</v>
      </c>
      <c r="G359" s="1109">
        <v>0.0</v>
      </c>
      <c r="H359" s="1118">
        <v>1.05E7</v>
      </c>
      <c r="I359" s="1118">
        <f t="shared" si="1"/>
        <v>9545450</v>
      </c>
      <c r="J359" s="1118">
        <f t="shared" si="2"/>
        <v>10500000</v>
      </c>
      <c r="K359" s="1110"/>
    </row>
    <row r="360" ht="18.75" customHeight="1">
      <c r="A360" s="1110"/>
      <c r="B360" s="1108" t="s">
        <v>9387</v>
      </c>
      <c r="C360" s="1108" t="s">
        <v>9504</v>
      </c>
      <c r="D360" s="1116" t="s">
        <v>841</v>
      </c>
      <c r="E360" s="1116" t="s">
        <v>842</v>
      </c>
      <c r="F360" s="1109">
        <v>0.1</v>
      </c>
      <c r="G360" s="1109">
        <v>0.0</v>
      </c>
      <c r="H360" s="1118">
        <v>1.1825E7</v>
      </c>
      <c r="I360" s="1118">
        <f t="shared" si="1"/>
        <v>10750000</v>
      </c>
      <c r="J360" s="1118">
        <f t="shared" si="2"/>
        <v>11825000</v>
      </c>
      <c r="K360" s="1110"/>
    </row>
    <row r="361" ht="18.75" customHeight="1">
      <c r="A361" s="1110"/>
      <c r="B361" s="1108" t="s">
        <v>9387</v>
      </c>
      <c r="C361" s="1108" t="s">
        <v>9504</v>
      </c>
      <c r="D361" s="1116" t="s">
        <v>9535</v>
      </c>
      <c r="E361" s="1116" t="s">
        <v>9536</v>
      </c>
      <c r="F361" s="1109">
        <v>0.1</v>
      </c>
      <c r="G361" s="1109">
        <v>0.0</v>
      </c>
      <c r="H361" s="1118"/>
      <c r="I361" s="1118" t="str">
        <f t="shared" si="1"/>
        <v/>
      </c>
      <c r="J361" s="1118" t="str">
        <f t="shared" si="2"/>
        <v/>
      </c>
      <c r="K361" s="1110"/>
    </row>
    <row r="362" ht="18.75" customHeight="1">
      <c r="A362" s="1110"/>
      <c r="B362" s="1108" t="s">
        <v>9387</v>
      </c>
      <c r="C362" s="1108" t="s">
        <v>9504</v>
      </c>
      <c r="D362" s="1116" t="s">
        <v>844</v>
      </c>
      <c r="E362" s="1116" t="s">
        <v>845</v>
      </c>
      <c r="F362" s="1109">
        <v>0.1</v>
      </c>
      <c r="G362" s="1109">
        <v>0.0</v>
      </c>
      <c r="H362" s="1118">
        <v>2.823436E7</v>
      </c>
      <c r="I362" s="1118">
        <f t="shared" si="1"/>
        <v>25667600</v>
      </c>
      <c r="J362" s="1118">
        <f t="shared" si="2"/>
        <v>28234360</v>
      </c>
      <c r="K362" s="1110"/>
    </row>
    <row r="363" ht="18.75" customHeight="1">
      <c r="A363" s="1110"/>
      <c r="B363" s="1108" t="s">
        <v>9387</v>
      </c>
      <c r="C363" s="1108" t="s">
        <v>9504</v>
      </c>
      <c r="D363" s="1116" t="s">
        <v>849</v>
      </c>
      <c r="E363" s="1116" t="s">
        <v>850</v>
      </c>
      <c r="F363" s="1109">
        <v>0.1</v>
      </c>
      <c r="G363" s="1109">
        <v>0.0</v>
      </c>
      <c r="H363" s="1118">
        <v>3.161477E7</v>
      </c>
      <c r="I363" s="1118">
        <f t="shared" si="1"/>
        <v>28740700</v>
      </c>
      <c r="J363" s="1118">
        <f t="shared" si="2"/>
        <v>31614770</v>
      </c>
      <c r="K363" s="1110"/>
    </row>
    <row r="364" ht="18.75" customHeight="1">
      <c r="A364" s="1110"/>
      <c r="B364" s="1108" t="s">
        <v>9387</v>
      </c>
      <c r="C364" s="1108" t="s">
        <v>9504</v>
      </c>
      <c r="D364" s="1116" t="s">
        <v>858</v>
      </c>
      <c r="E364" s="1116" t="s">
        <v>859</v>
      </c>
      <c r="F364" s="1109">
        <v>0.1</v>
      </c>
      <c r="G364" s="1109">
        <v>0.0</v>
      </c>
      <c r="H364" s="1118">
        <v>1.063337E7</v>
      </c>
      <c r="I364" s="1118">
        <f t="shared" si="1"/>
        <v>9666700</v>
      </c>
      <c r="J364" s="1118">
        <f t="shared" si="2"/>
        <v>10633370</v>
      </c>
      <c r="K364" s="1110"/>
    </row>
    <row r="365" ht="18.75" customHeight="1">
      <c r="A365" s="1110"/>
      <c r="B365" s="1108" t="s">
        <v>9387</v>
      </c>
      <c r="C365" s="1108" t="s">
        <v>9504</v>
      </c>
      <c r="D365" s="1116" t="s">
        <v>862</v>
      </c>
      <c r="E365" s="1116" t="s">
        <v>863</v>
      </c>
      <c r="F365" s="1109">
        <v>0.1</v>
      </c>
      <c r="G365" s="1109">
        <v>0.0</v>
      </c>
      <c r="H365" s="1118">
        <v>1.144209E7</v>
      </c>
      <c r="I365" s="1118">
        <f t="shared" si="1"/>
        <v>10401900</v>
      </c>
      <c r="J365" s="1118">
        <f t="shared" si="2"/>
        <v>11442090</v>
      </c>
      <c r="K365" s="1110"/>
    </row>
    <row r="366" ht="18.75" customHeight="1">
      <c r="A366" s="1110"/>
      <c r="B366" s="1108" t="s">
        <v>9387</v>
      </c>
      <c r="C366" s="1108" t="s">
        <v>9504</v>
      </c>
      <c r="D366" s="1116" t="s">
        <v>9537</v>
      </c>
      <c r="E366" s="1116" t="s">
        <v>9538</v>
      </c>
      <c r="F366" s="1109">
        <v>0.1</v>
      </c>
      <c r="G366" s="1109">
        <v>0.0</v>
      </c>
      <c r="H366" s="1118">
        <v>1.287E7</v>
      </c>
      <c r="I366" s="1118">
        <f t="shared" si="1"/>
        <v>11700000</v>
      </c>
      <c r="J366" s="1118">
        <f t="shared" si="2"/>
        <v>12870000</v>
      </c>
      <c r="K366" s="1110"/>
    </row>
    <row r="367" ht="18.75" customHeight="1">
      <c r="A367" s="1110"/>
      <c r="B367" s="1108" t="s">
        <v>9387</v>
      </c>
      <c r="C367" s="1108" t="s">
        <v>9504</v>
      </c>
      <c r="D367" s="1116" t="s">
        <v>9539</v>
      </c>
      <c r="E367" s="1116" t="s">
        <v>9540</v>
      </c>
      <c r="F367" s="1109">
        <v>0.1</v>
      </c>
      <c r="G367" s="1109">
        <v>0.0</v>
      </c>
      <c r="H367" s="1118">
        <v>1.35E7</v>
      </c>
      <c r="I367" s="1118">
        <f t="shared" si="1"/>
        <v>12272730</v>
      </c>
      <c r="J367" s="1118">
        <f t="shared" si="2"/>
        <v>13500000</v>
      </c>
      <c r="K367" s="1110"/>
    </row>
    <row r="368" ht="18.75" customHeight="1">
      <c r="A368" s="1110"/>
      <c r="B368" s="1108" t="s">
        <v>9387</v>
      </c>
      <c r="C368" s="1108" t="s">
        <v>9504</v>
      </c>
      <c r="D368" s="1116" t="s">
        <v>9541</v>
      </c>
      <c r="E368" s="1116" t="s">
        <v>9542</v>
      </c>
      <c r="F368" s="1109">
        <v>0.1</v>
      </c>
      <c r="G368" s="1109">
        <v>0.0</v>
      </c>
      <c r="H368" s="1118">
        <v>1.75E7</v>
      </c>
      <c r="I368" s="1118">
        <f t="shared" si="1"/>
        <v>15909090</v>
      </c>
      <c r="J368" s="1118">
        <f t="shared" si="2"/>
        <v>17500000</v>
      </c>
      <c r="K368" s="1110"/>
    </row>
    <row r="369" ht="18.75" customHeight="1">
      <c r="A369" s="1110"/>
      <c r="B369" s="1108" t="s">
        <v>9387</v>
      </c>
      <c r="C369" s="1108" t="s">
        <v>9504</v>
      </c>
      <c r="D369" s="1116" t="s">
        <v>9543</v>
      </c>
      <c r="E369" s="1116" t="s">
        <v>9544</v>
      </c>
      <c r="F369" s="1109">
        <v>0.1</v>
      </c>
      <c r="G369" s="1109">
        <v>0.0</v>
      </c>
      <c r="H369" s="1118">
        <v>1.87E7</v>
      </c>
      <c r="I369" s="1118">
        <f t="shared" si="1"/>
        <v>17000000</v>
      </c>
      <c r="J369" s="1118">
        <f t="shared" si="2"/>
        <v>18700000</v>
      </c>
      <c r="K369" s="1110"/>
    </row>
    <row r="370" ht="18.75" customHeight="1">
      <c r="A370" s="1110"/>
      <c r="B370" s="1108" t="s">
        <v>9387</v>
      </c>
      <c r="C370" s="1108" t="s">
        <v>9504</v>
      </c>
      <c r="D370" s="1116" t="s">
        <v>9545</v>
      </c>
      <c r="E370" s="1116" t="s">
        <v>9546</v>
      </c>
      <c r="F370" s="1109">
        <v>0.1</v>
      </c>
      <c r="G370" s="1109">
        <v>0.0</v>
      </c>
      <c r="H370" s="1118">
        <v>2.81875E7</v>
      </c>
      <c r="I370" s="1118">
        <f t="shared" si="1"/>
        <v>25625000</v>
      </c>
      <c r="J370" s="1118">
        <f t="shared" si="2"/>
        <v>28187500</v>
      </c>
      <c r="K370" s="1110"/>
    </row>
    <row r="371" ht="18.75" customHeight="1">
      <c r="A371" s="1110"/>
      <c r="B371" s="1108" t="s">
        <v>9387</v>
      </c>
      <c r="C371" s="1108" t="s">
        <v>9504</v>
      </c>
      <c r="D371" s="1116" t="s">
        <v>9547</v>
      </c>
      <c r="E371" s="1116" t="s">
        <v>9548</v>
      </c>
      <c r="F371" s="1109">
        <v>0.1</v>
      </c>
      <c r="G371" s="1109">
        <v>0.0</v>
      </c>
      <c r="H371" s="1118">
        <v>9460000.0</v>
      </c>
      <c r="I371" s="1118">
        <f t="shared" si="1"/>
        <v>8600000</v>
      </c>
      <c r="J371" s="1118">
        <f t="shared" si="2"/>
        <v>9460000</v>
      </c>
      <c r="K371" s="1110"/>
    </row>
    <row r="372" ht="18.75" customHeight="1">
      <c r="A372" s="1110"/>
      <c r="B372" s="1108" t="s">
        <v>9387</v>
      </c>
      <c r="C372" s="1108" t="s">
        <v>9504</v>
      </c>
      <c r="D372" s="1116" t="s">
        <v>854</v>
      </c>
      <c r="E372" s="1116" t="s">
        <v>855</v>
      </c>
      <c r="F372" s="1109">
        <v>0.1</v>
      </c>
      <c r="G372" s="1109">
        <v>0.0</v>
      </c>
      <c r="H372" s="1118">
        <v>8964010.0</v>
      </c>
      <c r="I372" s="1118">
        <f t="shared" si="1"/>
        <v>8149100</v>
      </c>
      <c r="J372" s="1118">
        <f t="shared" si="2"/>
        <v>8964010</v>
      </c>
      <c r="K372" s="1110"/>
    </row>
    <row r="373" ht="18.75" customHeight="1">
      <c r="A373" s="1110"/>
      <c r="B373" s="1108" t="s">
        <v>9387</v>
      </c>
      <c r="C373" s="1108" t="s">
        <v>9504</v>
      </c>
      <c r="D373" s="1116" t="s">
        <v>9549</v>
      </c>
      <c r="E373" s="1116" t="s">
        <v>9550</v>
      </c>
      <c r="F373" s="1109">
        <v>0.1</v>
      </c>
      <c r="G373" s="1109">
        <v>0.0</v>
      </c>
      <c r="H373" s="1118">
        <v>1.025056E7</v>
      </c>
      <c r="I373" s="1118">
        <f t="shared" si="1"/>
        <v>9318690</v>
      </c>
      <c r="J373" s="1118">
        <f t="shared" si="2"/>
        <v>10250560</v>
      </c>
      <c r="K373" s="1110"/>
    </row>
    <row r="374" ht="18.75" customHeight="1">
      <c r="A374" s="1110"/>
      <c r="B374" s="1108" t="s">
        <v>9387</v>
      </c>
      <c r="C374" s="1108" t="s">
        <v>9504</v>
      </c>
      <c r="D374" s="1116" t="s">
        <v>866</v>
      </c>
      <c r="E374" s="1116" t="s">
        <v>867</v>
      </c>
      <c r="F374" s="1109">
        <v>0.1</v>
      </c>
      <c r="G374" s="1109">
        <v>0.0</v>
      </c>
      <c r="H374" s="1118">
        <v>1.201343E7</v>
      </c>
      <c r="I374" s="1118">
        <f t="shared" si="1"/>
        <v>10921300</v>
      </c>
      <c r="J374" s="1118">
        <f t="shared" si="2"/>
        <v>12013430</v>
      </c>
      <c r="K374" s="1110"/>
    </row>
    <row r="375" ht="18.75" customHeight="1">
      <c r="A375" s="1110"/>
      <c r="B375" s="1108" t="s">
        <v>9387</v>
      </c>
      <c r="C375" s="1108" t="s">
        <v>9504</v>
      </c>
      <c r="D375" s="1116" t="s">
        <v>864</v>
      </c>
      <c r="E375" s="1116" t="s">
        <v>865</v>
      </c>
      <c r="F375" s="1109">
        <v>0.1</v>
      </c>
      <c r="G375" s="1109">
        <v>0.0</v>
      </c>
      <c r="H375" s="1118">
        <v>1.201343E7</v>
      </c>
      <c r="I375" s="1118">
        <f t="shared" si="1"/>
        <v>10921300</v>
      </c>
      <c r="J375" s="1118">
        <f t="shared" si="2"/>
        <v>12013430</v>
      </c>
      <c r="K375" s="1110"/>
    </row>
    <row r="376" ht="18.75" customHeight="1">
      <c r="A376" s="1110"/>
      <c r="B376" s="1108" t="s">
        <v>9387</v>
      </c>
      <c r="C376" s="1108" t="s">
        <v>9504</v>
      </c>
      <c r="D376" s="1116" t="s">
        <v>9551</v>
      </c>
      <c r="E376" s="1116" t="s">
        <v>9552</v>
      </c>
      <c r="F376" s="1109">
        <v>0.1</v>
      </c>
      <c r="G376" s="1109">
        <v>0.0</v>
      </c>
      <c r="H376" s="1118">
        <v>5280000.0</v>
      </c>
      <c r="I376" s="1118">
        <f t="shared" si="1"/>
        <v>4800000</v>
      </c>
      <c r="J376" s="1118">
        <f t="shared" si="2"/>
        <v>5280000</v>
      </c>
      <c r="K376" s="1110"/>
    </row>
    <row r="377" ht="18.75" customHeight="1">
      <c r="A377" s="1110"/>
      <c r="B377" s="1108" t="s">
        <v>9387</v>
      </c>
      <c r="C377" s="1108" t="s">
        <v>9504</v>
      </c>
      <c r="D377" s="1116" t="s">
        <v>879</v>
      </c>
      <c r="E377" s="1116" t="s">
        <v>880</v>
      </c>
      <c r="F377" s="1109">
        <v>0.1</v>
      </c>
      <c r="G377" s="1109">
        <v>0.0</v>
      </c>
      <c r="H377" s="1118">
        <v>5294300.0</v>
      </c>
      <c r="I377" s="1118">
        <f t="shared" si="1"/>
        <v>4813000</v>
      </c>
      <c r="J377" s="1118">
        <f t="shared" si="2"/>
        <v>5294300</v>
      </c>
      <c r="K377" s="1110"/>
    </row>
    <row r="378" ht="18.75" customHeight="1">
      <c r="A378" s="1110"/>
      <c r="B378" s="1108" t="s">
        <v>9387</v>
      </c>
      <c r="C378" s="1108" t="s">
        <v>9504</v>
      </c>
      <c r="D378" s="1116" t="s">
        <v>884</v>
      </c>
      <c r="E378" s="1116" t="s">
        <v>885</v>
      </c>
      <c r="F378" s="1109">
        <v>0.1</v>
      </c>
      <c r="G378" s="1109">
        <v>0.0</v>
      </c>
      <c r="H378" s="1118">
        <v>4860350.0</v>
      </c>
      <c r="I378" s="1118">
        <f t="shared" si="1"/>
        <v>4418500</v>
      </c>
      <c r="J378" s="1118">
        <f t="shared" si="2"/>
        <v>4860350</v>
      </c>
      <c r="K378" s="1110"/>
    </row>
    <row r="379" ht="18.75" customHeight="1">
      <c r="A379" s="1110"/>
      <c r="B379" s="1108" t="s">
        <v>9387</v>
      </c>
      <c r="C379" s="1108" t="s">
        <v>9504</v>
      </c>
      <c r="D379" s="1116" t="s">
        <v>888</v>
      </c>
      <c r="E379" s="1116" t="s">
        <v>889</v>
      </c>
      <c r="F379" s="1109">
        <v>0.1</v>
      </c>
      <c r="G379" s="1109">
        <v>0.0</v>
      </c>
      <c r="H379" s="1118">
        <v>5562150.0</v>
      </c>
      <c r="I379" s="1118">
        <f t="shared" si="1"/>
        <v>5056500</v>
      </c>
      <c r="J379" s="1118">
        <f t="shared" si="2"/>
        <v>5562150</v>
      </c>
      <c r="K379" s="1110"/>
    </row>
    <row r="380" ht="18.75" customHeight="1">
      <c r="A380" s="1110"/>
      <c r="B380" s="1108" t="s">
        <v>9387</v>
      </c>
      <c r="C380" s="1108" t="s">
        <v>9504</v>
      </c>
      <c r="D380" s="1116" t="s">
        <v>897</v>
      </c>
      <c r="E380" s="1116" t="s">
        <v>898</v>
      </c>
      <c r="F380" s="1109">
        <v>0.1</v>
      </c>
      <c r="G380" s="1109">
        <v>0.0</v>
      </c>
      <c r="H380" s="1118">
        <v>2.2544E7</v>
      </c>
      <c r="I380" s="1118">
        <f t="shared" si="1"/>
        <v>20494550</v>
      </c>
      <c r="J380" s="1118">
        <f t="shared" si="2"/>
        <v>22544000</v>
      </c>
      <c r="K380" s="1110"/>
    </row>
    <row r="381" ht="18.75" customHeight="1">
      <c r="A381" s="1110"/>
      <c r="B381" s="1108" t="s">
        <v>9387</v>
      </c>
      <c r="C381" s="1108" t="s">
        <v>9504</v>
      </c>
      <c r="D381" s="1116" t="s">
        <v>9553</v>
      </c>
      <c r="E381" s="1116" t="s">
        <v>9554</v>
      </c>
      <c r="F381" s="1109">
        <v>0.1</v>
      </c>
      <c r="G381" s="1109">
        <v>0.0</v>
      </c>
      <c r="H381" s="1118">
        <v>2.86E7</v>
      </c>
      <c r="I381" s="1118">
        <f t="shared" si="1"/>
        <v>26000000</v>
      </c>
      <c r="J381" s="1118">
        <f t="shared" si="2"/>
        <v>28600000</v>
      </c>
      <c r="K381" s="1110"/>
    </row>
    <row r="382" ht="18.75" customHeight="1">
      <c r="A382" s="1110"/>
      <c r="B382" s="1108" t="s">
        <v>9387</v>
      </c>
      <c r="C382" s="1108" t="s">
        <v>9504</v>
      </c>
      <c r="D382" s="1116" t="s">
        <v>9555</v>
      </c>
      <c r="E382" s="1116" t="s">
        <v>9556</v>
      </c>
      <c r="F382" s="1109">
        <v>0.1</v>
      </c>
      <c r="G382" s="1109">
        <v>0.0</v>
      </c>
      <c r="H382" s="1118">
        <v>2.6521E7</v>
      </c>
      <c r="I382" s="1118">
        <f t="shared" si="1"/>
        <v>24110000</v>
      </c>
      <c r="J382" s="1118">
        <f t="shared" si="2"/>
        <v>26521000</v>
      </c>
      <c r="K382" s="1110"/>
    </row>
    <row r="383" ht="18.75" customHeight="1">
      <c r="A383" s="1110"/>
      <c r="B383" s="1108" t="s">
        <v>9387</v>
      </c>
      <c r="C383" s="1108" t="s">
        <v>9504</v>
      </c>
      <c r="D383" s="1116" t="s">
        <v>9557</v>
      </c>
      <c r="E383" s="1116" t="s">
        <v>9558</v>
      </c>
      <c r="F383" s="1109">
        <v>0.1</v>
      </c>
      <c r="G383" s="1109">
        <v>0.0</v>
      </c>
      <c r="H383" s="1118">
        <v>2.828333E7</v>
      </c>
      <c r="I383" s="1118">
        <f t="shared" si="1"/>
        <v>25712120</v>
      </c>
      <c r="J383" s="1118">
        <f t="shared" si="2"/>
        <v>28283330</v>
      </c>
      <c r="K383" s="1110"/>
    </row>
    <row r="384" ht="18.75" customHeight="1">
      <c r="A384" s="1110"/>
      <c r="B384" s="1108" t="s">
        <v>9387</v>
      </c>
      <c r="C384" s="1108" t="s">
        <v>9504</v>
      </c>
      <c r="D384" s="1116" t="s">
        <v>9559</v>
      </c>
      <c r="E384" s="1116" t="s">
        <v>9560</v>
      </c>
      <c r="F384" s="1109">
        <v>0.1</v>
      </c>
      <c r="G384" s="1109">
        <v>0.0</v>
      </c>
      <c r="H384" s="1118">
        <v>7.931E7</v>
      </c>
      <c r="I384" s="1118">
        <f t="shared" si="1"/>
        <v>72100000</v>
      </c>
      <c r="J384" s="1118">
        <f t="shared" si="2"/>
        <v>79310000</v>
      </c>
      <c r="K384" s="1110"/>
    </row>
    <row r="385" ht="18.75" customHeight="1">
      <c r="A385" s="1110"/>
      <c r="B385" s="1108" t="s">
        <v>9387</v>
      </c>
      <c r="C385" s="1108" t="s">
        <v>9504</v>
      </c>
      <c r="D385" s="1116" t="s">
        <v>9561</v>
      </c>
      <c r="E385" s="1116" t="s">
        <v>9562</v>
      </c>
      <c r="F385" s="1109">
        <v>0.1</v>
      </c>
      <c r="G385" s="1109">
        <v>0.0</v>
      </c>
      <c r="H385" s="1118">
        <v>5170000.0</v>
      </c>
      <c r="I385" s="1118">
        <f t="shared" si="1"/>
        <v>4700000</v>
      </c>
      <c r="J385" s="1118">
        <f t="shared" si="2"/>
        <v>5170000</v>
      </c>
      <c r="K385" s="1110"/>
    </row>
    <row r="386" ht="18.75" customHeight="1">
      <c r="A386" s="1110"/>
      <c r="B386" s="1108" t="s">
        <v>9387</v>
      </c>
      <c r="C386" s="1108" t="s">
        <v>9504</v>
      </c>
      <c r="D386" s="1116" t="s">
        <v>895</v>
      </c>
      <c r="E386" s="1116" t="s">
        <v>896</v>
      </c>
      <c r="F386" s="1109">
        <v>0.1</v>
      </c>
      <c r="G386" s="1109">
        <v>0.0</v>
      </c>
      <c r="H386" s="1118">
        <v>2391510.0</v>
      </c>
      <c r="I386" s="1118">
        <f t="shared" si="1"/>
        <v>2174100</v>
      </c>
      <c r="J386" s="1118">
        <f t="shared" si="2"/>
        <v>2391510</v>
      </c>
      <c r="K386" s="1110"/>
    </row>
    <row r="387" ht="18.75" customHeight="1">
      <c r="A387" s="1110"/>
      <c r="B387" s="1108" t="s">
        <v>9387</v>
      </c>
      <c r="C387" s="1108" t="s">
        <v>9504</v>
      </c>
      <c r="D387" s="1116" t="s">
        <v>872</v>
      </c>
      <c r="E387" s="1116" t="s">
        <v>873</v>
      </c>
      <c r="F387" s="1109">
        <v>0.1</v>
      </c>
      <c r="G387" s="1109">
        <v>0.0</v>
      </c>
      <c r="H387" s="1118">
        <v>3888720.0</v>
      </c>
      <c r="I387" s="1118">
        <f t="shared" si="1"/>
        <v>3535200</v>
      </c>
      <c r="J387" s="1118">
        <f t="shared" si="2"/>
        <v>3888720</v>
      </c>
      <c r="K387" s="1110"/>
    </row>
    <row r="388" ht="18.75" customHeight="1">
      <c r="A388" s="1110"/>
      <c r="B388" s="1108" t="s">
        <v>9387</v>
      </c>
      <c r="C388" s="1108" t="s">
        <v>9504</v>
      </c>
      <c r="D388" s="1116" t="s">
        <v>874</v>
      </c>
      <c r="E388" s="1116" t="s">
        <v>875</v>
      </c>
      <c r="F388" s="1109">
        <v>0.1</v>
      </c>
      <c r="G388" s="1109">
        <v>0.0</v>
      </c>
      <c r="H388" s="1118">
        <v>3630990.0</v>
      </c>
      <c r="I388" s="1118">
        <f t="shared" si="1"/>
        <v>3300900</v>
      </c>
      <c r="J388" s="1118">
        <f t="shared" si="2"/>
        <v>3630990</v>
      </c>
      <c r="K388" s="1110"/>
    </row>
    <row r="389" ht="18.75" customHeight="1">
      <c r="A389" s="1110"/>
      <c r="B389" s="1108" t="s">
        <v>9387</v>
      </c>
      <c r="C389" s="1108" t="s">
        <v>9504</v>
      </c>
      <c r="D389" s="1116" t="s">
        <v>899</v>
      </c>
      <c r="E389" s="1116" t="s">
        <v>9563</v>
      </c>
      <c r="F389" s="1109">
        <v>0.1</v>
      </c>
      <c r="G389" s="1109">
        <v>0.0</v>
      </c>
      <c r="H389" s="1118">
        <v>3.811291E7</v>
      </c>
      <c r="I389" s="1118">
        <f t="shared" si="1"/>
        <v>34648100</v>
      </c>
      <c r="J389" s="1118">
        <f t="shared" si="2"/>
        <v>38112910</v>
      </c>
      <c r="K389" s="1110"/>
    </row>
    <row r="390" ht="18.75" customHeight="1">
      <c r="A390" s="1110"/>
      <c r="B390" s="1108" t="s">
        <v>9387</v>
      </c>
      <c r="C390" s="1108" t="s">
        <v>9564</v>
      </c>
      <c r="D390" s="1116" t="s">
        <v>9565</v>
      </c>
      <c r="E390" s="1116" t="s">
        <v>9566</v>
      </c>
      <c r="F390" s="1109">
        <v>0.1</v>
      </c>
      <c r="G390" s="1109">
        <v>0.0</v>
      </c>
      <c r="H390" s="1118"/>
      <c r="I390" s="1118" t="str">
        <f t="shared" si="1"/>
        <v/>
      </c>
      <c r="J390" s="1118" t="str">
        <f t="shared" si="2"/>
        <v/>
      </c>
      <c r="K390" s="1110"/>
    </row>
    <row r="391" ht="18.75" customHeight="1">
      <c r="A391" s="1110"/>
      <c r="B391" s="1108" t="s">
        <v>9387</v>
      </c>
      <c r="C391" s="1108" t="s">
        <v>9564</v>
      </c>
      <c r="D391" s="1116" t="s">
        <v>778</v>
      </c>
      <c r="E391" s="1116" t="s">
        <v>779</v>
      </c>
      <c r="F391" s="1109">
        <v>0.1</v>
      </c>
      <c r="G391" s="1109">
        <v>0.0</v>
      </c>
      <c r="H391" s="1118">
        <v>2200000.0</v>
      </c>
      <c r="I391" s="1118">
        <f t="shared" si="1"/>
        <v>2000000</v>
      </c>
      <c r="J391" s="1118">
        <f t="shared" si="2"/>
        <v>2200000</v>
      </c>
      <c r="K391" s="1110"/>
    </row>
    <row r="392" ht="18.75" customHeight="1">
      <c r="A392" s="1110"/>
      <c r="B392" s="1108" t="s">
        <v>9387</v>
      </c>
      <c r="C392" s="1108" t="s">
        <v>9564</v>
      </c>
      <c r="D392" s="1116" t="s">
        <v>782</v>
      </c>
      <c r="E392" s="1116" t="s">
        <v>783</v>
      </c>
      <c r="F392" s="1109">
        <v>0.1</v>
      </c>
      <c r="G392" s="1109">
        <v>0.0</v>
      </c>
      <c r="H392" s="1118">
        <v>2963840.0</v>
      </c>
      <c r="I392" s="1118">
        <f t="shared" si="1"/>
        <v>2694400</v>
      </c>
      <c r="J392" s="1118">
        <f t="shared" si="2"/>
        <v>2963840</v>
      </c>
      <c r="K392" s="1110"/>
    </row>
    <row r="393" ht="18.75" customHeight="1">
      <c r="A393" s="1110"/>
      <c r="B393" s="1108" t="s">
        <v>9387</v>
      </c>
      <c r="C393" s="1108" t="s">
        <v>9564</v>
      </c>
      <c r="D393" s="1116" t="s">
        <v>792</v>
      </c>
      <c r="E393" s="1116" t="s">
        <v>793</v>
      </c>
      <c r="F393" s="1109">
        <v>0.1</v>
      </c>
      <c r="G393" s="1109">
        <v>0.0</v>
      </c>
      <c r="H393" s="1118">
        <v>4665870.0</v>
      </c>
      <c r="I393" s="1118">
        <f t="shared" si="1"/>
        <v>4241700</v>
      </c>
      <c r="J393" s="1118">
        <f t="shared" si="2"/>
        <v>4665870</v>
      </c>
      <c r="K393" s="1110"/>
    </row>
    <row r="394" ht="18.75" customHeight="1">
      <c r="A394" s="1110"/>
      <c r="B394" s="1108" t="s">
        <v>9387</v>
      </c>
      <c r="C394" s="1108" t="s">
        <v>9564</v>
      </c>
      <c r="D394" s="1116" t="s">
        <v>794</v>
      </c>
      <c r="E394" s="1116" t="s">
        <v>795</v>
      </c>
      <c r="F394" s="1109">
        <v>0.1</v>
      </c>
      <c r="G394" s="1109">
        <v>0.0</v>
      </c>
      <c r="H394" s="1118">
        <v>4155580.0</v>
      </c>
      <c r="I394" s="1118">
        <f t="shared" si="1"/>
        <v>3777800</v>
      </c>
      <c r="J394" s="1118">
        <f t="shared" si="2"/>
        <v>4155580</v>
      </c>
      <c r="K394" s="1110"/>
    </row>
    <row r="395" ht="18.75" customHeight="1">
      <c r="A395" s="1110"/>
      <c r="B395" s="1108" t="s">
        <v>9387</v>
      </c>
      <c r="C395" s="1108" t="s">
        <v>9564</v>
      </c>
      <c r="D395" s="1116" t="s">
        <v>796</v>
      </c>
      <c r="E395" s="1116" t="s">
        <v>797</v>
      </c>
      <c r="F395" s="1109">
        <v>0.1</v>
      </c>
      <c r="G395" s="1109">
        <v>0.0</v>
      </c>
      <c r="H395" s="1118">
        <v>4320580.0</v>
      </c>
      <c r="I395" s="1118">
        <f t="shared" si="1"/>
        <v>3927800</v>
      </c>
      <c r="J395" s="1118">
        <f t="shared" si="2"/>
        <v>4320580</v>
      </c>
      <c r="K395" s="1110"/>
    </row>
    <row r="396" ht="18.75" customHeight="1">
      <c r="A396" s="1110"/>
      <c r="B396" s="1108" t="s">
        <v>9387</v>
      </c>
      <c r="C396" s="1108" t="s">
        <v>9564</v>
      </c>
      <c r="D396" s="1116" t="s">
        <v>785</v>
      </c>
      <c r="E396" s="1116" t="s">
        <v>786</v>
      </c>
      <c r="F396" s="1109">
        <v>0.1</v>
      </c>
      <c r="G396" s="1109">
        <v>0.0</v>
      </c>
      <c r="H396" s="1118">
        <v>2077790.0</v>
      </c>
      <c r="I396" s="1118">
        <f t="shared" si="1"/>
        <v>1888900</v>
      </c>
      <c r="J396" s="1118">
        <f t="shared" si="2"/>
        <v>2077790</v>
      </c>
      <c r="K396" s="1110"/>
    </row>
    <row r="397" ht="18.75" customHeight="1">
      <c r="A397" s="1110"/>
      <c r="B397" s="1108" t="s">
        <v>9387</v>
      </c>
      <c r="C397" s="1108" t="s">
        <v>9564</v>
      </c>
      <c r="D397" s="1116" t="s">
        <v>9567</v>
      </c>
      <c r="E397" s="1116" t="s">
        <v>9568</v>
      </c>
      <c r="F397" s="1109">
        <v>0.1</v>
      </c>
      <c r="G397" s="1109">
        <v>0.0</v>
      </c>
      <c r="H397" s="1118">
        <v>4180000.0</v>
      </c>
      <c r="I397" s="1118">
        <f t="shared" si="1"/>
        <v>3800000</v>
      </c>
      <c r="J397" s="1118">
        <f t="shared" si="2"/>
        <v>4180000</v>
      </c>
      <c r="K397" s="1110"/>
    </row>
    <row r="398" ht="18.75" customHeight="1">
      <c r="A398" s="1110"/>
      <c r="B398" s="1108" t="s">
        <v>9387</v>
      </c>
      <c r="C398" s="1108" t="s">
        <v>9564</v>
      </c>
      <c r="D398" s="1116" t="s">
        <v>9569</v>
      </c>
      <c r="E398" s="1116" t="s">
        <v>9570</v>
      </c>
      <c r="F398" s="1109">
        <v>0.1</v>
      </c>
      <c r="G398" s="1109">
        <v>0.0</v>
      </c>
      <c r="H398" s="1118">
        <v>913000.0</v>
      </c>
      <c r="I398" s="1118">
        <f t="shared" si="1"/>
        <v>830000</v>
      </c>
      <c r="J398" s="1118">
        <f t="shared" si="2"/>
        <v>913000</v>
      </c>
      <c r="K398" s="1110"/>
    </row>
    <row r="399" ht="18.75" customHeight="1">
      <c r="A399" s="1110"/>
      <c r="B399" s="1108" t="s">
        <v>9387</v>
      </c>
      <c r="C399" s="1108" t="s">
        <v>9564</v>
      </c>
      <c r="D399" s="1116" t="s">
        <v>788</v>
      </c>
      <c r="E399" s="1116" t="s">
        <v>789</v>
      </c>
      <c r="F399" s="1109">
        <v>0.1</v>
      </c>
      <c r="G399" s="1109">
        <v>0.0</v>
      </c>
      <c r="H399" s="1118">
        <v>1008370.0</v>
      </c>
      <c r="I399" s="1118">
        <f t="shared" si="1"/>
        <v>916700</v>
      </c>
      <c r="J399" s="1118">
        <f t="shared" si="2"/>
        <v>1008370</v>
      </c>
      <c r="K399" s="1110"/>
    </row>
    <row r="400" ht="18.75" customHeight="1">
      <c r="A400" s="1110"/>
      <c r="B400" s="1108" t="s">
        <v>9387</v>
      </c>
      <c r="C400" s="1108" t="s">
        <v>9564</v>
      </c>
      <c r="D400" s="1116" t="s">
        <v>9571</v>
      </c>
      <c r="E400" s="1116" t="s">
        <v>9572</v>
      </c>
      <c r="F400" s="1109">
        <v>0.1</v>
      </c>
      <c r="G400" s="1109">
        <v>0.0</v>
      </c>
      <c r="H400" s="1118">
        <v>825000.0</v>
      </c>
      <c r="I400" s="1118">
        <f t="shared" si="1"/>
        <v>750000</v>
      </c>
      <c r="J400" s="1118">
        <f t="shared" si="2"/>
        <v>825000</v>
      </c>
      <c r="K400" s="1110"/>
    </row>
    <row r="401" ht="18.75" customHeight="1">
      <c r="A401" s="1110"/>
      <c r="B401" s="1108" t="s">
        <v>9387</v>
      </c>
      <c r="C401" s="1108" t="s">
        <v>9564</v>
      </c>
      <c r="D401" s="1116" t="s">
        <v>9573</v>
      </c>
      <c r="E401" s="1116" t="s">
        <v>9574</v>
      </c>
      <c r="F401" s="1109">
        <v>0.1</v>
      </c>
      <c r="G401" s="1109">
        <v>0.0</v>
      </c>
      <c r="H401" s="1118">
        <v>1650000.0</v>
      </c>
      <c r="I401" s="1118">
        <f t="shared" si="1"/>
        <v>1500000</v>
      </c>
      <c r="J401" s="1118">
        <f t="shared" si="2"/>
        <v>1650000</v>
      </c>
      <c r="K401" s="1110"/>
    </row>
    <row r="402" ht="18.75" customHeight="1">
      <c r="A402" s="1110"/>
      <c r="B402" s="1108" t="s">
        <v>9387</v>
      </c>
      <c r="C402" s="1108" t="s">
        <v>9564</v>
      </c>
      <c r="D402" s="1116" t="s">
        <v>928</v>
      </c>
      <c r="E402" s="1116" t="s">
        <v>929</v>
      </c>
      <c r="F402" s="1109">
        <v>0.1</v>
      </c>
      <c r="G402" s="1109">
        <v>0.0</v>
      </c>
      <c r="H402" s="1118">
        <v>1.904727E7</v>
      </c>
      <c r="I402" s="1118">
        <f t="shared" si="1"/>
        <v>17315700</v>
      </c>
      <c r="J402" s="1118">
        <f t="shared" si="2"/>
        <v>19047270</v>
      </c>
      <c r="K402" s="1110"/>
    </row>
    <row r="403" ht="18.75" customHeight="1">
      <c r="A403" s="1110"/>
      <c r="B403" s="1108" t="s">
        <v>9387</v>
      </c>
      <c r="C403" s="1108" t="s">
        <v>9564</v>
      </c>
      <c r="D403" s="1116" t="s">
        <v>9575</v>
      </c>
      <c r="E403" s="1116" t="s">
        <v>9576</v>
      </c>
      <c r="F403" s="1109">
        <v>0.1</v>
      </c>
      <c r="G403" s="1109">
        <v>0.0</v>
      </c>
      <c r="H403" s="1118">
        <v>8750010.0</v>
      </c>
      <c r="I403" s="1118">
        <f t="shared" si="1"/>
        <v>7954550</v>
      </c>
      <c r="J403" s="1118">
        <f t="shared" si="2"/>
        <v>8750010</v>
      </c>
      <c r="K403" s="1110"/>
    </row>
    <row r="404" ht="18.75" customHeight="1">
      <c r="A404" s="1110"/>
      <c r="B404" s="1108" t="s">
        <v>9387</v>
      </c>
      <c r="C404" s="1108" t="s">
        <v>9564</v>
      </c>
      <c r="D404" s="1116" t="s">
        <v>9577</v>
      </c>
      <c r="E404" s="1116" t="s">
        <v>9578</v>
      </c>
      <c r="F404" s="1109">
        <v>0.1</v>
      </c>
      <c r="G404" s="1109">
        <v>0.0</v>
      </c>
      <c r="H404" s="1118">
        <v>5699990.0</v>
      </c>
      <c r="I404" s="1118">
        <f t="shared" si="1"/>
        <v>5181810</v>
      </c>
      <c r="J404" s="1118">
        <f t="shared" si="2"/>
        <v>5699990</v>
      </c>
      <c r="K404" s="1110"/>
    </row>
    <row r="405" ht="18.75" customHeight="1">
      <c r="A405" s="1110"/>
      <c r="B405" s="1108" t="s">
        <v>9387</v>
      </c>
      <c r="C405" s="1108" t="s">
        <v>9564</v>
      </c>
      <c r="D405" s="1116" t="s">
        <v>9579</v>
      </c>
      <c r="E405" s="1116" t="s">
        <v>9580</v>
      </c>
      <c r="F405" s="1109">
        <v>0.1</v>
      </c>
      <c r="G405" s="1109">
        <v>0.0</v>
      </c>
      <c r="H405" s="1118">
        <v>2782590.0</v>
      </c>
      <c r="I405" s="1118">
        <f t="shared" si="1"/>
        <v>2529630</v>
      </c>
      <c r="J405" s="1118">
        <f t="shared" si="2"/>
        <v>2782590</v>
      </c>
      <c r="K405" s="1110"/>
    </row>
    <row r="406" ht="18.75" customHeight="1">
      <c r="A406" s="1110"/>
      <c r="B406" s="1108" t="s">
        <v>9387</v>
      </c>
      <c r="C406" s="1108" t="s">
        <v>9564</v>
      </c>
      <c r="D406" s="1116" t="s">
        <v>9581</v>
      </c>
      <c r="E406" s="1116" t="s">
        <v>9582</v>
      </c>
      <c r="F406" s="1109">
        <v>0.1</v>
      </c>
      <c r="G406" s="1109">
        <v>0.0</v>
      </c>
      <c r="H406" s="1118">
        <v>1393700.0</v>
      </c>
      <c r="I406" s="1118">
        <f t="shared" si="1"/>
        <v>1267000</v>
      </c>
      <c r="J406" s="1118">
        <f t="shared" si="2"/>
        <v>1393700</v>
      </c>
      <c r="K406" s="1110"/>
    </row>
    <row r="407" ht="18.75" customHeight="1">
      <c r="A407" s="1110"/>
      <c r="B407" s="1108" t="s">
        <v>9387</v>
      </c>
      <c r="C407" s="1108" t="s">
        <v>9564</v>
      </c>
      <c r="D407" s="1116" t="s">
        <v>790</v>
      </c>
      <c r="E407" s="1116" t="s">
        <v>791</v>
      </c>
      <c r="F407" s="1109">
        <v>0.1</v>
      </c>
      <c r="G407" s="1109">
        <v>0.0</v>
      </c>
      <c r="H407" s="1118">
        <v>1903660.0</v>
      </c>
      <c r="I407" s="1118">
        <f t="shared" si="1"/>
        <v>1730600</v>
      </c>
      <c r="J407" s="1118">
        <f t="shared" si="2"/>
        <v>1903660</v>
      </c>
      <c r="K407" s="1110"/>
    </row>
    <row r="408" ht="18.75" customHeight="1">
      <c r="A408" s="1110"/>
      <c r="B408" s="1108" t="s">
        <v>9387</v>
      </c>
      <c r="C408" s="1108" t="s">
        <v>9564</v>
      </c>
      <c r="D408" s="1116" t="s">
        <v>9583</v>
      </c>
      <c r="E408" s="1116" t="s">
        <v>9584</v>
      </c>
      <c r="F408" s="1109">
        <v>0.1</v>
      </c>
      <c r="G408" s="1109">
        <v>0.0</v>
      </c>
      <c r="H408" s="1118">
        <v>1617000.0</v>
      </c>
      <c r="I408" s="1118">
        <f t="shared" si="1"/>
        <v>1470000</v>
      </c>
      <c r="J408" s="1118">
        <f t="shared" si="2"/>
        <v>1617000</v>
      </c>
      <c r="K408" s="1110"/>
    </row>
    <row r="409" ht="18.75" customHeight="1">
      <c r="A409" s="1110"/>
      <c r="B409" s="1108" t="s">
        <v>9387</v>
      </c>
      <c r="C409" s="1108" t="s">
        <v>9585</v>
      </c>
      <c r="D409" s="1116" t="s">
        <v>9586</v>
      </c>
      <c r="E409" s="1116" t="s">
        <v>9587</v>
      </c>
      <c r="F409" s="1109">
        <v>0.1</v>
      </c>
      <c r="G409" s="1109">
        <v>0.0</v>
      </c>
      <c r="H409" s="1118">
        <v>1969000.0</v>
      </c>
      <c r="I409" s="1118">
        <f t="shared" si="1"/>
        <v>1790000</v>
      </c>
      <c r="J409" s="1118">
        <f t="shared" si="2"/>
        <v>1969000</v>
      </c>
      <c r="K409" s="1110"/>
    </row>
    <row r="410" ht="18.75" customHeight="1">
      <c r="A410" s="1110"/>
      <c r="B410" s="1108" t="s">
        <v>9387</v>
      </c>
      <c r="C410" s="1108" t="s">
        <v>9585</v>
      </c>
      <c r="D410" s="1116" t="s">
        <v>9588</v>
      </c>
      <c r="E410" s="1116" t="s">
        <v>9589</v>
      </c>
      <c r="F410" s="1109">
        <v>0.1</v>
      </c>
      <c r="G410" s="1109">
        <v>0.0</v>
      </c>
      <c r="H410" s="1118">
        <v>1210000.0</v>
      </c>
      <c r="I410" s="1118">
        <f t="shared" si="1"/>
        <v>1100000</v>
      </c>
      <c r="J410" s="1118">
        <f t="shared" si="2"/>
        <v>1210000</v>
      </c>
      <c r="K410" s="1110"/>
    </row>
    <row r="411" ht="18.75" customHeight="1">
      <c r="A411" s="1110"/>
      <c r="B411" s="1108" t="s">
        <v>9387</v>
      </c>
      <c r="C411" s="1108" t="s">
        <v>9585</v>
      </c>
      <c r="D411" s="1116" t="s">
        <v>806</v>
      </c>
      <c r="E411" s="1116" t="s">
        <v>807</v>
      </c>
      <c r="F411" s="1109">
        <v>0.1</v>
      </c>
      <c r="G411" s="1109">
        <v>0.0</v>
      </c>
      <c r="H411" s="1118">
        <v>967560.0</v>
      </c>
      <c r="I411" s="1118">
        <f t="shared" si="1"/>
        <v>879600</v>
      </c>
      <c r="J411" s="1118">
        <f t="shared" si="2"/>
        <v>967560</v>
      </c>
      <c r="K411" s="1110"/>
    </row>
    <row r="412" ht="18.75" customHeight="1">
      <c r="A412" s="1110"/>
      <c r="B412" s="1108" t="s">
        <v>9387</v>
      </c>
      <c r="C412" s="1108" t="s">
        <v>9585</v>
      </c>
      <c r="D412" s="1116" t="s">
        <v>9590</v>
      </c>
      <c r="E412" s="1116" t="s">
        <v>9591</v>
      </c>
      <c r="F412" s="1109">
        <v>0.1</v>
      </c>
      <c r="G412" s="1109">
        <v>0.0</v>
      </c>
      <c r="H412" s="1118">
        <v>1760000.0</v>
      </c>
      <c r="I412" s="1118">
        <f t="shared" si="1"/>
        <v>1600000</v>
      </c>
      <c r="J412" s="1118">
        <f t="shared" si="2"/>
        <v>1760000</v>
      </c>
      <c r="K412" s="1110"/>
    </row>
    <row r="413" ht="18.75" customHeight="1">
      <c r="A413" s="1110"/>
      <c r="B413" s="1108" t="s">
        <v>9387</v>
      </c>
      <c r="C413" s="1108" t="s">
        <v>9585</v>
      </c>
      <c r="D413" s="1116" t="s">
        <v>9592</v>
      </c>
      <c r="E413" s="1116" t="s">
        <v>9593</v>
      </c>
      <c r="F413" s="1109">
        <v>0.1</v>
      </c>
      <c r="G413" s="1109">
        <v>0.0</v>
      </c>
      <c r="H413" s="1118">
        <v>1897500.0</v>
      </c>
      <c r="I413" s="1118">
        <f t="shared" si="1"/>
        <v>1725000</v>
      </c>
      <c r="J413" s="1118">
        <f t="shared" si="2"/>
        <v>1897500</v>
      </c>
      <c r="K413" s="1110"/>
    </row>
    <row r="414" ht="18.75" customHeight="1">
      <c r="A414" s="1110"/>
      <c r="B414" s="1108" t="s">
        <v>9387</v>
      </c>
      <c r="C414" s="1108" t="s">
        <v>9585</v>
      </c>
      <c r="D414" s="1116" t="s">
        <v>802</v>
      </c>
      <c r="E414" s="1116" t="s">
        <v>803</v>
      </c>
      <c r="F414" s="1109">
        <v>0.1</v>
      </c>
      <c r="G414" s="1109">
        <v>0.0</v>
      </c>
      <c r="H414" s="1118">
        <v>2082850.0</v>
      </c>
      <c r="I414" s="1118">
        <f t="shared" si="1"/>
        <v>1893500</v>
      </c>
      <c r="J414" s="1118">
        <f t="shared" si="2"/>
        <v>2082850</v>
      </c>
      <c r="K414" s="1110"/>
    </row>
    <row r="415" ht="18.75" customHeight="1">
      <c r="A415" s="1110"/>
      <c r="B415" s="1108" t="s">
        <v>9387</v>
      </c>
      <c r="C415" s="1108" t="s">
        <v>9585</v>
      </c>
      <c r="D415" s="1116" t="s">
        <v>9594</v>
      </c>
      <c r="E415" s="1116" t="s">
        <v>9595</v>
      </c>
      <c r="F415" s="1109">
        <v>0.1</v>
      </c>
      <c r="G415" s="1109">
        <v>0.0</v>
      </c>
      <c r="H415" s="1118">
        <v>1267960.0</v>
      </c>
      <c r="I415" s="1118">
        <f t="shared" si="1"/>
        <v>1152690</v>
      </c>
      <c r="J415" s="1118">
        <f t="shared" si="2"/>
        <v>1267960</v>
      </c>
      <c r="K415" s="1110"/>
    </row>
    <row r="416" ht="18.75" customHeight="1">
      <c r="A416" s="1110"/>
      <c r="B416" s="1108" t="s">
        <v>9387</v>
      </c>
      <c r="C416" s="1108" t="s">
        <v>9585</v>
      </c>
      <c r="D416" s="1116" t="s">
        <v>9596</v>
      </c>
      <c r="E416" s="1116" t="s">
        <v>9597</v>
      </c>
      <c r="F416" s="1109">
        <v>0.1</v>
      </c>
      <c r="G416" s="1109">
        <v>0.0</v>
      </c>
      <c r="H416" s="1118">
        <v>941140.0</v>
      </c>
      <c r="I416" s="1118">
        <f t="shared" si="1"/>
        <v>855580</v>
      </c>
      <c r="J416" s="1118">
        <f t="shared" si="2"/>
        <v>941140</v>
      </c>
      <c r="K416" s="1110"/>
    </row>
    <row r="417" ht="18.75" customHeight="1">
      <c r="A417" s="1110"/>
      <c r="B417" s="1108" t="s">
        <v>9387</v>
      </c>
      <c r="C417" s="1108" t="s">
        <v>9585</v>
      </c>
      <c r="D417" s="1116" t="s">
        <v>9598</v>
      </c>
      <c r="E417" s="1116" t="s">
        <v>9599</v>
      </c>
      <c r="F417" s="1109">
        <v>0.1</v>
      </c>
      <c r="G417" s="1109">
        <v>0.0</v>
      </c>
      <c r="H417" s="1118">
        <v>1006500.0</v>
      </c>
      <c r="I417" s="1118">
        <f t="shared" si="1"/>
        <v>915000</v>
      </c>
      <c r="J417" s="1118">
        <f t="shared" si="2"/>
        <v>1006500</v>
      </c>
      <c r="K417" s="1110"/>
    </row>
    <row r="418" ht="18.75" customHeight="1">
      <c r="A418" s="1110"/>
      <c r="B418" s="1108" t="s">
        <v>9387</v>
      </c>
      <c r="C418" s="1108" t="s">
        <v>9585</v>
      </c>
      <c r="D418" s="1116" t="s">
        <v>9600</v>
      </c>
      <c r="E418" s="1116" t="s">
        <v>9601</v>
      </c>
      <c r="F418" s="1109">
        <v>0.1</v>
      </c>
      <c r="G418" s="1109">
        <v>0.0</v>
      </c>
      <c r="H418" s="1118"/>
      <c r="I418" s="1118" t="str">
        <f t="shared" si="1"/>
        <v/>
      </c>
      <c r="J418" s="1118" t="str">
        <f t="shared" si="2"/>
        <v/>
      </c>
      <c r="K418" s="1110"/>
    </row>
    <row r="419" ht="18.75" customHeight="1">
      <c r="A419" s="1110"/>
      <c r="B419" s="1108" t="s">
        <v>9387</v>
      </c>
      <c r="C419" s="1108" t="s">
        <v>9585</v>
      </c>
      <c r="D419" s="1116" t="s">
        <v>9602</v>
      </c>
      <c r="E419" s="1116" t="s">
        <v>9603</v>
      </c>
      <c r="F419" s="1109">
        <v>0.1</v>
      </c>
      <c r="G419" s="1109">
        <v>0.0</v>
      </c>
      <c r="H419" s="1118">
        <v>878430.0</v>
      </c>
      <c r="I419" s="1118">
        <f t="shared" si="1"/>
        <v>798570</v>
      </c>
      <c r="J419" s="1118">
        <f t="shared" si="2"/>
        <v>878430</v>
      </c>
      <c r="K419" s="1110"/>
    </row>
    <row r="420" ht="18.75" customHeight="1">
      <c r="A420" s="1110"/>
      <c r="B420" s="1108" t="s">
        <v>9387</v>
      </c>
      <c r="C420" s="1108" t="s">
        <v>9585</v>
      </c>
      <c r="D420" s="1116" t="s">
        <v>9604</v>
      </c>
      <c r="E420" s="1116" t="s">
        <v>9605</v>
      </c>
      <c r="F420" s="1109">
        <v>0.1</v>
      </c>
      <c r="G420" s="1109">
        <v>0.0</v>
      </c>
      <c r="H420" s="1118">
        <v>1145000.0</v>
      </c>
      <c r="I420" s="1118">
        <f t="shared" si="1"/>
        <v>1040910</v>
      </c>
      <c r="J420" s="1118">
        <f t="shared" si="2"/>
        <v>1145000</v>
      </c>
      <c r="K420" s="1110"/>
    </row>
    <row r="421" ht="18.75" customHeight="1">
      <c r="A421" s="1110"/>
      <c r="B421" s="1108" t="s">
        <v>9606</v>
      </c>
      <c r="C421" s="1108" t="s">
        <v>9607</v>
      </c>
      <c r="D421" s="1116" t="s">
        <v>9608</v>
      </c>
      <c r="E421" s="1116" t="s">
        <v>9609</v>
      </c>
      <c r="F421" s="1109">
        <v>0.1</v>
      </c>
      <c r="G421" s="1109">
        <v>0.0</v>
      </c>
      <c r="H421" s="1118"/>
      <c r="I421" s="1118" t="str">
        <f t="shared" si="1"/>
        <v/>
      </c>
      <c r="J421" s="1118" t="str">
        <f t="shared" si="2"/>
        <v/>
      </c>
      <c r="K421" s="1110"/>
    </row>
    <row r="422" ht="18.75" customHeight="1">
      <c r="A422" s="1110"/>
      <c r="B422" s="1108" t="s">
        <v>9606</v>
      </c>
      <c r="C422" s="1108" t="s">
        <v>9607</v>
      </c>
      <c r="D422" s="1116" t="s">
        <v>9610</v>
      </c>
      <c r="E422" s="1116" t="s">
        <v>9611</v>
      </c>
      <c r="F422" s="1109">
        <v>0.1</v>
      </c>
      <c r="G422" s="1109">
        <v>0.0</v>
      </c>
      <c r="H422" s="1118"/>
      <c r="I422" s="1118" t="str">
        <f t="shared" si="1"/>
        <v/>
      </c>
      <c r="J422" s="1118" t="str">
        <f t="shared" si="2"/>
        <v/>
      </c>
      <c r="K422" s="1110"/>
    </row>
    <row r="423" ht="18.75" customHeight="1">
      <c r="A423" s="1110"/>
      <c r="B423" s="1108" t="s">
        <v>9606</v>
      </c>
      <c r="C423" s="1108" t="s">
        <v>9607</v>
      </c>
      <c r="D423" s="1116" t="s">
        <v>1099</v>
      </c>
      <c r="E423" s="1116" t="s">
        <v>1100</v>
      </c>
      <c r="F423" s="1109">
        <v>0.1</v>
      </c>
      <c r="G423" s="1109">
        <v>0.0</v>
      </c>
      <c r="H423" s="1118">
        <v>60000.0</v>
      </c>
      <c r="I423" s="1118">
        <f t="shared" si="1"/>
        <v>54550</v>
      </c>
      <c r="J423" s="1118">
        <f t="shared" si="2"/>
        <v>60000</v>
      </c>
      <c r="K423" s="1110"/>
    </row>
    <row r="424" ht="18.75" customHeight="1">
      <c r="A424" s="1110"/>
      <c r="B424" s="1108" t="s">
        <v>9606</v>
      </c>
      <c r="C424" s="1108" t="s">
        <v>9607</v>
      </c>
      <c r="D424" s="1116" t="s">
        <v>9612</v>
      </c>
      <c r="E424" s="1116" t="s">
        <v>9613</v>
      </c>
      <c r="F424" s="1109">
        <v>0.1</v>
      </c>
      <c r="G424" s="1109">
        <v>0.0</v>
      </c>
      <c r="H424" s="1118"/>
      <c r="I424" s="1118" t="str">
        <f t="shared" si="1"/>
        <v/>
      </c>
      <c r="J424" s="1118" t="str">
        <f t="shared" si="2"/>
        <v/>
      </c>
      <c r="K424" s="1110"/>
    </row>
    <row r="425" ht="18.75" customHeight="1">
      <c r="A425" s="1110"/>
      <c r="B425" s="1108" t="s">
        <v>9606</v>
      </c>
      <c r="C425" s="1108" t="s">
        <v>9607</v>
      </c>
      <c r="D425" s="1116" t="s">
        <v>1123</v>
      </c>
      <c r="E425" s="1116" t="s">
        <v>1124</v>
      </c>
      <c r="F425" s="1109">
        <v>0.1</v>
      </c>
      <c r="G425" s="1109">
        <v>0.0</v>
      </c>
      <c r="H425" s="1118">
        <v>41030.0</v>
      </c>
      <c r="I425" s="1118">
        <f t="shared" si="1"/>
        <v>37300</v>
      </c>
      <c r="J425" s="1118">
        <f t="shared" si="2"/>
        <v>41030</v>
      </c>
      <c r="K425" s="1110"/>
    </row>
    <row r="426" ht="18.75" customHeight="1">
      <c r="A426" s="1110"/>
      <c r="B426" s="1108" t="s">
        <v>9606</v>
      </c>
      <c r="C426" s="1108" t="s">
        <v>9607</v>
      </c>
      <c r="D426" s="1116" t="s">
        <v>860</v>
      </c>
      <c r="E426" s="1116" t="s">
        <v>861</v>
      </c>
      <c r="F426" s="1109">
        <v>0.1</v>
      </c>
      <c r="G426" s="1109">
        <v>0.0</v>
      </c>
      <c r="H426" s="1118">
        <v>74030.0</v>
      </c>
      <c r="I426" s="1118">
        <f t="shared" si="1"/>
        <v>67300</v>
      </c>
      <c r="J426" s="1118">
        <f t="shared" si="2"/>
        <v>74030</v>
      </c>
      <c r="K426" s="1110"/>
    </row>
    <row r="427" ht="18.75" customHeight="1">
      <c r="A427" s="1110"/>
      <c r="B427" s="1108" t="s">
        <v>9606</v>
      </c>
      <c r="C427" s="1108" t="s">
        <v>9607</v>
      </c>
      <c r="D427" s="1116" t="s">
        <v>1204</v>
      </c>
      <c r="E427" s="1116" t="s">
        <v>1205</v>
      </c>
      <c r="F427" s="1109">
        <v>0.1</v>
      </c>
      <c r="G427" s="1109">
        <v>0.0</v>
      </c>
      <c r="H427" s="1118">
        <v>409500.0</v>
      </c>
      <c r="I427" s="1118">
        <f t="shared" si="1"/>
        <v>372270</v>
      </c>
      <c r="J427" s="1118">
        <f t="shared" si="2"/>
        <v>409500</v>
      </c>
      <c r="K427" s="1110"/>
    </row>
    <row r="428" ht="18.75" customHeight="1">
      <c r="A428" s="1110"/>
      <c r="B428" s="1108" t="s">
        <v>9606</v>
      </c>
      <c r="C428" s="1108" t="s">
        <v>9607</v>
      </c>
      <c r="D428" s="1116" t="s">
        <v>9614</v>
      </c>
      <c r="E428" s="1116" t="s">
        <v>9615</v>
      </c>
      <c r="F428" s="1109">
        <v>0.1</v>
      </c>
      <c r="G428" s="1109">
        <v>0.0</v>
      </c>
      <c r="H428" s="1118">
        <v>1.2518E7</v>
      </c>
      <c r="I428" s="1118">
        <f t="shared" si="1"/>
        <v>11380000</v>
      </c>
      <c r="J428" s="1118">
        <f t="shared" si="2"/>
        <v>12518000</v>
      </c>
      <c r="K428" s="1110"/>
    </row>
    <row r="429" ht="18.75" customHeight="1">
      <c r="A429" s="1110"/>
      <c r="B429" s="1108" t="s">
        <v>9606</v>
      </c>
      <c r="C429" s="1108" t="s">
        <v>9607</v>
      </c>
      <c r="D429" s="1116" t="s">
        <v>1021</v>
      </c>
      <c r="E429" s="1116" t="s">
        <v>1022</v>
      </c>
      <c r="F429" s="1109">
        <v>0.1</v>
      </c>
      <c r="G429" s="1109">
        <v>0.0</v>
      </c>
      <c r="H429" s="1118">
        <v>127500.0</v>
      </c>
      <c r="I429" s="1118">
        <f t="shared" si="1"/>
        <v>115910</v>
      </c>
      <c r="J429" s="1118">
        <f t="shared" si="2"/>
        <v>127500</v>
      </c>
      <c r="K429" s="1110"/>
    </row>
    <row r="430" ht="18.75" customHeight="1">
      <c r="A430" s="1110"/>
      <c r="B430" s="1108" t="s">
        <v>9606</v>
      </c>
      <c r="C430" s="1108" t="s">
        <v>9607</v>
      </c>
      <c r="D430" s="1116" t="s">
        <v>9616</v>
      </c>
      <c r="E430" s="1116" t="s">
        <v>9617</v>
      </c>
      <c r="F430" s="1109">
        <v>0.1</v>
      </c>
      <c r="G430" s="1109">
        <v>0.0</v>
      </c>
      <c r="H430" s="1118"/>
      <c r="I430" s="1118" t="str">
        <f t="shared" si="1"/>
        <v/>
      </c>
      <c r="J430" s="1118" t="str">
        <f t="shared" si="2"/>
        <v/>
      </c>
      <c r="K430" s="1110"/>
    </row>
    <row r="431" ht="18.75" customHeight="1">
      <c r="A431" s="1110"/>
      <c r="B431" s="1108" t="s">
        <v>9606</v>
      </c>
      <c r="C431" s="1108" t="s">
        <v>9607</v>
      </c>
      <c r="D431" s="1116" t="s">
        <v>9618</v>
      </c>
      <c r="E431" s="1116" t="s">
        <v>9619</v>
      </c>
      <c r="F431" s="1109">
        <v>0.1</v>
      </c>
      <c r="G431" s="1109">
        <v>0.0</v>
      </c>
      <c r="H431" s="1118"/>
      <c r="I431" s="1118" t="str">
        <f t="shared" si="1"/>
        <v/>
      </c>
      <c r="J431" s="1118" t="str">
        <f t="shared" si="2"/>
        <v/>
      </c>
      <c r="K431" s="1110"/>
    </row>
    <row r="432" ht="18.75" customHeight="1">
      <c r="A432" s="1110"/>
      <c r="B432" s="1108" t="s">
        <v>9606</v>
      </c>
      <c r="C432" s="1108" t="s">
        <v>9607</v>
      </c>
      <c r="D432" s="1116" t="s">
        <v>955</v>
      </c>
      <c r="E432" s="1116" t="s">
        <v>956</v>
      </c>
      <c r="F432" s="1109">
        <v>0.1</v>
      </c>
      <c r="G432" s="1109">
        <v>0.0</v>
      </c>
      <c r="H432" s="1118">
        <v>37100.0</v>
      </c>
      <c r="I432" s="1118">
        <f t="shared" si="1"/>
        <v>33730</v>
      </c>
      <c r="J432" s="1118">
        <f t="shared" si="2"/>
        <v>37100</v>
      </c>
      <c r="K432" s="1110"/>
    </row>
    <row r="433" ht="18.75" customHeight="1">
      <c r="A433" s="1110"/>
      <c r="B433" s="1108" t="s">
        <v>9606</v>
      </c>
      <c r="C433" s="1108" t="s">
        <v>9607</v>
      </c>
      <c r="D433" s="1116" t="s">
        <v>9620</v>
      </c>
      <c r="E433" s="1116" t="s">
        <v>9621</v>
      </c>
      <c r="F433" s="1109">
        <v>0.1</v>
      </c>
      <c r="G433" s="1109">
        <v>0.0</v>
      </c>
      <c r="H433" s="1118"/>
      <c r="I433" s="1118" t="str">
        <f t="shared" si="1"/>
        <v/>
      </c>
      <c r="J433" s="1118" t="str">
        <f t="shared" si="2"/>
        <v/>
      </c>
      <c r="K433" s="1110"/>
    </row>
    <row r="434" ht="18.75" customHeight="1">
      <c r="A434" s="1110"/>
      <c r="B434" s="1108" t="s">
        <v>9606</v>
      </c>
      <c r="C434" s="1108" t="s">
        <v>9607</v>
      </c>
      <c r="D434" s="1116" t="s">
        <v>984</v>
      </c>
      <c r="E434" s="1116" t="s">
        <v>985</v>
      </c>
      <c r="F434" s="1109">
        <v>0.1</v>
      </c>
      <c r="G434" s="1109">
        <v>0.0</v>
      </c>
      <c r="H434" s="1118">
        <v>34980.0</v>
      </c>
      <c r="I434" s="1118">
        <f t="shared" si="1"/>
        <v>31800</v>
      </c>
      <c r="J434" s="1118">
        <f t="shared" si="2"/>
        <v>34980</v>
      </c>
      <c r="K434" s="1110"/>
    </row>
    <row r="435" ht="18.75" customHeight="1">
      <c r="A435" s="1110"/>
      <c r="B435" s="1108" t="s">
        <v>9606</v>
      </c>
      <c r="C435" s="1108" t="s">
        <v>9607</v>
      </c>
      <c r="D435" s="1116" t="s">
        <v>988</v>
      </c>
      <c r="E435" s="1116" t="s">
        <v>989</v>
      </c>
      <c r="F435" s="1109">
        <v>0.1</v>
      </c>
      <c r="G435" s="1109">
        <v>0.0</v>
      </c>
      <c r="H435" s="1118">
        <v>17500.0</v>
      </c>
      <c r="I435" s="1118">
        <f t="shared" si="1"/>
        <v>15910</v>
      </c>
      <c r="J435" s="1118">
        <f t="shared" si="2"/>
        <v>17500</v>
      </c>
      <c r="K435" s="1110"/>
    </row>
    <row r="436" ht="18.75" customHeight="1">
      <c r="A436" s="1110"/>
      <c r="B436" s="1108" t="s">
        <v>9606</v>
      </c>
      <c r="C436" s="1108" t="s">
        <v>9607</v>
      </c>
      <c r="D436" s="1116" t="s">
        <v>992</v>
      </c>
      <c r="E436" s="1116" t="s">
        <v>993</v>
      </c>
      <c r="F436" s="1109">
        <v>0.1</v>
      </c>
      <c r="G436" s="1109">
        <v>0.0</v>
      </c>
      <c r="H436" s="1118">
        <v>34980.0</v>
      </c>
      <c r="I436" s="1118">
        <f t="shared" si="1"/>
        <v>31800</v>
      </c>
      <c r="J436" s="1118">
        <f t="shared" si="2"/>
        <v>34980</v>
      </c>
      <c r="K436" s="1110"/>
    </row>
    <row r="437" ht="18.75" customHeight="1">
      <c r="A437" s="1110"/>
      <c r="B437" s="1108" t="s">
        <v>9606</v>
      </c>
      <c r="C437" s="1108" t="s">
        <v>9607</v>
      </c>
      <c r="D437" s="1116" t="s">
        <v>9622</v>
      </c>
      <c r="E437" s="1116" t="s">
        <v>9623</v>
      </c>
      <c r="F437" s="1109">
        <v>0.1</v>
      </c>
      <c r="G437" s="1109">
        <v>0.0</v>
      </c>
      <c r="H437" s="1118">
        <v>440000.0</v>
      </c>
      <c r="I437" s="1118">
        <f t="shared" si="1"/>
        <v>400000</v>
      </c>
      <c r="J437" s="1118">
        <f t="shared" si="2"/>
        <v>440000</v>
      </c>
      <c r="K437" s="1110"/>
    </row>
    <row r="438" ht="18.75" customHeight="1">
      <c r="A438" s="1110"/>
      <c r="B438" s="1108" t="s">
        <v>9606</v>
      </c>
      <c r="C438" s="1108" t="s">
        <v>9607</v>
      </c>
      <c r="D438" s="1116" t="s">
        <v>1056</v>
      </c>
      <c r="E438" s="1116" t="s">
        <v>1057</v>
      </c>
      <c r="F438" s="1109">
        <v>0.1</v>
      </c>
      <c r="G438" s="1109">
        <v>0.0</v>
      </c>
      <c r="H438" s="1118">
        <v>4167619.1999999997</v>
      </c>
      <c r="I438" s="1118">
        <f t="shared" si="1"/>
        <v>3788740</v>
      </c>
      <c r="J438" s="1118">
        <f t="shared" si="2"/>
        <v>4167620</v>
      </c>
      <c r="K438" s="1110"/>
    </row>
    <row r="439" ht="18.75" customHeight="1">
      <c r="A439" s="1110"/>
      <c r="B439" s="1108" t="s">
        <v>9606</v>
      </c>
      <c r="C439" s="1108" t="s">
        <v>9607</v>
      </c>
      <c r="D439" s="1116" t="s">
        <v>9624</v>
      </c>
      <c r="E439" s="1116" t="s">
        <v>9625</v>
      </c>
      <c r="F439" s="1109">
        <v>0.1</v>
      </c>
      <c r="G439" s="1109">
        <v>0.0</v>
      </c>
      <c r="H439" s="1118">
        <v>880000.0</v>
      </c>
      <c r="I439" s="1118">
        <f t="shared" si="1"/>
        <v>800000</v>
      </c>
      <c r="J439" s="1118">
        <f t="shared" si="2"/>
        <v>880000</v>
      </c>
      <c r="K439" s="1110"/>
    </row>
    <row r="440" ht="18.75" customHeight="1">
      <c r="A440" s="1110"/>
      <c r="B440" s="1108" t="s">
        <v>9606</v>
      </c>
      <c r="C440" s="1108" t="s">
        <v>9607</v>
      </c>
      <c r="D440" s="1116" t="s">
        <v>9626</v>
      </c>
      <c r="E440" s="1116" t="s">
        <v>9627</v>
      </c>
      <c r="F440" s="1109">
        <v>0.1</v>
      </c>
      <c r="G440" s="1109">
        <v>0.0</v>
      </c>
      <c r="H440" s="1118">
        <v>1045000.0</v>
      </c>
      <c r="I440" s="1118">
        <f t="shared" si="1"/>
        <v>950000</v>
      </c>
      <c r="J440" s="1118">
        <f t="shared" si="2"/>
        <v>1045000</v>
      </c>
      <c r="K440" s="1110"/>
    </row>
    <row r="441" ht="18.75" customHeight="1">
      <c r="A441" s="1110"/>
      <c r="B441" s="1108" t="s">
        <v>9606</v>
      </c>
      <c r="C441" s="1108" t="s">
        <v>9607</v>
      </c>
      <c r="D441" s="1116" t="s">
        <v>9628</v>
      </c>
      <c r="E441" s="1116" t="s">
        <v>9629</v>
      </c>
      <c r="F441" s="1109">
        <v>0.1</v>
      </c>
      <c r="G441" s="1109">
        <v>0.0</v>
      </c>
      <c r="H441" s="1118">
        <v>1155000.0</v>
      </c>
      <c r="I441" s="1118">
        <f t="shared" si="1"/>
        <v>1050000</v>
      </c>
      <c r="J441" s="1118">
        <f t="shared" si="2"/>
        <v>1155000</v>
      </c>
      <c r="K441" s="1110"/>
    </row>
    <row r="442" ht="18.75" customHeight="1">
      <c r="A442" s="1110"/>
      <c r="B442" s="1108" t="s">
        <v>9606</v>
      </c>
      <c r="C442" s="1108" t="s">
        <v>9607</v>
      </c>
      <c r="D442" s="1116" t="s">
        <v>9630</v>
      </c>
      <c r="E442" s="1116" t="s">
        <v>9631</v>
      </c>
      <c r="F442" s="1109">
        <v>0.1</v>
      </c>
      <c r="G442" s="1109">
        <v>0.0</v>
      </c>
      <c r="H442" s="1118">
        <v>1100000.0</v>
      </c>
      <c r="I442" s="1118">
        <f t="shared" si="1"/>
        <v>1000000</v>
      </c>
      <c r="J442" s="1118">
        <f t="shared" si="2"/>
        <v>1100000</v>
      </c>
      <c r="K442" s="1110"/>
    </row>
    <row r="443" ht="18.75" customHeight="1">
      <c r="A443" s="1110"/>
      <c r="B443" s="1108" t="s">
        <v>9606</v>
      </c>
      <c r="C443" s="1108" t="s">
        <v>9607</v>
      </c>
      <c r="D443" s="1116" t="s">
        <v>9632</v>
      </c>
      <c r="E443" s="1116" t="s">
        <v>9633</v>
      </c>
      <c r="F443" s="1109">
        <v>0.1</v>
      </c>
      <c r="G443" s="1109">
        <v>0.0</v>
      </c>
      <c r="H443" s="1118">
        <v>880000.0</v>
      </c>
      <c r="I443" s="1118">
        <f t="shared" si="1"/>
        <v>800000</v>
      </c>
      <c r="J443" s="1118">
        <f t="shared" si="2"/>
        <v>880000</v>
      </c>
      <c r="K443" s="1110"/>
    </row>
    <row r="444" ht="18.75" customHeight="1">
      <c r="A444" s="1110"/>
      <c r="B444" s="1108" t="s">
        <v>9606</v>
      </c>
      <c r="C444" s="1108" t="s">
        <v>9607</v>
      </c>
      <c r="D444" s="1116" t="s">
        <v>9634</v>
      </c>
      <c r="E444" s="1116" t="s">
        <v>9635</v>
      </c>
      <c r="F444" s="1109">
        <v>0.1</v>
      </c>
      <c r="G444" s="1109">
        <v>0.0</v>
      </c>
      <c r="H444" s="1118">
        <v>1100000.0</v>
      </c>
      <c r="I444" s="1118">
        <f t="shared" si="1"/>
        <v>1000000</v>
      </c>
      <c r="J444" s="1118">
        <f t="shared" si="2"/>
        <v>1100000</v>
      </c>
      <c r="K444" s="1110"/>
    </row>
    <row r="445" ht="18.75" customHeight="1">
      <c r="A445" s="1110"/>
      <c r="B445" s="1108" t="s">
        <v>9606</v>
      </c>
      <c r="C445" s="1108" t="s">
        <v>9607</v>
      </c>
      <c r="D445" s="1116" t="s">
        <v>9636</v>
      </c>
      <c r="E445" s="1116" t="s">
        <v>9637</v>
      </c>
      <c r="F445" s="1109">
        <v>0.1</v>
      </c>
      <c r="G445" s="1109">
        <v>0.0</v>
      </c>
      <c r="H445" s="1118">
        <v>40000.0</v>
      </c>
      <c r="I445" s="1118">
        <f t="shared" si="1"/>
        <v>36360</v>
      </c>
      <c r="J445" s="1118">
        <f t="shared" si="2"/>
        <v>40000</v>
      </c>
      <c r="K445" s="1110"/>
    </row>
    <row r="446" ht="18.75" customHeight="1">
      <c r="A446" s="1110"/>
      <c r="B446" s="1108" t="s">
        <v>9606</v>
      </c>
      <c r="C446" s="1108" t="s">
        <v>9607</v>
      </c>
      <c r="D446" s="1116" t="s">
        <v>852</v>
      </c>
      <c r="E446" s="1116" t="s">
        <v>853</v>
      </c>
      <c r="F446" s="1109">
        <v>0.1</v>
      </c>
      <c r="G446" s="1109">
        <v>0.0</v>
      </c>
      <c r="H446" s="1118">
        <v>357000.0</v>
      </c>
      <c r="I446" s="1118">
        <f t="shared" si="1"/>
        <v>324550</v>
      </c>
      <c r="J446" s="1118">
        <f t="shared" si="2"/>
        <v>357000</v>
      </c>
      <c r="K446" s="1110"/>
    </row>
    <row r="447" ht="18.75" customHeight="1">
      <c r="A447" s="1110"/>
      <c r="B447" s="1108" t="s">
        <v>9606</v>
      </c>
      <c r="C447" s="1108" t="s">
        <v>9607</v>
      </c>
      <c r="D447" s="1116" t="s">
        <v>856</v>
      </c>
      <c r="E447" s="1116" t="s">
        <v>857</v>
      </c>
      <c r="F447" s="1109">
        <v>0.1</v>
      </c>
      <c r="G447" s="1109">
        <v>0.0</v>
      </c>
      <c r="H447" s="1118">
        <v>357000.0</v>
      </c>
      <c r="I447" s="1118">
        <f t="shared" si="1"/>
        <v>324550</v>
      </c>
      <c r="J447" s="1118">
        <f t="shared" si="2"/>
        <v>357000</v>
      </c>
      <c r="K447" s="1110"/>
    </row>
    <row r="448" ht="18.75" customHeight="1">
      <c r="A448" s="1110"/>
      <c r="B448" s="1108" t="s">
        <v>9606</v>
      </c>
      <c r="C448" s="1108" t="s">
        <v>9607</v>
      </c>
      <c r="D448" s="1116" t="s">
        <v>886</v>
      </c>
      <c r="E448" s="1116" t="s">
        <v>887</v>
      </c>
      <c r="F448" s="1109">
        <v>0.1</v>
      </c>
      <c r="G448" s="1109">
        <v>0.0</v>
      </c>
      <c r="H448" s="1118">
        <v>70000.0</v>
      </c>
      <c r="I448" s="1118">
        <f t="shared" si="1"/>
        <v>63640</v>
      </c>
      <c r="J448" s="1118">
        <f t="shared" si="2"/>
        <v>70000</v>
      </c>
      <c r="K448" s="1110"/>
    </row>
    <row r="449" ht="18.75" customHeight="1">
      <c r="A449" s="1110"/>
      <c r="B449" s="1108" t="s">
        <v>9606</v>
      </c>
      <c r="C449" s="1108" t="s">
        <v>9607</v>
      </c>
      <c r="D449" s="1116" t="s">
        <v>1103</v>
      </c>
      <c r="E449" s="1116" t="s">
        <v>1104</v>
      </c>
      <c r="F449" s="1109">
        <v>0.1</v>
      </c>
      <c r="G449" s="1109">
        <v>0.0</v>
      </c>
      <c r="H449" s="1118">
        <v>24500.0</v>
      </c>
      <c r="I449" s="1118">
        <f t="shared" si="1"/>
        <v>22270</v>
      </c>
      <c r="J449" s="1118">
        <f t="shared" si="2"/>
        <v>24500</v>
      </c>
      <c r="K449" s="1110"/>
    </row>
    <row r="450" ht="18.75" customHeight="1">
      <c r="A450" s="1110"/>
      <c r="B450" s="1108" t="s">
        <v>9606</v>
      </c>
      <c r="C450" s="1108" t="s">
        <v>9607</v>
      </c>
      <c r="D450" s="1116" t="s">
        <v>9638</v>
      </c>
      <c r="E450" s="1116" t="s">
        <v>9639</v>
      </c>
      <c r="F450" s="1109">
        <v>0.1</v>
      </c>
      <c r="G450" s="1109">
        <v>0.0</v>
      </c>
      <c r="H450" s="1118"/>
      <c r="I450" s="1118" t="str">
        <f t="shared" si="1"/>
        <v/>
      </c>
      <c r="J450" s="1118" t="str">
        <f t="shared" si="2"/>
        <v/>
      </c>
      <c r="K450" s="1110"/>
    </row>
    <row r="451" ht="18.75" customHeight="1">
      <c r="A451" s="1110"/>
      <c r="B451" s="1108" t="s">
        <v>9606</v>
      </c>
      <c r="C451" s="1108" t="s">
        <v>9607</v>
      </c>
      <c r="D451" s="1116" t="s">
        <v>9640</v>
      </c>
      <c r="E451" s="1116" t="s">
        <v>9641</v>
      </c>
      <c r="F451" s="1109">
        <v>0.1</v>
      </c>
      <c r="G451" s="1109">
        <v>0.0</v>
      </c>
      <c r="H451" s="1118"/>
      <c r="I451" s="1118" t="str">
        <f t="shared" si="1"/>
        <v/>
      </c>
      <c r="J451" s="1118" t="str">
        <f t="shared" si="2"/>
        <v/>
      </c>
      <c r="K451" s="1110"/>
    </row>
    <row r="452" ht="18.75" customHeight="1">
      <c r="A452" s="1110"/>
      <c r="B452" s="1108" t="s">
        <v>9606</v>
      </c>
      <c r="C452" s="1108" t="s">
        <v>9607</v>
      </c>
      <c r="D452" s="1116" t="s">
        <v>9642</v>
      </c>
      <c r="E452" s="1116" t="s">
        <v>9643</v>
      </c>
      <c r="F452" s="1109">
        <v>0.1</v>
      </c>
      <c r="G452" s="1109">
        <v>0.0</v>
      </c>
      <c r="H452" s="1118"/>
      <c r="I452" s="1118" t="str">
        <f t="shared" si="1"/>
        <v/>
      </c>
      <c r="J452" s="1118" t="str">
        <f t="shared" si="2"/>
        <v/>
      </c>
      <c r="K452" s="1110"/>
    </row>
    <row r="453" ht="18.75" customHeight="1">
      <c r="A453" s="1110"/>
      <c r="B453" s="1108" t="s">
        <v>9606</v>
      </c>
      <c r="C453" s="1108" t="s">
        <v>9607</v>
      </c>
      <c r="D453" s="1116" t="s">
        <v>1001</v>
      </c>
      <c r="E453" s="1116" t="s">
        <v>1002</v>
      </c>
      <c r="F453" s="1109">
        <v>0.1</v>
      </c>
      <c r="G453" s="1109">
        <v>0.0</v>
      </c>
      <c r="H453" s="1118">
        <v>6000.0</v>
      </c>
      <c r="I453" s="1118">
        <f t="shared" si="1"/>
        <v>5450</v>
      </c>
      <c r="J453" s="1118">
        <f t="shared" si="2"/>
        <v>6000</v>
      </c>
      <c r="K453" s="1110"/>
    </row>
    <row r="454" ht="18.75" customHeight="1">
      <c r="A454" s="1110"/>
      <c r="B454" s="1108" t="s">
        <v>9606</v>
      </c>
      <c r="C454" s="1108" t="s">
        <v>9607</v>
      </c>
      <c r="D454" s="1116" t="s">
        <v>996</v>
      </c>
      <c r="E454" s="1116" t="s">
        <v>997</v>
      </c>
      <c r="F454" s="1109">
        <v>0.1</v>
      </c>
      <c r="G454" s="1109">
        <v>0.0</v>
      </c>
      <c r="H454" s="1118">
        <v>14500.0</v>
      </c>
      <c r="I454" s="1118">
        <f t="shared" si="1"/>
        <v>13180</v>
      </c>
      <c r="J454" s="1118">
        <f t="shared" si="2"/>
        <v>14500</v>
      </c>
      <c r="K454" s="1110"/>
    </row>
    <row r="455" ht="18.75" customHeight="1">
      <c r="A455" s="1110"/>
      <c r="B455" s="1108" t="s">
        <v>9606</v>
      </c>
      <c r="C455" s="1108" t="s">
        <v>9607</v>
      </c>
      <c r="D455" s="1116" t="s">
        <v>9644</v>
      </c>
      <c r="E455" s="1116" t="s">
        <v>9645</v>
      </c>
      <c r="F455" s="1109">
        <v>0.1</v>
      </c>
      <c r="G455" s="1109">
        <v>0.0</v>
      </c>
      <c r="H455" s="1118"/>
      <c r="I455" s="1118" t="str">
        <f t="shared" si="1"/>
        <v/>
      </c>
      <c r="J455" s="1118" t="str">
        <f t="shared" si="2"/>
        <v/>
      </c>
      <c r="K455" s="1110"/>
    </row>
    <row r="456" ht="18.75" customHeight="1">
      <c r="A456" s="1110"/>
      <c r="B456" s="1108" t="s">
        <v>9606</v>
      </c>
      <c r="C456" s="1108" t="s">
        <v>9607</v>
      </c>
      <c r="D456" s="1116" t="s">
        <v>9646</v>
      </c>
      <c r="E456" s="1116" t="s">
        <v>9647</v>
      </c>
      <c r="F456" s="1109">
        <v>0.1</v>
      </c>
      <c r="G456" s="1109">
        <v>0.0</v>
      </c>
      <c r="H456" s="1118">
        <v>45460.0</v>
      </c>
      <c r="I456" s="1118">
        <f t="shared" si="1"/>
        <v>41330</v>
      </c>
      <c r="J456" s="1118">
        <f t="shared" si="2"/>
        <v>45460</v>
      </c>
      <c r="K456" s="1110"/>
    </row>
    <row r="457" ht="18.75" customHeight="1">
      <c r="A457" s="1110"/>
      <c r="B457" s="1108" t="s">
        <v>9606</v>
      </c>
      <c r="C457" s="1108" t="s">
        <v>9607</v>
      </c>
      <c r="D457" s="1116" t="s">
        <v>9648</v>
      </c>
      <c r="E457" s="1116" t="s">
        <v>9649</v>
      </c>
      <c r="F457" s="1109">
        <v>0.1</v>
      </c>
      <c r="G457" s="1109">
        <v>0.0</v>
      </c>
      <c r="H457" s="1118"/>
      <c r="I457" s="1118" t="str">
        <f t="shared" si="1"/>
        <v/>
      </c>
      <c r="J457" s="1118" t="str">
        <f t="shared" si="2"/>
        <v/>
      </c>
      <c r="K457" s="1110"/>
    </row>
    <row r="458" ht="18.75" customHeight="1">
      <c r="A458" s="1110"/>
      <c r="B458" s="1108" t="s">
        <v>9606</v>
      </c>
      <c r="C458" s="1108" t="s">
        <v>9607</v>
      </c>
      <c r="D458" s="1116" t="s">
        <v>9650</v>
      </c>
      <c r="E458" s="1116" t="s">
        <v>9651</v>
      </c>
      <c r="F458" s="1109">
        <v>0.1</v>
      </c>
      <c r="G458" s="1109">
        <v>0.0</v>
      </c>
      <c r="H458" s="1118">
        <v>11000.0</v>
      </c>
      <c r="I458" s="1118">
        <f t="shared" si="1"/>
        <v>10000</v>
      </c>
      <c r="J458" s="1118">
        <f t="shared" si="2"/>
        <v>11000</v>
      </c>
      <c r="K458" s="1110"/>
    </row>
    <row r="459" ht="18.75" customHeight="1">
      <c r="A459" s="1110"/>
      <c r="B459" s="1108" t="s">
        <v>9606</v>
      </c>
      <c r="C459" s="1108" t="s">
        <v>9607</v>
      </c>
      <c r="D459" s="1116" t="s">
        <v>914</v>
      </c>
      <c r="E459" s="1116" t="s">
        <v>915</v>
      </c>
      <c r="F459" s="1109">
        <v>0.1</v>
      </c>
      <c r="G459" s="1109">
        <v>0.0</v>
      </c>
      <c r="H459" s="1118">
        <v>90000.0</v>
      </c>
      <c r="I459" s="1118">
        <f t="shared" si="1"/>
        <v>81820</v>
      </c>
      <c r="J459" s="1118">
        <f t="shared" si="2"/>
        <v>90000</v>
      </c>
      <c r="K459" s="1110"/>
    </row>
    <row r="460" ht="18.75" customHeight="1">
      <c r="A460" s="1110"/>
      <c r="B460" s="1108" t="s">
        <v>9606</v>
      </c>
      <c r="C460" s="1108" t="s">
        <v>9607</v>
      </c>
      <c r="D460" s="1116" t="s">
        <v>9652</v>
      </c>
      <c r="E460" s="1116" t="s">
        <v>9653</v>
      </c>
      <c r="F460" s="1109">
        <v>0.1</v>
      </c>
      <c r="G460" s="1109">
        <v>0.0</v>
      </c>
      <c r="H460" s="1118"/>
      <c r="I460" s="1118" t="str">
        <f t="shared" si="1"/>
        <v/>
      </c>
      <c r="J460" s="1118" t="str">
        <f t="shared" si="2"/>
        <v/>
      </c>
      <c r="K460" s="1110"/>
    </row>
    <row r="461" ht="18.75" customHeight="1">
      <c r="A461" s="1110"/>
      <c r="B461" s="1108" t="s">
        <v>9606</v>
      </c>
      <c r="C461" s="1108" t="s">
        <v>9607</v>
      </c>
      <c r="D461" s="1116" t="s">
        <v>9654</v>
      </c>
      <c r="E461" s="1116" t="s">
        <v>9655</v>
      </c>
      <c r="F461" s="1109">
        <v>0.1</v>
      </c>
      <c r="G461" s="1109">
        <v>0.0</v>
      </c>
      <c r="H461" s="1118">
        <v>935000.0</v>
      </c>
      <c r="I461" s="1118">
        <f t="shared" si="1"/>
        <v>850000</v>
      </c>
      <c r="J461" s="1118">
        <f t="shared" si="2"/>
        <v>935000</v>
      </c>
      <c r="K461" s="1110"/>
    </row>
    <row r="462" ht="18.75" customHeight="1">
      <c r="A462" s="1110"/>
      <c r="B462" s="1108" t="s">
        <v>9606</v>
      </c>
      <c r="C462" s="1108" t="s">
        <v>9607</v>
      </c>
      <c r="D462" s="1116" t="s">
        <v>9656</v>
      </c>
      <c r="E462" s="1116" t="s">
        <v>9657</v>
      </c>
      <c r="F462" s="1109">
        <v>0.1</v>
      </c>
      <c r="G462" s="1109">
        <v>0.0</v>
      </c>
      <c r="H462" s="1118">
        <v>432660.0</v>
      </c>
      <c r="I462" s="1118">
        <f t="shared" si="1"/>
        <v>393330</v>
      </c>
      <c r="J462" s="1118">
        <f t="shared" si="2"/>
        <v>432660</v>
      </c>
      <c r="K462" s="1110"/>
    </row>
    <row r="463" ht="18.75" customHeight="1">
      <c r="A463" s="1110"/>
      <c r="B463" s="1108" t="s">
        <v>9606</v>
      </c>
      <c r="C463" s="1108" t="s">
        <v>9607</v>
      </c>
      <c r="D463" s="1116" t="s">
        <v>9658</v>
      </c>
      <c r="E463" s="1116" t="s">
        <v>9659</v>
      </c>
      <c r="F463" s="1109">
        <v>0.1</v>
      </c>
      <c r="G463" s="1109">
        <v>0.0</v>
      </c>
      <c r="H463" s="1118"/>
      <c r="I463" s="1118" t="str">
        <f t="shared" si="1"/>
        <v/>
      </c>
      <c r="J463" s="1118" t="str">
        <f t="shared" si="2"/>
        <v/>
      </c>
      <c r="K463" s="1110"/>
    </row>
    <row r="464" ht="18.75" customHeight="1">
      <c r="A464" s="1110"/>
      <c r="B464" s="1108" t="s">
        <v>9606</v>
      </c>
      <c r="C464" s="1108" t="s">
        <v>9607</v>
      </c>
      <c r="D464" s="1116" t="s">
        <v>9660</v>
      </c>
      <c r="E464" s="1116" t="s">
        <v>9661</v>
      </c>
      <c r="F464" s="1109">
        <v>0.1</v>
      </c>
      <c r="G464" s="1109">
        <v>0.0</v>
      </c>
      <c r="H464" s="1118"/>
      <c r="I464" s="1118" t="str">
        <f t="shared" si="1"/>
        <v/>
      </c>
      <c r="J464" s="1118" t="str">
        <f t="shared" si="2"/>
        <v/>
      </c>
      <c r="K464" s="1110"/>
    </row>
    <row r="465" ht="18.75" customHeight="1">
      <c r="A465" s="1110"/>
      <c r="B465" s="1108" t="s">
        <v>9606</v>
      </c>
      <c r="C465" s="1108" t="s">
        <v>9607</v>
      </c>
      <c r="D465" s="1116" t="s">
        <v>9662</v>
      </c>
      <c r="E465" s="1116" t="s">
        <v>9663</v>
      </c>
      <c r="F465" s="1109">
        <v>0.1</v>
      </c>
      <c r="G465" s="1109">
        <v>0.0</v>
      </c>
      <c r="H465" s="1118">
        <v>440000.0</v>
      </c>
      <c r="I465" s="1118">
        <f t="shared" si="1"/>
        <v>400000</v>
      </c>
      <c r="J465" s="1118">
        <f t="shared" si="2"/>
        <v>440000</v>
      </c>
      <c r="K465" s="1110"/>
    </row>
    <row r="466" ht="18.75" customHeight="1">
      <c r="A466" s="1110"/>
      <c r="B466" s="1108" t="s">
        <v>9606</v>
      </c>
      <c r="C466" s="1108" t="s">
        <v>9607</v>
      </c>
      <c r="D466" s="1116" t="s">
        <v>9664</v>
      </c>
      <c r="E466" s="1116" t="s">
        <v>9665</v>
      </c>
      <c r="F466" s="1109">
        <v>0.1</v>
      </c>
      <c r="G466" s="1109">
        <v>0.0</v>
      </c>
      <c r="H466" s="1118">
        <v>110000.0</v>
      </c>
      <c r="I466" s="1118">
        <f t="shared" si="1"/>
        <v>100000</v>
      </c>
      <c r="J466" s="1118">
        <f t="shared" si="2"/>
        <v>110000</v>
      </c>
      <c r="K466" s="1110"/>
    </row>
    <row r="467" ht="18.75" customHeight="1">
      <c r="A467" s="1110"/>
      <c r="B467" s="1108" t="s">
        <v>9606</v>
      </c>
      <c r="C467" s="1108" t="s">
        <v>9607</v>
      </c>
      <c r="D467" s="1116" t="s">
        <v>9666</v>
      </c>
      <c r="E467" s="1116" t="s">
        <v>9667</v>
      </c>
      <c r="F467" s="1109">
        <v>0.1</v>
      </c>
      <c r="G467" s="1109">
        <v>0.0</v>
      </c>
      <c r="H467" s="1118">
        <v>114030.0</v>
      </c>
      <c r="I467" s="1118">
        <f t="shared" si="1"/>
        <v>103660</v>
      </c>
      <c r="J467" s="1118">
        <f t="shared" si="2"/>
        <v>114030</v>
      </c>
      <c r="K467" s="1110"/>
    </row>
    <row r="468" ht="18.75" customHeight="1">
      <c r="A468" s="1110"/>
      <c r="B468" s="1108" t="s">
        <v>9606</v>
      </c>
      <c r="C468" s="1108" t="s">
        <v>9607</v>
      </c>
      <c r="D468" s="1116" t="s">
        <v>511</v>
      </c>
      <c r="E468" s="1116" t="s">
        <v>512</v>
      </c>
      <c r="F468" s="1109">
        <v>0.1</v>
      </c>
      <c r="G468" s="1109">
        <v>0.0</v>
      </c>
      <c r="H468" s="1118">
        <v>34000.0</v>
      </c>
      <c r="I468" s="1118">
        <f t="shared" si="1"/>
        <v>30910</v>
      </c>
      <c r="J468" s="1118">
        <f t="shared" si="2"/>
        <v>34000</v>
      </c>
      <c r="K468" s="1110"/>
    </row>
    <row r="469" ht="18.75" customHeight="1">
      <c r="A469" s="1110"/>
      <c r="B469" s="1108" t="s">
        <v>9606</v>
      </c>
      <c r="C469" s="1108" t="s">
        <v>9607</v>
      </c>
      <c r="D469" s="1116" t="s">
        <v>1127</v>
      </c>
      <c r="E469" s="1116" t="s">
        <v>1128</v>
      </c>
      <c r="F469" s="1109">
        <v>0.1</v>
      </c>
      <c r="G469" s="1109">
        <v>0.0</v>
      </c>
      <c r="H469" s="1118">
        <v>30470.0</v>
      </c>
      <c r="I469" s="1118">
        <f t="shared" si="1"/>
        <v>27700</v>
      </c>
      <c r="J469" s="1118">
        <f t="shared" si="2"/>
        <v>30470</v>
      </c>
      <c r="K469" s="1110"/>
    </row>
    <row r="470" ht="18.75" customHeight="1">
      <c r="A470" s="1110"/>
      <c r="B470" s="1108" t="s">
        <v>9606</v>
      </c>
      <c r="C470" s="1108" t="s">
        <v>9607</v>
      </c>
      <c r="D470" s="1116" t="s">
        <v>513</v>
      </c>
      <c r="E470" s="1116" t="s">
        <v>514</v>
      </c>
      <c r="F470" s="1109">
        <v>0.1</v>
      </c>
      <c r="G470" s="1109">
        <v>0.0</v>
      </c>
      <c r="H470" s="1118">
        <v>37000.0</v>
      </c>
      <c r="I470" s="1118">
        <f t="shared" si="1"/>
        <v>33640</v>
      </c>
      <c r="J470" s="1118">
        <f t="shared" si="2"/>
        <v>37000</v>
      </c>
      <c r="K470" s="1110"/>
    </row>
    <row r="471" ht="18.75" customHeight="1">
      <c r="A471" s="1110"/>
      <c r="B471" s="1108" t="s">
        <v>9606</v>
      </c>
      <c r="C471" s="1108" t="s">
        <v>9607</v>
      </c>
      <c r="D471" s="1116" t="s">
        <v>9668</v>
      </c>
      <c r="E471" s="1116" t="s">
        <v>9669</v>
      </c>
      <c r="F471" s="1109">
        <v>0.1</v>
      </c>
      <c r="G471" s="1109">
        <v>0.0</v>
      </c>
      <c r="H471" s="1118">
        <v>35200.0</v>
      </c>
      <c r="I471" s="1118">
        <f t="shared" si="1"/>
        <v>32000</v>
      </c>
      <c r="J471" s="1118">
        <f t="shared" si="2"/>
        <v>35200</v>
      </c>
      <c r="K471" s="1110"/>
    </row>
    <row r="472" ht="18.75" customHeight="1">
      <c r="A472" s="1110"/>
      <c r="B472" s="1108" t="s">
        <v>9606</v>
      </c>
      <c r="C472" s="1108" t="s">
        <v>9607</v>
      </c>
      <c r="D472" s="1116" t="s">
        <v>957</v>
      </c>
      <c r="E472" s="1116" t="s">
        <v>958</v>
      </c>
      <c r="F472" s="1109">
        <v>0.1</v>
      </c>
      <c r="G472" s="1109">
        <v>0.0</v>
      </c>
      <c r="H472" s="1118">
        <v>25960.0</v>
      </c>
      <c r="I472" s="1118">
        <f t="shared" si="1"/>
        <v>23600</v>
      </c>
      <c r="J472" s="1118">
        <f t="shared" si="2"/>
        <v>25960</v>
      </c>
      <c r="K472" s="1110"/>
    </row>
    <row r="473" ht="18.75" customHeight="1">
      <c r="A473" s="1110"/>
      <c r="B473" s="1108" t="s">
        <v>9606</v>
      </c>
      <c r="C473" s="1108" t="s">
        <v>9607</v>
      </c>
      <c r="D473" s="1116" t="s">
        <v>959</v>
      </c>
      <c r="E473" s="1116" t="s">
        <v>960</v>
      </c>
      <c r="F473" s="1109">
        <v>0.1</v>
      </c>
      <c r="G473" s="1109">
        <v>0.0</v>
      </c>
      <c r="H473" s="1118">
        <v>32010.0</v>
      </c>
      <c r="I473" s="1118">
        <f t="shared" si="1"/>
        <v>29100</v>
      </c>
      <c r="J473" s="1118">
        <f t="shared" si="2"/>
        <v>32010</v>
      </c>
      <c r="K473" s="1110"/>
    </row>
    <row r="474" ht="18.75" customHeight="1">
      <c r="A474" s="1110"/>
      <c r="B474" s="1108" t="s">
        <v>9606</v>
      </c>
      <c r="C474" s="1108" t="s">
        <v>9607</v>
      </c>
      <c r="D474" s="1116" t="s">
        <v>1028</v>
      </c>
      <c r="E474" s="1116" t="s">
        <v>1029</v>
      </c>
      <c r="F474" s="1109">
        <v>0.1</v>
      </c>
      <c r="G474" s="1109">
        <v>0.0</v>
      </c>
      <c r="H474" s="1118">
        <v>282800.0</v>
      </c>
      <c r="I474" s="1118">
        <f t="shared" si="1"/>
        <v>257090</v>
      </c>
      <c r="J474" s="1118">
        <f t="shared" si="2"/>
        <v>282800</v>
      </c>
      <c r="K474" s="1110"/>
    </row>
    <row r="475" ht="18.75" customHeight="1">
      <c r="A475" s="1110"/>
      <c r="B475" s="1108" t="s">
        <v>9606</v>
      </c>
      <c r="C475" s="1108" t="s">
        <v>9607</v>
      </c>
      <c r="D475" s="1116" t="s">
        <v>1032</v>
      </c>
      <c r="E475" s="1116" t="s">
        <v>1033</v>
      </c>
      <c r="F475" s="1109">
        <v>0.1</v>
      </c>
      <c r="G475" s="1109">
        <v>0.0</v>
      </c>
      <c r="H475" s="1118">
        <v>150500.0</v>
      </c>
      <c r="I475" s="1118">
        <f t="shared" si="1"/>
        <v>136820</v>
      </c>
      <c r="J475" s="1118">
        <f t="shared" si="2"/>
        <v>150500</v>
      </c>
      <c r="K475" s="1110"/>
    </row>
    <row r="476" ht="18.75" customHeight="1">
      <c r="A476" s="1110"/>
      <c r="B476" s="1108" t="s">
        <v>9606</v>
      </c>
      <c r="C476" s="1108" t="s">
        <v>9607</v>
      </c>
      <c r="D476" s="1116" t="s">
        <v>9670</v>
      </c>
      <c r="E476" s="1116" t="s">
        <v>9671</v>
      </c>
      <c r="F476" s="1109">
        <v>0.1</v>
      </c>
      <c r="G476" s="1109">
        <v>0.0</v>
      </c>
      <c r="H476" s="1118">
        <v>583000.0</v>
      </c>
      <c r="I476" s="1118">
        <f t="shared" si="1"/>
        <v>530000</v>
      </c>
      <c r="J476" s="1118">
        <f t="shared" si="2"/>
        <v>583000</v>
      </c>
      <c r="K476" s="1110"/>
    </row>
    <row r="477" ht="18.75" customHeight="1">
      <c r="A477" s="1110"/>
      <c r="B477" s="1108" t="s">
        <v>9606</v>
      </c>
      <c r="C477" s="1108" t="s">
        <v>9607</v>
      </c>
      <c r="D477" s="1116" t="s">
        <v>9672</v>
      </c>
      <c r="E477" s="1116" t="s">
        <v>9673</v>
      </c>
      <c r="F477" s="1109">
        <v>0.1</v>
      </c>
      <c r="G477" s="1109">
        <v>0.0</v>
      </c>
      <c r="H477" s="1118"/>
      <c r="I477" s="1118" t="str">
        <f t="shared" si="1"/>
        <v/>
      </c>
      <c r="J477" s="1118" t="str">
        <f t="shared" si="2"/>
        <v/>
      </c>
      <c r="K477" s="1110"/>
    </row>
    <row r="478" ht="18.75" customHeight="1">
      <c r="A478" s="1110"/>
      <c r="B478" s="1108" t="s">
        <v>9606</v>
      </c>
      <c r="C478" s="1108" t="s">
        <v>9607</v>
      </c>
      <c r="D478" s="1116" t="s">
        <v>9674</v>
      </c>
      <c r="E478" s="1116" t="s">
        <v>9675</v>
      </c>
      <c r="F478" s="1109">
        <v>0.1</v>
      </c>
      <c r="G478" s="1109">
        <v>0.0</v>
      </c>
      <c r="H478" s="1118">
        <v>462000.0</v>
      </c>
      <c r="I478" s="1118">
        <f t="shared" si="1"/>
        <v>420000</v>
      </c>
      <c r="J478" s="1118">
        <f t="shared" si="2"/>
        <v>462000</v>
      </c>
      <c r="K478" s="1110"/>
    </row>
    <row r="479" ht="18.75" customHeight="1">
      <c r="A479" s="1110"/>
      <c r="B479" s="1108" t="s">
        <v>9606</v>
      </c>
      <c r="C479" s="1108" t="s">
        <v>9607</v>
      </c>
      <c r="D479" s="1116" t="s">
        <v>1034</v>
      </c>
      <c r="E479" s="1116" t="s">
        <v>1035</v>
      </c>
      <c r="F479" s="1109">
        <v>0.1</v>
      </c>
      <c r="G479" s="1109">
        <v>0.0</v>
      </c>
      <c r="H479" s="1118">
        <v>336000.0</v>
      </c>
      <c r="I479" s="1118">
        <f t="shared" si="1"/>
        <v>305450</v>
      </c>
      <c r="J479" s="1118">
        <f t="shared" si="2"/>
        <v>336000</v>
      </c>
      <c r="K479" s="1110"/>
    </row>
    <row r="480" ht="18.75" customHeight="1">
      <c r="A480" s="1110"/>
      <c r="B480" s="1108" t="s">
        <v>9606</v>
      </c>
      <c r="C480" s="1108" t="s">
        <v>9607</v>
      </c>
      <c r="D480" s="1116" t="s">
        <v>9676</v>
      </c>
      <c r="E480" s="1116" t="s">
        <v>9677</v>
      </c>
      <c r="F480" s="1109">
        <v>0.1</v>
      </c>
      <c r="G480" s="1109">
        <v>0.0</v>
      </c>
      <c r="H480" s="1118">
        <v>308000.0</v>
      </c>
      <c r="I480" s="1118">
        <f t="shared" si="1"/>
        <v>280000</v>
      </c>
      <c r="J480" s="1118">
        <f t="shared" si="2"/>
        <v>308000</v>
      </c>
      <c r="K480" s="1110"/>
    </row>
    <row r="481" ht="18.75" customHeight="1">
      <c r="A481" s="1110"/>
      <c r="B481" s="1108" t="s">
        <v>9606</v>
      </c>
      <c r="C481" s="1108" t="s">
        <v>9607</v>
      </c>
      <c r="D481" s="1116" t="s">
        <v>1105</v>
      </c>
      <c r="E481" s="1116" t="s">
        <v>1106</v>
      </c>
      <c r="F481" s="1109">
        <v>0.1</v>
      </c>
      <c r="G481" s="1109">
        <v>0.0</v>
      </c>
      <c r="H481" s="1118">
        <v>22400.0</v>
      </c>
      <c r="I481" s="1118">
        <f t="shared" si="1"/>
        <v>20360</v>
      </c>
      <c r="J481" s="1118">
        <f t="shared" si="2"/>
        <v>22400</v>
      </c>
      <c r="K481" s="1110"/>
    </row>
    <row r="482" ht="18.75" customHeight="1">
      <c r="A482" s="1110"/>
      <c r="B482" s="1108" t="s">
        <v>9606</v>
      </c>
      <c r="C482" s="1108" t="s">
        <v>9607</v>
      </c>
      <c r="D482" s="1116" t="s">
        <v>1107</v>
      </c>
      <c r="E482" s="1116" t="s">
        <v>1108</v>
      </c>
      <c r="F482" s="1109">
        <v>0.1</v>
      </c>
      <c r="G482" s="1109">
        <v>0.0</v>
      </c>
      <c r="H482" s="1118">
        <v>22400.0</v>
      </c>
      <c r="I482" s="1118">
        <f t="shared" si="1"/>
        <v>20360</v>
      </c>
      <c r="J482" s="1118">
        <f t="shared" si="2"/>
        <v>22400</v>
      </c>
      <c r="K482" s="1110"/>
    </row>
    <row r="483" ht="18.75" customHeight="1">
      <c r="A483" s="1110"/>
      <c r="B483" s="1108" t="s">
        <v>9606</v>
      </c>
      <c r="C483" s="1108" t="s">
        <v>9607</v>
      </c>
      <c r="D483" s="1116" t="s">
        <v>1048</v>
      </c>
      <c r="E483" s="1116" t="s">
        <v>9678</v>
      </c>
      <c r="F483" s="1109">
        <v>0.1</v>
      </c>
      <c r="G483" s="1109">
        <v>0.0</v>
      </c>
      <c r="H483" s="1118">
        <v>96600.0</v>
      </c>
      <c r="I483" s="1118">
        <f t="shared" si="1"/>
        <v>87820</v>
      </c>
      <c r="J483" s="1118">
        <f t="shared" si="2"/>
        <v>96600</v>
      </c>
      <c r="K483" s="1110"/>
    </row>
    <row r="484" ht="18.75" customHeight="1">
      <c r="A484" s="1110"/>
      <c r="B484" s="1108" t="s">
        <v>9606</v>
      </c>
      <c r="C484" s="1108" t="s">
        <v>9607</v>
      </c>
      <c r="D484" s="1116" t="s">
        <v>1050</v>
      </c>
      <c r="E484" s="1116" t="s">
        <v>9679</v>
      </c>
      <c r="F484" s="1109">
        <v>0.1</v>
      </c>
      <c r="G484" s="1109">
        <v>0.0</v>
      </c>
      <c r="H484" s="1118">
        <v>108500.0</v>
      </c>
      <c r="I484" s="1118">
        <f t="shared" si="1"/>
        <v>98640</v>
      </c>
      <c r="J484" s="1118">
        <f t="shared" si="2"/>
        <v>108500</v>
      </c>
      <c r="K484" s="1110"/>
    </row>
    <row r="485" ht="18.75" customHeight="1">
      <c r="A485" s="1110"/>
      <c r="B485" s="1108" t="s">
        <v>9606</v>
      </c>
      <c r="C485" s="1108" t="s">
        <v>9607</v>
      </c>
      <c r="D485" s="1116" t="s">
        <v>1046</v>
      </c>
      <c r="E485" s="1116" t="s">
        <v>1047</v>
      </c>
      <c r="F485" s="1109">
        <v>0.1</v>
      </c>
      <c r="G485" s="1109">
        <v>0.0</v>
      </c>
      <c r="H485" s="1118">
        <v>163800.0</v>
      </c>
      <c r="I485" s="1118">
        <f t="shared" si="1"/>
        <v>148910</v>
      </c>
      <c r="J485" s="1118">
        <f t="shared" si="2"/>
        <v>163800</v>
      </c>
      <c r="K485" s="1110"/>
    </row>
    <row r="486" ht="18.75" customHeight="1">
      <c r="A486" s="1110"/>
      <c r="B486" s="1108" t="s">
        <v>9606</v>
      </c>
      <c r="C486" s="1108" t="s">
        <v>9607</v>
      </c>
      <c r="D486" s="1116" t="s">
        <v>1052</v>
      </c>
      <c r="E486" s="1116" t="s">
        <v>1053</v>
      </c>
      <c r="F486" s="1109">
        <v>0.1</v>
      </c>
      <c r="G486" s="1109">
        <v>0.0</v>
      </c>
      <c r="H486" s="1118">
        <v>108500.0</v>
      </c>
      <c r="I486" s="1118">
        <f t="shared" si="1"/>
        <v>98640</v>
      </c>
      <c r="J486" s="1118">
        <f t="shared" si="2"/>
        <v>108500</v>
      </c>
      <c r="K486" s="1110"/>
    </row>
    <row r="487" ht="18.75" customHeight="1">
      <c r="A487" s="1110"/>
      <c r="B487" s="1108" t="s">
        <v>9606</v>
      </c>
      <c r="C487" s="1108" t="s">
        <v>9607</v>
      </c>
      <c r="D487" s="1116" t="s">
        <v>1054</v>
      </c>
      <c r="E487" s="1116" t="s">
        <v>1055</v>
      </c>
      <c r="F487" s="1109">
        <v>0.1</v>
      </c>
      <c r="G487" s="1109">
        <v>0.0</v>
      </c>
      <c r="H487" s="1118">
        <v>108500.0</v>
      </c>
      <c r="I487" s="1118">
        <f t="shared" si="1"/>
        <v>98640</v>
      </c>
      <c r="J487" s="1118">
        <f t="shared" si="2"/>
        <v>108500</v>
      </c>
      <c r="K487" s="1110"/>
    </row>
    <row r="488" ht="18.75" customHeight="1">
      <c r="A488" s="1110"/>
      <c r="B488" s="1108" t="s">
        <v>9606</v>
      </c>
      <c r="C488" s="1108" t="s">
        <v>9607</v>
      </c>
      <c r="D488" s="1116" t="s">
        <v>910</v>
      </c>
      <c r="E488" s="1116" t="s">
        <v>911</v>
      </c>
      <c r="F488" s="1109">
        <v>0.1</v>
      </c>
      <c r="G488" s="1109">
        <v>0.0</v>
      </c>
      <c r="H488" s="1118">
        <v>77000.0</v>
      </c>
      <c r="I488" s="1118">
        <f t="shared" si="1"/>
        <v>70000</v>
      </c>
      <c r="J488" s="1118">
        <f t="shared" si="2"/>
        <v>77000</v>
      </c>
      <c r="K488" s="1110"/>
    </row>
    <row r="489" ht="18.75" customHeight="1">
      <c r="A489" s="1110"/>
      <c r="B489" s="1108" t="s">
        <v>9606</v>
      </c>
      <c r="C489" s="1108" t="s">
        <v>9607</v>
      </c>
      <c r="D489" s="1116" t="s">
        <v>906</v>
      </c>
      <c r="E489" s="1116" t="s">
        <v>907</v>
      </c>
      <c r="F489" s="1109">
        <v>0.1</v>
      </c>
      <c r="G489" s="1109">
        <v>0.0</v>
      </c>
      <c r="H489" s="1118">
        <v>40800.0</v>
      </c>
      <c r="I489" s="1118">
        <f t="shared" si="1"/>
        <v>37090</v>
      </c>
      <c r="J489" s="1118">
        <f t="shared" si="2"/>
        <v>40800</v>
      </c>
      <c r="K489" s="1110"/>
    </row>
    <row r="490" ht="18.75" customHeight="1">
      <c r="A490" s="1110"/>
      <c r="B490" s="1108" t="s">
        <v>9606</v>
      </c>
      <c r="C490" s="1108" t="s">
        <v>9607</v>
      </c>
      <c r="D490" s="1116" t="s">
        <v>515</v>
      </c>
      <c r="E490" s="1116" t="s">
        <v>516</v>
      </c>
      <c r="F490" s="1109">
        <v>0.1</v>
      </c>
      <c r="G490" s="1109">
        <v>0.0</v>
      </c>
      <c r="H490" s="1118">
        <v>18000.0</v>
      </c>
      <c r="I490" s="1118">
        <f t="shared" si="1"/>
        <v>16360</v>
      </c>
      <c r="J490" s="1118">
        <f t="shared" si="2"/>
        <v>18000</v>
      </c>
      <c r="K490" s="1110"/>
    </row>
    <row r="491" ht="18.75" customHeight="1">
      <c r="A491" s="1110"/>
      <c r="B491" s="1108" t="s">
        <v>9606</v>
      </c>
      <c r="C491" s="1108" t="s">
        <v>9607</v>
      </c>
      <c r="D491" s="1116" t="s">
        <v>1023</v>
      </c>
      <c r="E491" s="1116" t="s">
        <v>1024</v>
      </c>
      <c r="F491" s="1109">
        <v>0.1</v>
      </c>
      <c r="G491" s="1109">
        <v>0.0</v>
      </c>
      <c r="H491" s="1118">
        <v>7000.0</v>
      </c>
      <c r="I491" s="1118">
        <f t="shared" si="1"/>
        <v>6360</v>
      </c>
      <c r="J491" s="1118">
        <f t="shared" si="2"/>
        <v>7000</v>
      </c>
      <c r="K491" s="1110"/>
    </row>
    <row r="492" ht="18.75" customHeight="1">
      <c r="A492" s="1110"/>
      <c r="B492" s="1108" t="s">
        <v>9606</v>
      </c>
      <c r="C492" s="1108" t="s">
        <v>9607</v>
      </c>
      <c r="D492" s="1116" t="s">
        <v>9680</v>
      </c>
      <c r="E492" s="1116" t="s">
        <v>9681</v>
      </c>
      <c r="F492" s="1109">
        <v>0.1</v>
      </c>
      <c r="G492" s="1109">
        <v>0.0</v>
      </c>
      <c r="H492" s="1118">
        <v>35750.0</v>
      </c>
      <c r="I492" s="1118">
        <f t="shared" si="1"/>
        <v>32500</v>
      </c>
      <c r="J492" s="1118">
        <f t="shared" si="2"/>
        <v>35750</v>
      </c>
      <c r="K492" s="1110"/>
    </row>
    <row r="493" ht="18.75" customHeight="1">
      <c r="A493" s="1110"/>
      <c r="B493" s="1108" t="s">
        <v>9606</v>
      </c>
      <c r="C493" s="1108" t="s">
        <v>9607</v>
      </c>
      <c r="D493" s="1116" t="s">
        <v>9682</v>
      </c>
      <c r="E493" s="1116" t="s">
        <v>9683</v>
      </c>
      <c r="F493" s="1109">
        <v>0.1</v>
      </c>
      <c r="G493" s="1109">
        <v>0.0</v>
      </c>
      <c r="H493" s="1116"/>
      <c r="I493" s="1118" t="str">
        <f t="shared" si="1"/>
        <v/>
      </c>
      <c r="J493" s="1118" t="str">
        <f t="shared" si="2"/>
        <v/>
      </c>
      <c r="K493" s="1110"/>
    </row>
    <row r="494" ht="18.75" customHeight="1">
      <c r="A494" s="1110"/>
      <c r="B494" s="1108" t="s">
        <v>9606</v>
      </c>
      <c r="C494" s="1108" t="s">
        <v>9607</v>
      </c>
      <c r="D494" s="1116" t="s">
        <v>9684</v>
      </c>
      <c r="E494" s="1116" t="s">
        <v>9685</v>
      </c>
      <c r="F494" s="1109">
        <v>0.1</v>
      </c>
      <c r="G494" s="1109">
        <v>0.0</v>
      </c>
      <c r="H494" s="1116"/>
      <c r="I494" s="1118" t="str">
        <f t="shared" si="1"/>
        <v/>
      </c>
      <c r="J494" s="1118" t="str">
        <f t="shared" si="2"/>
        <v/>
      </c>
      <c r="K494" s="1110"/>
    </row>
    <row r="495" ht="18.75" customHeight="1">
      <c r="A495" s="1110"/>
      <c r="B495" s="1108" t="s">
        <v>9606</v>
      </c>
      <c r="C495" s="1108" t="s">
        <v>9607</v>
      </c>
      <c r="D495" s="1116" t="s">
        <v>9686</v>
      </c>
      <c r="E495" s="1116" t="s">
        <v>9687</v>
      </c>
      <c r="F495" s="1109">
        <v>0.1</v>
      </c>
      <c r="G495" s="1109">
        <v>0.0</v>
      </c>
      <c r="H495" s="1116"/>
      <c r="I495" s="1118" t="str">
        <f t="shared" si="1"/>
        <v/>
      </c>
      <c r="J495" s="1118" t="str">
        <f t="shared" si="2"/>
        <v/>
      </c>
      <c r="K495" s="1110"/>
    </row>
    <row r="496" ht="18.75" customHeight="1">
      <c r="A496" s="1110"/>
      <c r="B496" s="1108" t="s">
        <v>9606</v>
      </c>
      <c r="C496" s="1108" t="s">
        <v>9607</v>
      </c>
      <c r="D496" s="1116" t="s">
        <v>9688</v>
      </c>
      <c r="E496" s="1116" t="s">
        <v>9689</v>
      </c>
      <c r="F496" s="1109">
        <v>0.1</v>
      </c>
      <c r="G496" s="1109">
        <v>0.0</v>
      </c>
      <c r="H496" s="1118"/>
      <c r="I496" s="1118" t="str">
        <f t="shared" si="1"/>
        <v/>
      </c>
      <c r="J496" s="1118" t="str">
        <f t="shared" si="2"/>
        <v/>
      </c>
      <c r="K496" s="1110"/>
    </row>
    <row r="497" ht="18.75" customHeight="1">
      <c r="A497" s="1110"/>
      <c r="B497" s="1108" t="s">
        <v>9606</v>
      </c>
      <c r="C497" s="1108" t="s">
        <v>9607</v>
      </c>
      <c r="D497" s="1116" t="s">
        <v>1010</v>
      </c>
      <c r="E497" s="1116" t="s">
        <v>1011</v>
      </c>
      <c r="F497" s="1109">
        <v>0.1</v>
      </c>
      <c r="G497" s="1109">
        <v>0.0</v>
      </c>
      <c r="H497" s="1118">
        <v>178500.0</v>
      </c>
      <c r="I497" s="1118">
        <f t="shared" si="1"/>
        <v>162270</v>
      </c>
      <c r="J497" s="1118">
        <f t="shared" si="2"/>
        <v>178500</v>
      </c>
      <c r="K497" s="1110"/>
    </row>
    <row r="498" ht="18.75" customHeight="1">
      <c r="A498" s="1110"/>
      <c r="B498" s="1108" t="s">
        <v>9606</v>
      </c>
      <c r="C498" s="1108" t="s">
        <v>9607</v>
      </c>
      <c r="D498" s="1116" t="s">
        <v>9690</v>
      </c>
      <c r="E498" s="1116" t="s">
        <v>9691</v>
      </c>
      <c r="F498" s="1109">
        <v>0.1</v>
      </c>
      <c r="G498" s="1109">
        <v>0.0</v>
      </c>
      <c r="H498" s="1116"/>
      <c r="I498" s="1118" t="str">
        <f t="shared" si="1"/>
        <v/>
      </c>
      <c r="J498" s="1118" t="str">
        <f t="shared" si="2"/>
        <v/>
      </c>
      <c r="K498" s="1110"/>
    </row>
    <row r="499" ht="18.75" customHeight="1">
      <c r="A499" s="1110"/>
      <c r="B499" s="1108" t="s">
        <v>9606</v>
      </c>
      <c r="C499" s="1108" t="s">
        <v>9607</v>
      </c>
      <c r="D499" s="1116" t="s">
        <v>9692</v>
      </c>
      <c r="E499" s="1116" t="s">
        <v>9693</v>
      </c>
      <c r="F499" s="1109">
        <v>0.1</v>
      </c>
      <c r="G499" s="1109">
        <v>0.0</v>
      </c>
      <c r="H499" s="1118"/>
      <c r="I499" s="1118" t="str">
        <f t="shared" si="1"/>
        <v/>
      </c>
      <c r="J499" s="1118" t="str">
        <f t="shared" si="2"/>
        <v/>
      </c>
      <c r="K499" s="1110"/>
    </row>
    <row r="500" ht="18.75" customHeight="1">
      <c r="A500" s="1110"/>
      <c r="B500" s="1108" t="s">
        <v>9606</v>
      </c>
      <c r="C500" s="1108" t="s">
        <v>9607</v>
      </c>
      <c r="D500" s="1116" t="s">
        <v>9694</v>
      </c>
      <c r="E500" s="1116" t="s">
        <v>9695</v>
      </c>
      <c r="F500" s="1109">
        <v>0.1</v>
      </c>
      <c r="G500" s="1109">
        <v>0.0</v>
      </c>
      <c r="H500" s="1118"/>
      <c r="I500" s="1118" t="str">
        <f t="shared" si="1"/>
        <v/>
      </c>
      <c r="J500" s="1118" t="str">
        <f t="shared" si="2"/>
        <v/>
      </c>
      <c r="K500" s="1110"/>
    </row>
    <row r="501" ht="18.75" customHeight="1">
      <c r="A501" s="1110"/>
      <c r="B501" s="1108" t="s">
        <v>9606</v>
      </c>
      <c r="C501" s="1108" t="s">
        <v>9607</v>
      </c>
      <c r="D501" s="1116" t="s">
        <v>9696</v>
      </c>
      <c r="E501" s="1116" t="s">
        <v>9697</v>
      </c>
      <c r="F501" s="1109">
        <v>0.1</v>
      </c>
      <c r="G501" s="1109">
        <v>0.0</v>
      </c>
      <c r="H501" s="1118">
        <v>450000.0</v>
      </c>
      <c r="I501" s="1118">
        <f t="shared" si="1"/>
        <v>409090</v>
      </c>
      <c r="J501" s="1118">
        <f t="shared" si="2"/>
        <v>450000</v>
      </c>
      <c r="K501" s="1110"/>
    </row>
    <row r="502" ht="18.75" customHeight="1">
      <c r="A502" s="1110"/>
      <c r="B502" s="1108" t="s">
        <v>9606</v>
      </c>
      <c r="C502" s="1108" t="s">
        <v>9607</v>
      </c>
      <c r="D502" s="1116" t="s">
        <v>9698</v>
      </c>
      <c r="E502" s="1116" t="s">
        <v>9699</v>
      </c>
      <c r="F502" s="1109">
        <v>0.1</v>
      </c>
      <c r="G502" s="1109">
        <v>0.0</v>
      </c>
      <c r="H502" s="1116"/>
      <c r="I502" s="1118" t="str">
        <f t="shared" si="1"/>
        <v/>
      </c>
      <c r="J502" s="1118" t="str">
        <f t="shared" si="2"/>
        <v/>
      </c>
      <c r="K502" s="1110"/>
    </row>
    <row r="503" ht="18.75" customHeight="1">
      <c r="A503" s="1110"/>
      <c r="B503" s="1108" t="s">
        <v>9606</v>
      </c>
      <c r="C503" s="1108" t="s">
        <v>9607</v>
      </c>
      <c r="D503" s="1116" t="s">
        <v>9700</v>
      </c>
      <c r="E503" s="1116" t="s">
        <v>9701</v>
      </c>
      <c r="F503" s="1109">
        <v>0.1</v>
      </c>
      <c r="G503" s="1109">
        <v>0.0</v>
      </c>
      <c r="H503" s="1118"/>
      <c r="I503" s="1118" t="str">
        <f t="shared" si="1"/>
        <v/>
      </c>
      <c r="J503" s="1118" t="str">
        <f t="shared" si="2"/>
        <v/>
      </c>
      <c r="K503" s="1110"/>
    </row>
    <row r="504" ht="18.75" customHeight="1">
      <c r="A504" s="1110"/>
      <c r="B504" s="1108" t="s">
        <v>9606</v>
      </c>
      <c r="C504" s="1108" t="s">
        <v>9607</v>
      </c>
      <c r="D504" s="1116" t="s">
        <v>9702</v>
      </c>
      <c r="E504" s="1116" t="s">
        <v>9703</v>
      </c>
      <c r="F504" s="1109">
        <v>0.1</v>
      </c>
      <c r="G504" s="1109">
        <v>0.0</v>
      </c>
      <c r="H504" s="1118"/>
      <c r="I504" s="1118" t="str">
        <f t="shared" si="1"/>
        <v/>
      </c>
      <c r="J504" s="1118" t="str">
        <f t="shared" si="2"/>
        <v/>
      </c>
      <c r="K504" s="1110"/>
    </row>
    <row r="505" ht="18.75" customHeight="1">
      <c r="A505" s="1110"/>
      <c r="B505" s="1108" t="s">
        <v>9606</v>
      </c>
      <c r="C505" s="1108" t="s">
        <v>9607</v>
      </c>
      <c r="D505" s="1116" t="s">
        <v>9704</v>
      </c>
      <c r="E505" s="1116" t="s">
        <v>9705</v>
      </c>
      <c r="F505" s="1109">
        <v>0.1</v>
      </c>
      <c r="G505" s="1109">
        <v>0.0</v>
      </c>
      <c r="H505" s="1118">
        <v>275000.0</v>
      </c>
      <c r="I505" s="1118">
        <f t="shared" si="1"/>
        <v>250000</v>
      </c>
      <c r="J505" s="1118">
        <f t="shared" si="2"/>
        <v>275000</v>
      </c>
      <c r="K505" s="1110"/>
    </row>
    <row r="506" ht="18.75" customHeight="1">
      <c r="A506" s="1110"/>
      <c r="B506" s="1108" t="s">
        <v>9606</v>
      </c>
      <c r="C506" s="1108" t="s">
        <v>9607</v>
      </c>
      <c r="D506" s="1116" t="s">
        <v>9706</v>
      </c>
      <c r="E506" s="1116" t="s">
        <v>9707</v>
      </c>
      <c r="F506" s="1109">
        <v>0.1</v>
      </c>
      <c r="G506" s="1109">
        <v>0.0</v>
      </c>
      <c r="H506" s="1118"/>
      <c r="I506" s="1118" t="str">
        <f t="shared" si="1"/>
        <v/>
      </c>
      <c r="J506" s="1118" t="str">
        <f t="shared" si="2"/>
        <v/>
      </c>
      <c r="K506" s="1110"/>
    </row>
    <row r="507" ht="18.75" customHeight="1">
      <c r="A507" s="1110"/>
      <c r="B507" s="1108" t="s">
        <v>9606</v>
      </c>
      <c r="C507" s="1108" t="s">
        <v>9607</v>
      </c>
      <c r="D507" s="1116" t="s">
        <v>9708</v>
      </c>
      <c r="E507" s="1116" t="s">
        <v>9709</v>
      </c>
      <c r="F507" s="1109">
        <v>0.1</v>
      </c>
      <c r="G507" s="1109">
        <v>0.0</v>
      </c>
      <c r="H507" s="1118"/>
      <c r="I507" s="1118" t="str">
        <f t="shared" si="1"/>
        <v/>
      </c>
      <c r="J507" s="1118" t="str">
        <f t="shared" si="2"/>
        <v/>
      </c>
      <c r="K507" s="1110"/>
    </row>
    <row r="508" ht="18.75" customHeight="1">
      <c r="A508" s="1110"/>
      <c r="B508" s="1108" t="s">
        <v>9606</v>
      </c>
      <c r="C508" s="1108" t="s">
        <v>9607</v>
      </c>
      <c r="D508" s="1116" t="s">
        <v>9710</v>
      </c>
      <c r="E508" s="1116" t="s">
        <v>9711</v>
      </c>
      <c r="F508" s="1109">
        <v>0.1</v>
      </c>
      <c r="G508" s="1109">
        <v>0.0</v>
      </c>
      <c r="H508" s="1118"/>
      <c r="I508" s="1118" t="str">
        <f t="shared" si="1"/>
        <v/>
      </c>
      <c r="J508" s="1118" t="str">
        <f t="shared" si="2"/>
        <v/>
      </c>
      <c r="K508" s="1110"/>
    </row>
    <row r="509" ht="18.75" customHeight="1">
      <c r="A509" s="1110"/>
      <c r="B509" s="1108" t="s">
        <v>9606</v>
      </c>
      <c r="C509" s="1108" t="s">
        <v>9607</v>
      </c>
      <c r="D509" s="1116" t="s">
        <v>9712</v>
      </c>
      <c r="E509" s="1116" t="s">
        <v>9713</v>
      </c>
      <c r="F509" s="1109">
        <v>0.1</v>
      </c>
      <c r="G509" s="1109">
        <v>0.0</v>
      </c>
      <c r="H509" s="1118">
        <v>198000.0</v>
      </c>
      <c r="I509" s="1118">
        <f t="shared" si="1"/>
        <v>180000</v>
      </c>
      <c r="J509" s="1118">
        <f t="shared" si="2"/>
        <v>198000</v>
      </c>
      <c r="K509" s="1110"/>
    </row>
    <row r="510" ht="18.75" customHeight="1">
      <c r="A510" s="1110"/>
      <c r="B510" s="1108" t="s">
        <v>9606</v>
      </c>
      <c r="C510" s="1108" t="s">
        <v>9607</v>
      </c>
      <c r="D510" s="1116" t="s">
        <v>9714</v>
      </c>
      <c r="E510" s="1116" t="s">
        <v>9715</v>
      </c>
      <c r="F510" s="1109">
        <v>0.1</v>
      </c>
      <c r="G510" s="1109">
        <v>0.0</v>
      </c>
      <c r="H510" s="1118">
        <v>385000.0</v>
      </c>
      <c r="I510" s="1118">
        <f t="shared" si="1"/>
        <v>350000</v>
      </c>
      <c r="J510" s="1118">
        <f t="shared" si="2"/>
        <v>385000</v>
      </c>
      <c r="K510" s="1110"/>
    </row>
    <row r="511" ht="18.75" customHeight="1">
      <c r="A511" s="1110"/>
      <c r="B511" s="1108" t="s">
        <v>9606</v>
      </c>
      <c r="C511" s="1108" t="s">
        <v>9607</v>
      </c>
      <c r="D511" s="1116" t="s">
        <v>9716</v>
      </c>
      <c r="E511" s="1116" t="s">
        <v>9717</v>
      </c>
      <c r="F511" s="1109">
        <v>0.1</v>
      </c>
      <c r="G511" s="1109">
        <v>0.0</v>
      </c>
      <c r="H511" s="1118"/>
      <c r="I511" s="1118" t="str">
        <f t="shared" si="1"/>
        <v/>
      </c>
      <c r="J511" s="1118" t="str">
        <f t="shared" si="2"/>
        <v/>
      </c>
      <c r="K511" s="1110"/>
    </row>
    <row r="512" ht="18.75" customHeight="1">
      <c r="A512" s="1110"/>
      <c r="B512" s="1108" t="s">
        <v>9606</v>
      </c>
      <c r="C512" s="1108" t="s">
        <v>9607</v>
      </c>
      <c r="D512" s="1116" t="s">
        <v>9718</v>
      </c>
      <c r="E512" s="1116" t="s">
        <v>9719</v>
      </c>
      <c r="F512" s="1109">
        <v>0.1</v>
      </c>
      <c r="G512" s="1109">
        <v>0.0</v>
      </c>
      <c r="H512" s="1118"/>
      <c r="I512" s="1118" t="str">
        <f t="shared" si="1"/>
        <v/>
      </c>
      <c r="J512" s="1118" t="str">
        <f t="shared" si="2"/>
        <v/>
      </c>
      <c r="K512" s="1110"/>
    </row>
    <row r="513" ht="18.75" customHeight="1">
      <c r="A513" s="1110"/>
      <c r="B513" s="1108" t="s">
        <v>9606</v>
      </c>
      <c r="C513" s="1108" t="s">
        <v>9607</v>
      </c>
      <c r="D513" s="1116" t="s">
        <v>9720</v>
      </c>
      <c r="E513" s="1116" t="s">
        <v>9721</v>
      </c>
      <c r="F513" s="1109">
        <v>0.1</v>
      </c>
      <c r="G513" s="1109">
        <v>0.0</v>
      </c>
      <c r="H513" s="1118">
        <v>495000.0</v>
      </c>
      <c r="I513" s="1118">
        <f t="shared" si="1"/>
        <v>450000</v>
      </c>
      <c r="J513" s="1118">
        <f t="shared" si="2"/>
        <v>495000</v>
      </c>
      <c r="K513" s="1110"/>
    </row>
    <row r="514" ht="18.75" customHeight="1">
      <c r="A514" s="1110"/>
      <c r="B514" s="1108" t="s">
        <v>9606</v>
      </c>
      <c r="C514" s="1108" t="s">
        <v>9607</v>
      </c>
      <c r="D514" s="1116" t="s">
        <v>1017</v>
      </c>
      <c r="E514" s="1116" t="s">
        <v>1018</v>
      </c>
      <c r="F514" s="1109">
        <v>0.1</v>
      </c>
      <c r="G514" s="1109">
        <v>0.0</v>
      </c>
      <c r="H514" s="1118">
        <v>266000.0</v>
      </c>
      <c r="I514" s="1118">
        <f t="shared" si="1"/>
        <v>241820</v>
      </c>
      <c r="J514" s="1118">
        <f t="shared" si="2"/>
        <v>266000</v>
      </c>
      <c r="K514" s="1110"/>
    </row>
    <row r="515" ht="18.75" customHeight="1">
      <c r="A515" s="1110"/>
      <c r="B515" s="1108" t="s">
        <v>9606</v>
      </c>
      <c r="C515" s="1108" t="s">
        <v>9607</v>
      </c>
      <c r="D515" s="1116" t="s">
        <v>9722</v>
      </c>
      <c r="E515" s="1116" t="s">
        <v>9723</v>
      </c>
      <c r="F515" s="1109">
        <v>0.1</v>
      </c>
      <c r="G515" s="1109">
        <v>0.0</v>
      </c>
      <c r="H515" s="1118"/>
      <c r="I515" s="1118" t="str">
        <f t="shared" si="1"/>
        <v/>
      </c>
      <c r="J515" s="1118" t="str">
        <f t="shared" si="2"/>
        <v/>
      </c>
      <c r="K515" s="1110"/>
    </row>
    <row r="516" ht="18.75" customHeight="1">
      <c r="A516" s="1110"/>
      <c r="B516" s="1108" t="s">
        <v>9606</v>
      </c>
      <c r="C516" s="1108" t="s">
        <v>9607</v>
      </c>
      <c r="D516" s="1116" t="s">
        <v>9724</v>
      </c>
      <c r="E516" s="1116" t="s">
        <v>9725</v>
      </c>
      <c r="F516" s="1109">
        <v>0.1</v>
      </c>
      <c r="G516" s="1109">
        <v>0.0</v>
      </c>
      <c r="H516" s="1116"/>
      <c r="I516" s="1118" t="str">
        <f t="shared" si="1"/>
        <v/>
      </c>
      <c r="J516" s="1118" t="str">
        <f t="shared" si="2"/>
        <v/>
      </c>
      <c r="K516" s="1110"/>
    </row>
    <row r="517" ht="18.75" customHeight="1">
      <c r="A517" s="1110"/>
      <c r="B517" s="1108" t="s">
        <v>9606</v>
      </c>
      <c r="C517" s="1108" t="s">
        <v>9607</v>
      </c>
      <c r="D517" s="1116" t="s">
        <v>9726</v>
      </c>
      <c r="E517" s="1116" t="s">
        <v>9727</v>
      </c>
      <c r="F517" s="1109">
        <v>0.1</v>
      </c>
      <c r="G517" s="1109">
        <v>0.0</v>
      </c>
      <c r="H517" s="1118"/>
      <c r="I517" s="1118" t="str">
        <f t="shared" si="1"/>
        <v/>
      </c>
      <c r="J517" s="1118" t="str">
        <f t="shared" si="2"/>
        <v/>
      </c>
      <c r="K517" s="1110"/>
    </row>
    <row r="518" ht="18.75" customHeight="1">
      <c r="A518" s="1110"/>
      <c r="B518" s="1108" t="s">
        <v>9606</v>
      </c>
      <c r="C518" s="1108" t="s">
        <v>9607</v>
      </c>
      <c r="D518" s="1116" t="s">
        <v>9728</v>
      </c>
      <c r="E518" s="1116" t="s">
        <v>9729</v>
      </c>
      <c r="F518" s="1109">
        <v>0.1</v>
      </c>
      <c r="G518" s="1109">
        <v>0.0</v>
      </c>
      <c r="H518" s="1118"/>
      <c r="I518" s="1118" t="str">
        <f t="shared" si="1"/>
        <v/>
      </c>
      <c r="J518" s="1118" t="str">
        <f t="shared" si="2"/>
        <v/>
      </c>
      <c r="K518" s="1110"/>
    </row>
    <row r="519" ht="18.75" customHeight="1">
      <c r="A519" s="1110"/>
      <c r="B519" s="1108" t="s">
        <v>9606</v>
      </c>
      <c r="C519" s="1108" t="s">
        <v>9607</v>
      </c>
      <c r="D519" s="1116" t="s">
        <v>9730</v>
      </c>
      <c r="E519" s="1116" t="s">
        <v>9731</v>
      </c>
      <c r="F519" s="1109">
        <v>0.1</v>
      </c>
      <c r="G519" s="1109">
        <v>0.0</v>
      </c>
      <c r="H519" s="1118">
        <v>660000.0</v>
      </c>
      <c r="I519" s="1118">
        <f t="shared" si="1"/>
        <v>600000</v>
      </c>
      <c r="J519" s="1118">
        <f t="shared" si="2"/>
        <v>660000</v>
      </c>
      <c r="K519" s="1110"/>
    </row>
    <row r="520" ht="18.75" customHeight="1">
      <c r="A520" s="1110"/>
      <c r="B520" s="1108" t="s">
        <v>9606</v>
      </c>
      <c r="C520" s="1108" t="s">
        <v>9607</v>
      </c>
      <c r="D520" s="1116" t="s">
        <v>9732</v>
      </c>
      <c r="E520" s="1116" t="s">
        <v>9733</v>
      </c>
      <c r="F520" s="1109">
        <v>0.1</v>
      </c>
      <c r="G520" s="1109">
        <v>0.0</v>
      </c>
      <c r="H520" s="1118"/>
      <c r="I520" s="1118" t="str">
        <f t="shared" si="1"/>
        <v/>
      </c>
      <c r="J520" s="1118" t="str">
        <f t="shared" si="2"/>
        <v/>
      </c>
      <c r="K520" s="1110"/>
    </row>
    <row r="521" ht="18.75" customHeight="1">
      <c r="A521" s="1110"/>
      <c r="B521" s="1108" t="s">
        <v>9606</v>
      </c>
      <c r="C521" s="1108" t="s">
        <v>9607</v>
      </c>
      <c r="D521" s="1116" t="s">
        <v>9734</v>
      </c>
      <c r="E521" s="1116" t="s">
        <v>9735</v>
      </c>
      <c r="F521" s="1109">
        <v>0.1</v>
      </c>
      <c r="G521" s="1109">
        <v>0.0</v>
      </c>
      <c r="H521" s="1118"/>
      <c r="I521" s="1118" t="str">
        <f t="shared" si="1"/>
        <v/>
      </c>
      <c r="J521" s="1118" t="str">
        <f t="shared" si="2"/>
        <v/>
      </c>
      <c r="K521" s="1110"/>
    </row>
    <row r="522" ht="18.75" customHeight="1">
      <c r="A522" s="1110"/>
      <c r="B522" s="1108" t="s">
        <v>9606</v>
      </c>
      <c r="C522" s="1108" t="s">
        <v>9607</v>
      </c>
      <c r="D522" s="1116" t="s">
        <v>9736</v>
      </c>
      <c r="E522" s="1116" t="s">
        <v>9737</v>
      </c>
      <c r="F522" s="1109">
        <v>0.1</v>
      </c>
      <c r="G522" s="1109">
        <v>0.0</v>
      </c>
      <c r="H522" s="1116"/>
      <c r="I522" s="1118" t="str">
        <f t="shared" si="1"/>
        <v/>
      </c>
      <c r="J522" s="1118" t="str">
        <f t="shared" si="2"/>
        <v/>
      </c>
      <c r="K522" s="1110"/>
    </row>
    <row r="523" ht="18.75" customHeight="1">
      <c r="A523" s="1110"/>
      <c r="B523" s="1108" t="s">
        <v>9606</v>
      </c>
      <c r="C523" s="1108" t="s">
        <v>9607</v>
      </c>
      <c r="D523" s="1116" t="s">
        <v>9738</v>
      </c>
      <c r="E523" s="1116" t="s">
        <v>9739</v>
      </c>
      <c r="F523" s="1109">
        <v>0.1</v>
      </c>
      <c r="G523" s="1109">
        <v>0.0</v>
      </c>
      <c r="H523" s="1116"/>
      <c r="I523" s="1118" t="str">
        <f t="shared" si="1"/>
        <v/>
      </c>
      <c r="J523" s="1118" t="str">
        <f t="shared" si="2"/>
        <v/>
      </c>
      <c r="K523" s="1110"/>
    </row>
    <row r="524" ht="18.75" customHeight="1">
      <c r="A524" s="1110"/>
      <c r="B524" s="1108" t="s">
        <v>9606</v>
      </c>
      <c r="C524" s="1108" t="s">
        <v>9607</v>
      </c>
      <c r="D524" s="1116" t="s">
        <v>9740</v>
      </c>
      <c r="E524" s="1116" t="s">
        <v>9741</v>
      </c>
      <c r="F524" s="1109">
        <v>0.1</v>
      </c>
      <c r="G524" s="1109">
        <v>0.0</v>
      </c>
      <c r="H524" s="1116"/>
      <c r="I524" s="1118" t="str">
        <f t="shared" si="1"/>
        <v/>
      </c>
      <c r="J524" s="1118" t="str">
        <f t="shared" si="2"/>
        <v/>
      </c>
      <c r="K524" s="1110"/>
    </row>
    <row r="525" ht="18.75" customHeight="1">
      <c r="A525" s="1110"/>
      <c r="B525" s="1108" t="s">
        <v>9606</v>
      </c>
      <c r="C525" s="1108" t="s">
        <v>9607</v>
      </c>
      <c r="D525" s="1116" t="s">
        <v>9742</v>
      </c>
      <c r="E525" s="1116" t="s">
        <v>9743</v>
      </c>
      <c r="F525" s="1109">
        <v>0.1</v>
      </c>
      <c r="G525" s="1109">
        <v>0.0</v>
      </c>
      <c r="H525" s="1116"/>
      <c r="I525" s="1118" t="str">
        <f t="shared" si="1"/>
        <v/>
      </c>
      <c r="J525" s="1118" t="str">
        <f t="shared" si="2"/>
        <v/>
      </c>
      <c r="K525" s="1110"/>
    </row>
    <row r="526" ht="18.75" customHeight="1">
      <c r="A526" s="1110"/>
      <c r="B526" s="1108" t="s">
        <v>9606</v>
      </c>
      <c r="C526" s="1108" t="s">
        <v>9607</v>
      </c>
      <c r="D526" s="1116" t="s">
        <v>9744</v>
      </c>
      <c r="E526" s="1116" t="s">
        <v>9745</v>
      </c>
      <c r="F526" s="1109">
        <v>0.1</v>
      </c>
      <c r="G526" s="1109">
        <v>0.0</v>
      </c>
      <c r="H526" s="1118">
        <v>297000.0</v>
      </c>
      <c r="I526" s="1118">
        <f t="shared" si="1"/>
        <v>270000</v>
      </c>
      <c r="J526" s="1118">
        <f t="shared" si="2"/>
        <v>297000</v>
      </c>
      <c r="K526" s="1110"/>
    </row>
    <row r="527" ht="18.75" customHeight="1">
      <c r="A527" s="1110"/>
      <c r="B527" s="1108" t="s">
        <v>9606</v>
      </c>
      <c r="C527" s="1108" t="s">
        <v>9607</v>
      </c>
      <c r="D527" s="1116" t="s">
        <v>9746</v>
      </c>
      <c r="E527" s="1116" t="s">
        <v>9747</v>
      </c>
      <c r="F527" s="1109">
        <v>0.1</v>
      </c>
      <c r="G527" s="1109">
        <v>0.0</v>
      </c>
      <c r="H527" s="1118">
        <v>171160.0</v>
      </c>
      <c r="I527" s="1118">
        <f t="shared" si="1"/>
        <v>155600</v>
      </c>
      <c r="J527" s="1118">
        <f t="shared" si="2"/>
        <v>171160</v>
      </c>
      <c r="K527" s="1110"/>
    </row>
    <row r="528" ht="18.75" customHeight="1">
      <c r="A528" s="1110"/>
      <c r="B528" s="1108" t="s">
        <v>9606</v>
      </c>
      <c r="C528" s="1108" t="s">
        <v>9607</v>
      </c>
      <c r="D528" s="1116" t="s">
        <v>9748</v>
      </c>
      <c r="E528" s="1116" t="s">
        <v>9749</v>
      </c>
      <c r="F528" s="1109">
        <v>0.1</v>
      </c>
      <c r="G528" s="1109">
        <v>0.0</v>
      </c>
      <c r="H528" s="1118">
        <v>171160.0</v>
      </c>
      <c r="I528" s="1118">
        <f t="shared" si="1"/>
        <v>155600</v>
      </c>
      <c r="J528" s="1118">
        <f t="shared" si="2"/>
        <v>171160</v>
      </c>
      <c r="K528" s="1110"/>
    </row>
    <row r="529" ht="18.75" customHeight="1">
      <c r="A529" s="1110"/>
      <c r="B529" s="1108" t="s">
        <v>9606</v>
      </c>
      <c r="C529" s="1108" t="s">
        <v>9607</v>
      </c>
      <c r="D529" s="1116" t="s">
        <v>9750</v>
      </c>
      <c r="E529" s="1116" t="s">
        <v>9751</v>
      </c>
      <c r="F529" s="1109">
        <v>0.1</v>
      </c>
      <c r="G529" s="1109">
        <v>0.0</v>
      </c>
      <c r="H529" s="1116"/>
      <c r="I529" s="1118" t="str">
        <f t="shared" si="1"/>
        <v/>
      </c>
      <c r="J529" s="1118" t="str">
        <f t="shared" si="2"/>
        <v/>
      </c>
      <c r="K529" s="1110"/>
    </row>
    <row r="530" ht="18.75" customHeight="1">
      <c r="A530" s="1110"/>
      <c r="B530" s="1108" t="s">
        <v>9606</v>
      </c>
      <c r="C530" s="1108" t="s">
        <v>9607</v>
      </c>
      <c r="D530" s="1116" t="s">
        <v>9752</v>
      </c>
      <c r="E530" s="1116" t="s">
        <v>9753</v>
      </c>
      <c r="F530" s="1109">
        <v>0.1</v>
      </c>
      <c r="G530" s="1109">
        <v>0.0</v>
      </c>
      <c r="H530" s="1118"/>
      <c r="I530" s="1118" t="str">
        <f t="shared" si="1"/>
        <v/>
      </c>
      <c r="J530" s="1118" t="str">
        <f t="shared" si="2"/>
        <v/>
      </c>
      <c r="K530" s="1110"/>
    </row>
    <row r="531" ht="18.75" customHeight="1">
      <c r="A531" s="1110"/>
      <c r="B531" s="1108" t="s">
        <v>9606</v>
      </c>
      <c r="C531" s="1108" t="s">
        <v>9607</v>
      </c>
      <c r="D531" s="1116" t="s">
        <v>9754</v>
      </c>
      <c r="E531" s="1116" t="s">
        <v>9755</v>
      </c>
      <c r="F531" s="1109">
        <v>0.1</v>
      </c>
      <c r="G531" s="1109">
        <v>0.0</v>
      </c>
      <c r="H531" s="1118">
        <v>186340.0</v>
      </c>
      <c r="I531" s="1118">
        <f t="shared" si="1"/>
        <v>169400</v>
      </c>
      <c r="J531" s="1118">
        <f t="shared" si="2"/>
        <v>186340</v>
      </c>
      <c r="K531" s="1110"/>
    </row>
    <row r="532" ht="18.75" customHeight="1">
      <c r="A532" s="1110"/>
      <c r="B532" s="1108" t="s">
        <v>9606</v>
      </c>
      <c r="C532" s="1108" t="s">
        <v>9607</v>
      </c>
      <c r="D532" s="1116" t="s">
        <v>9756</v>
      </c>
      <c r="E532" s="1116" t="s">
        <v>9757</v>
      </c>
      <c r="F532" s="1109">
        <v>0.1</v>
      </c>
      <c r="G532" s="1109">
        <v>0.0</v>
      </c>
      <c r="H532" s="1116"/>
      <c r="I532" s="1118" t="str">
        <f t="shared" si="1"/>
        <v/>
      </c>
      <c r="J532" s="1118" t="str">
        <f t="shared" si="2"/>
        <v/>
      </c>
      <c r="K532" s="1110"/>
    </row>
    <row r="533" ht="18.75" customHeight="1">
      <c r="A533" s="1110"/>
      <c r="B533" s="1108" t="s">
        <v>9606</v>
      </c>
      <c r="C533" s="1108" t="s">
        <v>9607</v>
      </c>
      <c r="D533" s="1116" t="s">
        <v>9758</v>
      </c>
      <c r="E533" s="1116" t="s">
        <v>9759</v>
      </c>
      <c r="F533" s="1109">
        <v>0.1</v>
      </c>
      <c r="G533" s="1109">
        <v>0.0</v>
      </c>
      <c r="H533" s="1116"/>
      <c r="I533" s="1118" t="str">
        <f t="shared" si="1"/>
        <v/>
      </c>
      <c r="J533" s="1118" t="str">
        <f t="shared" si="2"/>
        <v/>
      </c>
      <c r="K533" s="1110"/>
    </row>
    <row r="534" ht="18.75" customHeight="1">
      <c r="A534" s="1110"/>
      <c r="B534" s="1108" t="s">
        <v>9606</v>
      </c>
      <c r="C534" s="1108" t="s">
        <v>9607</v>
      </c>
      <c r="D534" s="1116" t="s">
        <v>9760</v>
      </c>
      <c r="E534" s="1116" t="s">
        <v>9761</v>
      </c>
      <c r="F534" s="1109">
        <v>0.1</v>
      </c>
      <c r="G534" s="1109">
        <v>0.0</v>
      </c>
      <c r="H534" s="1118">
        <v>450000.0</v>
      </c>
      <c r="I534" s="1118">
        <f t="shared" si="1"/>
        <v>409090</v>
      </c>
      <c r="J534" s="1118">
        <f t="shared" si="2"/>
        <v>450000</v>
      </c>
      <c r="K534" s="1110"/>
    </row>
    <row r="535" ht="18.75" customHeight="1">
      <c r="A535" s="1110"/>
      <c r="B535" s="1108" t="s">
        <v>9606</v>
      </c>
      <c r="C535" s="1108" t="s">
        <v>9607</v>
      </c>
      <c r="D535" s="1116" t="s">
        <v>1019</v>
      </c>
      <c r="E535" s="1116" t="s">
        <v>1020</v>
      </c>
      <c r="F535" s="1109">
        <v>0.1</v>
      </c>
      <c r="G535" s="1109">
        <v>0.0</v>
      </c>
      <c r="H535" s="1118">
        <v>86500.0</v>
      </c>
      <c r="I535" s="1118">
        <f t="shared" si="1"/>
        <v>78640</v>
      </c>
      <c r="J535" s="1118">
        <f t="shared" si="2"/>
        <v>86500</v>
      </c>
      <c r="K535" s="1110"/>
    </row>
    <row r="536" ht="18.75" customHeight="1">
      <c r="A536" s="1110"/>
      <c r="B536" s="1108" t="s">
        <v>9606</v>
      </c>
      <c r="C536" s="1108" t="s">
        <v>9607</v>
      </c>
      <c r="D536" s="1116" t="s">
        <v>9762</v>
      </c>
      <c r="E536" s="1116" t="s">
        <v>9763</v>
      </c>
      <c r="F536" s="1109">
        <v>0.1</v>
      </c>
      <c r="G536" s="1109">
        <v>0.0</v>
      </c>
      <c r="H536" s="1118">
        <v>14300.0</v>
      </c>
      <c r="I536" s="1118">
        <f t="shared" si="1"/>
        <v>13000</v>
      </c>
      <c r="J536" s="1118">
        <f t="shared" si="2"/>
        <v>14300</v>
      </c>
      <c r="K536" s="1110"/>
    </row>
    <row r="537" ht="18.75" customHeight="1">
      <c r="A537" s="1110"/>
      <c r="B537" s="1108" t="s">
        <v>9606</v>
      </c>
      <c r="C537" s="1108" t="s">
        <v>9607</v>
      </c>
      <c r="D537" s="1116" t="s">
        <v>1025</v>
      </c>
      <c r="E537" s="1116" t="s">
        <v>1026</v>
      </c>
      <c r="F537" s="1109">
        <v>0.1</v>
      </c>
      <c r="G537" s="1109">
        <v>0.0</v>
      </c>
      <c r="H537" s="1118">
        <v>4900.0</v>
      </c>
      <c r="I537" s="1118">
        <f t="shared" si="1"/>
        <v>4450</v>
      </c>
      <c r="J537" s="1118">
        <f t="shared" si="2"/>
        <v>4900</v>
      </c>
      <c r="K537" s="1110"/>
    </row>
    <row r="538" ht="18.75" customHeight="1">
      <c r="A538" s="1110"/>
      <c r="B538" s="1108" t="s">
        <v>9606</v>
      </c>
      <c r="C538" s="1108" t="s">
        <v>9607</v>
      </c>
      <c r="D538" s="1116" t="s">
        <v>9764</v>
      </c>
      <c r="E538" s="1116" t="s">
        <v>9765</v>
      </c>
      <c r="F538" s="1109">
        <v>0.1</v>
      </c>
      <c r="G538" s="1109">
        <v>0.0</v>
      </c>
      <c r="H538" s="1118">
        <v>2420000.0</v>
      </c>
      <c r="I538" s="1118">
        <f t="shared" si="1"/>
        <v>2200000</v>
      </c>
      <c r="J538" s="1118">
        <f t="shared" si="2"/>
        <v>2420000</v>
      </c>
      <c r="K538" s="1110"/>
    </row>
    <row r="539" ht="18.75" customHeight="1">
      <c r="A539" s="1110"/>
      <c r="B539" s="1108" t="s">
        <v>9606</v>
      </c>
      <c r="C539" s="1108" t="s">
        <v>9607</v>
      </c>
      <c r="D539" s="1116" t="s">
        <v>9766</v>
      </c>
      <c r="E539" s="1116" t="s">
        <v>9767</v>
      </c>
      <c r="F539" s="1109">
        <v>0.1</v>
      </c>
      <c r="G539" s="1109">
        <v>0.0</v>
      </c>
      <c r="H539" s="1118">
        <v>3630000.0</v>
      </c>
      <c r="I539" s="1118">
        <f t="shared" si="1"/>
        <v>3300000</v>
      </c>
      <c r="J539" s="1118">
        <f t="shared" si="2"/>
        <v>3630000</v>
      </c>
      <c r="K539" s="1110"/>
    </row>
    <row r="540" ht="18.75" customHeight="1">
      <c r="A540" s="1110"/>
      <c r="B540" s="1108" t="s">
        <v>9606</v>
      </c>
      <c r="C540" s="1108" t="s">
        <v>9607</v>
      </c>
      <c r="D540" s="1116" t="s">
        <v>9768</v>
      </c>
      <c r="E540" s="1116" t="s">
        <v>9769</v>
      </c>
      <c r="F540" s="1109">
        <v>0.1</v>
      </c>
      <c r="G540" s="1109">
        <v>0.0</v>
      </c>
      <c r="H540" s="1118">
        <v>2915000.0</v>
      </c>
      <c r="I540" s="1118">
        <f t="shared" si="1"/>
        <v>2650000</v>
      </c>
      <c r="J540" s="1118">
        <f t="shared" si="2"/>
        <v>2915000</v>
      </c>
      <c r="K540" s="1110"/>
    </row>
    <row r="541" ht="18.75" customHeight="1">
      <c r="A541" s="1110"/>
      <c r="B541" s="1108" t="s">
        <v>9606</v>
      </c>
      <c r="C541" s="1108" t="s">
        <v>9607</v>
      </c>
      <c r="D541" s="1116" t="s">
        <v>9770</v>
      </c>
      <c r="E541" s="1116" t="s">
        <v>9771</v>
      </c>
      <c r="F541" s="1109">
        <v>0.1</v>
      </c>
      <c r="G541" s="1109">
        <v>0.0</v>
      </c>
      <c r="H541" s="1118">
        <v>2640000.0</v>
      </c>
      <c r="I541" s="1118">
        <f t="shared" si="1"/>
        <v>2400000</v>
      </c>
      <c r="J541" s="1118">
        <f t="shared" si="2"/>
        <v>2640000</v>
      </c>
      <c r="K541" s="1110"/>
    </row>
    <row r="542" ht="18.75" customHeight="1">
      <c r="A542" s="1110"/>
      <c r="B542" s="1108" t="s">
        <v>9606</v>
      </c>
      <c r="C542" s="1108" t="s">
        <v>9607</v>
      </c>
      <c r="D542" s="1116" t="s">
        <v>1004</v>
      </c>
      <c r="E542" s="1116" t="s">
        <v>1005</v>
      </c>
      <c r="F542" s="1109">
        <v>0.1</v>
      </c>
      <c r="G542" s="1109">
        <v>0.0</v>
      </c>
      <c r="H542" s="1118">
        <v>4644420.0</v>
      </c>
      <c r="I542" s="1118">
        <f t="shared" si="1"/>
        <v>4222200</v>
      </c>
      <c r="J542" s="1118">
        <f t="shared" si="2"/>
        <v>4644420</v>
      </c>
      <c r="K542" s="1110"/>
    </row>
    <row r="543" ht="18.75" customHeight="1">
      <c r="A543" s="1110"/>
      <c r="B543" s="1108" t="s">
        <v>9606</v>
      </c>
      <c r="C543" s="1108" t="s">
        <v>9607</v>
      </c>
      <c r="D543" s="1116" t="s">
        <v>1006</v>
      </c>
      <c r="E543" s="1116" t="s">
        <v>1007</v>
      </c>
      <c r="F543" s="1109">
        <v>0.1</v>
      </c>
      <c r="G543" s="1109">
        <v>0.0</v>
      </c>
      <c r="H543" s="1118">
        <v>31500.0</v>
      </c>
      <c r="I543" s="1118">
        <f t="shared" si="1"/>
        <v>28640</v>
      </c>
      <c r="J543" s="1118">
        <f t="shared" si="2"/>
        <v>31500</v>
      </c>
      <c r="K543" s="1110"/>
    </row>
    <row r="544" ht="18.75" customHeight="1">
      <c r="A544" s="1110"/>
      <c r="B544" s="1108" t="s">
        <v>9606</v>
      </c>
      <c r="C544" s="1108" t="s">
        <v>9607</v>
      </c>
      <c r="D544" s="1116" t="s">
        <v>1101</v>
      </c>
      <c r="E544" s="1116" t="s">
        <v>1102</v>
      </c>
      <c r="F544" s="1109">
        <v>0.1</v>
      </c>
      <c r="G544" s="1109">
        <v>0.0</v>
      </c>
      <c r="H544" s="1118">
        <v>79000.0</v>
      </c>
      <c r="I544" s="1118">
        <f t="shared" si="1"/>
        <v>71820</v>
      </c>
      <c r="J544" s="1118">
        <f t="shared" si="2"/>
        <v>79000</v>
      </c>
      <c r="K544" s="1110"/>
    </row>
    <row r="545" ht="18.75" customHeight="1">
      <c r="A545" s="1110"/>
      <c r="B545" s="1108" t="s">
        <v>9606</v>
      </c>
      <c r="C545" s="1108" t="s">
        <v>9607</v>
      </c>
      <c r="D545" s="1116" t="s">
        <v>9772</v>
      </c>
      <c r="E545" s="1116" t="s">
        <v>9773</v>
      </c>
      <c r="F545" s="1109">
        <v>0.1</v>
      </c>
      <c r="G545" s="1109">
        <v>0.0</v>
      </c>
      <c r="H545" s="1118"/>
      <c r="I545" s="1118" t="str">
        <f t="shared" si="1"/>
        <v/>
      </c>
      <c r="J545" s="1118" t="str">
        <f t="shared" si="2"/>
        <v/>
      </c>
      <c r="K545" s="1110"/>
    </row>
    <row r="546" ht="18.75" customHeight="1">
      <c r="A546" s="1110"/>
      <c r="B546" s="1108" t="s">
        <v>9606</v>
      </c>
      <c r="C546" s="1108" t="s">
        <v>9607</v>
      </c>
      <c r="D546" s="1116" t="s">
        <v>9774</v>
      </c>
      <c r="E546" s="1116" t="s">
        <v>9775</v>
      </c>
      <c r="F546" s="1109">
        <v>0.1</v>
      </c>
      <c r="G546" s="1109">
        <v>0.0</v>
      </c>
      <c r="H546" s="1118">
        <v>71500.0</v>
      </c>
      <c r="I546" s="1118">
        <f t="shared" si="1"/>
        <v>65000</v>
      </c>
      <c r="J546" s="1118">
        <f t="shared" si="2"/>
        <v>71500</v>
      </c>
      <c r="K546" s="1110"/>
    </row>
    <row r="547" ht="18.75" customHeight="1">
      <c r="A547" s="1110"/>
      <c r="B547" s="1108" t="s">
        <v>9606</v>
      </c>
      <c r="C547" s="1108" t="s">
        <v>9607</v>
      </c>
      <c r="D547" s="1116" t="s">
        <v>1109</v>
      </c>
      <c r="E547" s="1116" t="s">
        <v>1110</v>
      </c>
      <c r="F547" s="1109">
        <v>0.1</v>
      </c>
      <c r="G547" s="1109">
        <v>0.0</v>
      </c>
      <c r="H547" s="1118">
        <v>40950.0</v>
      </c>
      <c r="I547" s="1118">
        <f t="shared" si="1"/>
        <v>37230</v>
      </c>
      <c r="J547" s="1118">
        <f t="shared" si="2"/>
        <v>40950</v>
      </c>
      <c r="K547" s="1110"/>
    </row>
    <row r="548" ht="18.75" customHeight="1">
      <c r="A548" s="1110"/>
      <c r="B548" s="1108" t="s">
        <v>9606</v>
      </c>
      <c r="C548" s="1108" t="s">
        <v>9607</v>
      </c>
      <c r="D548" s="1116" t="s">
        <v>9776</v>
      </c>
      <c r="E548" s="1116" t="s">
        <v>9777</v>
      </c>
      <c r="F548" s="1109">
        <v>0.1</v>
      </c>
      <c r="G548" s="1109">
        <v>0.0</v>
      </c>
      <c r="H548" s="1118"/>
      <c r="I548" s="1118" t="str">
        <f t="shared" si="1"/>
        <v/>
      </c>
      <c r="J548" s="1118" t="str">
        <f t="shared" si="2"/>
        <v/>
      </c>
      <c r="K548" s="1110"/>
    </row>
    <row r="549" ht="18.75" customHeight="1">
      <c r="A549" s="1110"/>
      <c r="B549" s="1108" t="s">
        <v>9606</v>
      </c>
      <c r="C549" s="1108" t="s">
        <v>9607</v>
      </c>
      <c r="D549" s="1116" t="s">
        <v>1112</v>
      </c>
      <c r="E549" s="1116" t="s">
        <v>1113</v>
      </c>
      <c r="F549" s="1109">
        <v>0.1</v>
      </c>
      <c r="G549" s="1109">
        <v>0.0</v>
      </c>
      <c r="H549" s="1118">
        <v>12600.0</v>
      </c>
      <c r="I549" s="1118">
        <f t="shared" si="1"/>
        <v>11450</v>
      </c>
      <c r="J549" s="1118">
        <f t="shared" si="2"/>
        <v>12600</v>
      </c>
      <c r="K549" s="1110"/>
    </row>
    <row r="550" ht="18.75" customHeight="1">
      <c r="A550" s="1110"/>
      <c r="B550" s="1108" t="s">
        <v>9606</v>
      </c>
      <c r="C550" s="1108" t="s">
        <v>9607</v>
      </c>
      <c r="D550" s="1116" t="s">
        <v>9778</v>
      </c>
      <c r="E550" s="1116" t="s">
        <v>9779</v>
      </c>
      <c r="F550" s="1109">
        <v>0.1</v>
      </c>
      <c r="G550" s="1109">
        <v>0.0</v>
      </c>
      <c r="H550" s="1118"/>
      <c r="I550" s="1118" t="str">
        <f t="shared" si="1"/>
        <v/>
      </c>
      <c r="J550" s="1118" t="str">
        <f t="shared" si="2"/>
        <v/>
      </c>
      <c r="K550" s="1110"/>
    </row>
    <row r="551" ht="18.75" customHeight="1">
      <c r="A551" s="1110"/>
      <c r="B551" s="1108" t="s">
        <v>9606</v>
      </c>
      <c r="C551" s="1108" t="s">
        <v>9607</v>
      </c>
      <c r="D551" s="1116" t="s">
        <v>1039</v>
      </c>
      <c r="E551" s="1116" t="s">
        <v>1040</v>
      </c>
      <c r="F551" s="1109">
        <v>0.1</v>
      </c>
      <c r="G551" s="1109">
        <v>0.0</v>
      </c>
      <c r="H551" s="1118">
        <v>94800.0</v>
      </c>
      <c r="I551" s="1118">
        <f t="shared" si="1"/>
        <v>86180</v>
      </c>
      <c r="J551" s="1118">
        <f t="shared" si="2"/>
        <v>94800</v>
      </c>
      <c r="K551" s="1110"/>
    </row>
    <row r="552" ht="18.75" customHeight="1">
      <c r="A552" s="1110"/>
      <c r="B552" s="1108" t="s">
        <v>9606</v>
      </c>
      <c r="C552" s="1108" t="s">
        <v>9607</v>
      </c>
      <c r="D552" s="1116" t="s">
        <v>1043</v>
      </c>
      <c r="E552" s="1116" t="s">
        <v>1044</v>
      </c>
      <c r="F552" s="1109">
        <v>0.1</v>
      </c>
      <c r="G552" s="1109">
        <v>0.0</v>
      </c>
      <c r="H552" s="1118">
        <v>302400.0</v>
      </c>
      <c r="I552" s="1118">
        <f t="shared" si="1"/>
        <v>274910</v>
      </c>
      <c r="J552" s="1118">
        <f t="shared" si="2"/>
        <v>302400</v>
      </c>
      <c r="K552" s="1110"/>
    </row>
    <row r="553" ht="18.75" customHeight="1">
      <c r="A553" s="1110"/>
      <c r="B553" s="1108" t="s">
        <v>9606</v>
      </c>
      <c r="C553" s="1108" t="s">
        <v>9607</v>
      </c>
      <c r="D553" s="1116" t="s">
        <v>9780</v>
      </c>
      <c r="E553" s="1116" t="s">
        <v>9781</v>
      </c>
      <c r="F553" s="1109">
        <v>0.1</v>
      </c>
      <c r="G553" s="1109">
        <v>0.0</v>
      </c>
      <c r="H553" s="1118"/>
      <c r="I553" s="1118" t="str">
        <f t="shared" si="1"/>
        <v/>
      </c>
      <c r="J553" s="1118" t="str">
        <f t="shared" si="2"/>
        <v/>
      </c>
      <c r="K553" s="1110"/>
    </row>
    <row r="554" ht="18.75" customHeight="1">
      <c r="A554" s="1110"/>
      <c r="B554" s="1108" t="s">
        <v>9606</v>
      </c>
      <c r="C554" s="1108" t="s">
        <v>9607</v>
      </c>
      <c r="D554" s="1116" t="s">
        <v>9782</v>
      </c>
      <c r="E554" s="1116" t="s">
        <v>9783</v>
      </c>
      <c r="F554" s="1109">
        <v>0.1</v>
      </c>
      <c r="G554" s="1109">
        <v>0.0</v>
      </c>
      <c r="H554" s="1118"/>
      <c r="I554" s="1118" t="str">
        <f t="shared" si="1"/>
        <v/>
      </c>
      <c r="J554" s="1118" t="str">
        <f t="shared" si="2"/>
        <v/>
      </c>
      <c r="K554" s="1110"/>
    </row>
    <row r="555" ht="18.75" customHeight="1">
      <c r="A555" s="1110"/>
      <c r="B555" s="1108" t="s">
        <v>9606</v>
      </c>
      <c r="C555" s="1108" t="s">
        <v>9607</v>
      </c>
      <c r="D555" s="1116" t="s">
        <v>9784</v>
      </c>
      <c r="E555" s="1116" t="s">
        <v>9785</v>
      </c>
      <c r="F555" s="1109">
        <v>0.1</v>
      </c>
      <c r="G555" s="1109">
        <v>0.0</v>
      </c>
      <c r="H555" s="1118">
        <v>836000.0</v>
      </c>
      <c r="I555" s="1118">
        <f t="shared" si="1"/>
        <v>760000</v>
      </c>
      <c r="J555" s="1118">
        <f t="shared" si="2"/>
        <v>836000</v>
      </c>
      <c r="K555" s="1110"/>
    </row>
    <row r="556" ht="18.75" customHeight="1">
      <c r="A556" s="1110"/>
      <c r="B556" s="1108" t="s">
        <v>9606</v>
      </c>
      <c r="C556" s="1108" t="s">
        <v>9607</v>
      </c>
      <c r="D556" s="1116" t="s">
        <v>1041</v>
      </c>
      <c r="E556" s="1116" t="s">
        <v>1042</v>
      </c>
      <c r="F556" s="1109">
        <v>0.1</v>
      </c>
      <c r="G556" s="1109">
        <v>0.0</v>
      </c>
      <c r="H556" s="1118">
        <v>138600.0</v>
      </c>
      <c r="I556" s="1118">
        <f t="shared" si="1"/>
        <v>126000</v>
      </c>
      <c r="J556" s="1118">
        <f t="shared" si="2"/>
        <v>138600</v>
      </c>
      <c r="K556" s="1110"/>
    </row>
    <row r="557" ht="18.75" customHeight="1">
      <c r="A557" s="1110"/>
      <c r="B557" s="1108" t="s">
        <v>9606</v>
      </c>
      <c r="C557" s="1108" t="s">
        <v>9607</v>
      </c>
      <c r="D557" s="1116" t="s">
        <v>9786</v>
      </c>
      <c r="E557" s="1116" t="s">
        <v>9787</v>
      </c>
      <c r="F557" s="1109">
        <v>0.1</v>
      </c>
      <c r="G557" s="1109">
        <v>0.0</v>
      </c>
      <c r="H557" s="1118"/>
      <c r="I557" s="1118" t="str">
        <f t="shared" si="1"/>
        <v/>
      </c>
      <c r="J557" s="1118" t="str">
        <f t="shared" si="2"/>
        <v/>
      </c>
      <c r="K557" s="1110"/>
    </row>
    <row r="558" ht="18.75" customHeight="1">
      <c r="A558" s="1110"/>
      <c r="B558" s="1108" t="s">
        <v>9606</v>
      </c>
      <c r="C558" s="1108" t="s">
        <v>9607</v>
      </c>
      <c r="D558" s="1116" t="s">
        <v>1114</v>
      </c>
      <c r="E558" s="1116" t="s">
        <v>1114</v>
      </c>
      <c r="F558" s="1109">
        <v>0.1</v>
      </c>
      <c r="G558" s="1109">
        <v>0.0</v>
      </c>
      <c r="H558" s="1118">
        <v>4900.0</v>
      </c>
      <c r="I558" s="1118">
        <f t="shared" si="1"/>
        <v>4450</v>
      </c>
      <c r="J558" s="1118">
        <f t="shared" si="2"/>
        <v>4900</v>
      </c>
      <c r="K558" s="1110"/>
    </row>
    <row r="559" ht="18.75" customHeight="1">
      <c r="A559" s="1110"/>
      <c r="B559" s="1108" t="s">
        <v>9606</v>
      </c>
      <c r="C559" s="1108" t="s">
        <v>9607</v>
      </c>
      <c r="D559" s="1116" t="s">
        <v>966</v>
      </c>
      <c r="E559" s="1116" t="s">
        <v>967</v>
      </c>
      <c r="F559" s="1109">
        <v>0.1</v>
      </c>
      <c r="G559" s="1109">
        <v>0.0</v>
      </c>
      <c r="H559" s="1118">
        <v>27600.0</v>
      </c>
      <c r="I559" s="1118">
        <f t="shared" si="1"/>
        <v>25090</v>
      </c>
      <c r="J559" s="1118">
        <f t="shared" si="2"/>
        <v>27600</v>
      </c>
      <c r="K559" s="1110"/>
    </row>
    <row r="560" ht="18.75" customHeight="1">
      <c r="A560" s="1110"/>
      <c r="B560" s="1108" t="s">
        <v>9606</v>
      </c>
      <c r="C560" s="1108" t="s">
        <v>9607</v>
      </c>
      <c r="D560" s="1116" t="s">
        <v>1037</v>
      </c>
      <c r="E560" s="1116" t="s">
        <v>1038</v>
      </c>
      <c r="F560" s="1109">
        <v>0.1</v>
      </c>
      <c r="G560" s="1109">
        <v>0.0</v>
      </c>
      <c r="H560" s="1118">
        <v>352800.0</v>
      </c>
      <c r="I560" s="1118">
        <f t="shared" si="1"/>
        <v>320730</v>
      </c>
      <c r="J560" s="1118">
        <f t="shared" si="2"/>
        <v>352800</v>
      </c>
      <c r="K560" s="1110"/>
    </row>
    <row r="561" ht="18.75" customHeight="1">
      <c r="A561" s="1110"/>
      <c r="B561" s="1108" t="s">
        <v>9606</v>
      </c>
      <c r="C561" s="1108" t="s">
        <v>9607</v>
      </c>
      <c r="D561" s="1116" t="s">
        <v>9788</v>
      </c>
      <c r="E561" s="1116" t="s">
        <v>9789</v>
      </c>
      <c r="F561" s="1109">
        <v>0.1</v>
      </c>
      <c r="G561" s="1109">
        <v>0.0</v>
      </c>
      <c r="H561" s="1118">
        <v>970000.0</v>
      </c>
      <c r="I561" s="1118">
        <f t="shared" si="1"/>
        <v>881820</v>
      </c>
      <c r="J561" s="1118">
        <f t="shared" si="2"/>
        <v>970000</v>
      </c>
      <c r="K561" s="1110"/>
    </row>
    <row r="562" ht="18.75" customHeight="1">
      <c r="A562" s="1110"/>
      <c r="B562" s="1108" t="s">
        <v>9606</v>
      </c>
      <c r="C562" s="1108" t="s">
        <v>9607</v>
      </c>
      <c r="D562" s="1116" t="s">
        <v>1008</v>
      </c>
      <c r="E562" s="1116" t="s">
        <v>1009</v>
      </c>
      <c r="F562" s="1109">
        <v>0.1</v>
      </c>
      <c r="G562" s="1109">
        <v>0.0</v>
      </c>
      <c r="H562" s="1118">
        <v>52500.0</v>
      </c>
      <c r="I562" s="1118">
        <f t="shared" si="1"/>
        <v>47730</v>
      </c>
      <c r="J562" s="1118">
        <f t="shared" si="2"/>
        <v>52500</v>
      </c>
      <c r="K562" s="1110"/>
    </row>
    <row r="563" ht="18.75" customHeight="1">
      <c r="A563" s="1110"/>
      <c r="B563" s="1108" t="s">
        <v>9606</v>
      </c>
      <c r="C563" s="1108" t="s">
        <v>9607</v>
      </c>
      <c r="D563" s="1116" t="s">
        <v>9790</v>
      </c>
      <c r="E563" s="1116" t="s">
        <v>9791</v>
      </c>
      <c r="F563" s="1109">
        <v>0.1</v>
      </c>
      <c r="G563" s="1109">
        <v>0.0</v>
      </c>
      <c r="H563" s="1118"/>
      <c r="I563" s="1118" t="str">
        <f t="shared" si="1"/>
        <v/>
      </c>
      <c r="J563" s="1118" t="str">
        <f t="shared" si="2"/>
        <v/>
      </c>
      <c r="K563" s="1110"/>
    </row>
    <row r="564" ht="18.75" customHeight="1">
      <c r="A564" s="1110"/>
      <c r="B564" s="1108" t="s">
        <v>9606</v>
      </c>
      <c r="C564" s="1108" t="s">
        <v>9607</v>
      </c>
      <c r="D564" s="1116" t="s">
        <v>970</v>
      </c>
      <c r="E564" s="1116" t="s">
        <v>971</v>
      </c>
      <c r="F564" s="1109">
        <v>0.1</v>
      </c>
      <c r="G564" s="1109">
        <v>0.0</v>
      </c>
      <c r="H564" s="1118">
        <v>37000.0</v>
      </c>
      <c r="I564" s="1118">
        <f t="shared" si="1"/>
        <v>33640</v>
      </c>
      <c r="J564" s="1118">
        <f t="shared" si="2"/>
        <v>37000</v>
      </c>
      <c r="K564" s="1110"/>
    </row>
    <row r="565" ht="18.75" customHeight="1">
      <c r="A565" s="1110"/>
      <c r="B565" s="1108" t="s">
        <v>9606</v>
      </c>
      <c r="C565" s="1108" t="s">
        <v>9607</v>
      </c>
      <c r="D565" s="1116" t="s">
        <v>9792</v>
      </c>
      <c r="E565" s="1116" t="s">
        <v>9793</v>
      </c>
      <c r="F565" s="1109">
        <v>0.1</v>
      </c>
      <c r="G565" s="1109">
        <v>0.0</v>
      </c>
      <c r="H565" s="1118"/>
      <c r="I565" s="1118" t="str">
        <f t="shared" si="1"/>
        <v/>
      </c>
      <c r="J565" s="1118" t="str">
        <f t="shared" si="2"/>
        <v/>
      </c>
      <c r="K565" s="1110"/>
    </row>
    <row r="566" ht="18.75" customHeight="1">
      <c r="A566" s="1110"/>
      <c r="B566" s="1108" t="s">
        <v>9606</v>
      </c>
      <c r="C566" s="1108" t="s">
        <v>9607</v>
      </c>
      <c r="D566" s="1116" t="s">
        <v>9794</v>
      </c>
      <c r="E566" s="1116" t="s">
        <v>9795</v>
      </c>
      <c r="F566" s="1109">
        <v>0.1</v>
      </c>
      <c r="G566" s="1109">
        <v>0.0</v>
      </c>
      <c r="H566" s="1118">
        <v>792000.0</v>
      </c>
      <c r="I566" s="1118">
        <f t="shared" si="1"/>
        <v>720000</v>
      </c>
      <c r="J566" s="1118">
        <f t="shared" si="2"/>
        <v>792000</v>
      </c>
      <c r="K566" s="1110"/>
    </row>
    <row r="567" ht="18.75" customHeight="1">
      <c r="A567" s="1110"/>
      <c r="B567" s="1108" t="s">
        <v>9606</v>
      </c>
      <c r="C567" s="1108" t="s">
        <v>9607</v>
      </c>
      <c r="D567" s="1116" t="s">
        <v>9796</v>
      </c>
      <c r="E567" s="1116" t="s">
        <v>9797</v>
      </c>
      <c r="F567" s="1109">
        <v>0.1</v>
      </c>
      <c r="G567" s="1109">
        <v>0.0</v>
      </c>
      <c r="H567" s="1118">
        <v>759770.0</v>
      </c>
      <c r="I567" s="1118">
        <f t="shared" si="1"/>
        <v>690700</v>
      </c>
      <c r="J567" s="1118">
        <f t="shared" si="2"/>
        <v>759770</v>
      </c>
      <c r="K567" s="1110"/>
    </row>
    <row r="568" ht="18.75" customHeight="1">
      <c r="A568" s="1110"/>
      <c r="B568" s="1108" t="s">
        <v>9606</v>
      </c>
      <c r="C568" s="1108" t="s">
        <v>9607</v>
      </c>
      <c r="D568" s="1116" t="s">
        <v>9798</v>
      </c>
      <c r="E568" s="1116" t="s">
        <v>9799</v>
      </c>
      <c r="F568" s="1109">
        <v>0.1</v>
      </c>
      <c r="G568" s="1109">
        <v>0.0</v>
      </c>
      <c r="H568" s="1118">
        <v>1100000.0</v>
      </c>
      <c r="I568" s="1118">
        <f t="shared" si="1"/>
        <v>1000000</v>
      </c>
      <c r="J568" s="1118">
        <f t="shared" si="2"/>
        <v>1100000</v>
      </c>
      <c r="K568" s="1110"/>
    </row>
    <row r="569" ht="18.75" customHeight="1">
      <c r="A569" s="1110"/>
      <c r="B569" s="1108" t="s">
        <v>9606</v>
      </c>
      <c r="C569" s="1108" t="s">
        <v>9607</v>
      </c>
      <c r="D569" s="1116" t="s">
        <v>9800</v>
      </c>
      <c r="E569" s="1116" t="s">
        <v>9801</v>
      </c>
      <c r="F569" s="1109">
        <v>0.1</v>
      </c>
      <c r="G569" s="1109">
        <v>0.0</v>
      </c>
      <c r="H569" s="1118"/>
      <c r="I569" s="1118" t="str">
        <f t="shared" si="1"/>
        <v/>
      </c>
      <c r="J569" s="1118" t="str">
        <f t="shared" si="2"/>
        <v/>
      </c>
      <c r="K569" s="1110"/>
    </row>
    <row r="570" ht="18.75" customHeight="1">
      <c r="A570" s="1110"/>
      <c r="B570" s="1108" t="s">
        <v>9606</v>
      </c>
      <c r="C570" s="1108" t="s">
        <v>9607</v>
      </c>
      <c r="D570" s="1116" t="s">
        <v>9802</v>
      </c>
      <c r="E570" s="1116" t="s">
        <v>9803</v>
      </c>
      <c r="F570" s="1109">
        <v>0.1</v>
      </c>
      <c r="G570" s="1109">
        <v>0.0</v>
      </c>
      <c r="H570" s="1118">
        <v>44000.0</v>
      </c>
      <c r="I570" s="1118">
        <f t="shared" si="1"/>
        <v>40000</v>
      </c>
      <c r="J570" s="1118">
        <f t="shared" si="2"/>
        <v>44000</v>
      </c>
      <c r="K570" s="1110"/>
    </row>
    <row r="571" ht="18.75" customHeight="1">
      <c r="A571" s="1110"/>
      <c r="B571" s="1108" t="s">
        <v>9606</v>
      </c>
      <c r="C571" s="1108" t="s">
        <v>9607</v>
      </c>
      <c r="D571" s="1116" t="s">
        <v>9804</v>
      </c>
      <c r="E571" s="1116" t="s">
        <v>9805</v>
      </c>
      <c r="F571" s="1109">
        <v>0.1</v>
      </c>
      <c r="G571" s="1109">
        <v>0.0</v>
      </c>
      <c r="H571" s="1118">
        <v>66000.0</v>
      </c>
      <c r="I571" s="1118">
        <f t="shared" si="1"/>
        <v>60000</v>
      </c>
      <c r="J571" s="1118">
        <f t="shared" si="2"/>
        <v>66000</v>
      </c>
      <c r="K571" s="1110"/>
    </row>
    <row r="572" ht="18.75" customHeight="1">
      <c r="A572" s="1110"/>
      <c r="B572" s="1108" t="s">
        <v>9606</v>
      </c>
      <c r="C572" s="1108" t="s">
        <v>9607</v>
      </c>
      <c r="D572" s="1116" t="s">
        <v>9806</v>
      </c>
      <c r="E572" s="1116" t="s">
        <v>9807</v>
      </c>
      <c r="F572" s="1109">
        <v>0.1</v>
      </c>
      <c r="G572" s="1109">
        <v>0.0</v>
      </c>
      <c r="H572" s="1118"/>
      <c r="I572" s="1118" t="str">
        <f t="shared" si="1"/>
        <v/>
      </c>
      <c r="J572" s="1118" t="str">
        <f t="shared" si="2"/>
        <v/>
      </c>
      <c r="K572" s="1110"/>
    </row>
    <row r="573" ht="18.75" customHeight="1">
      <c r="A573" s="1110"/>
      <c r="B573" s="1108" t="s">
        <v>9606</v>
      </c>
      <c r="C573" s="1108" t="s">
        <v>9607</v>
      </c>
      <c r="D573" s="1116" t="s">
        <v>9808</v>
      </c>
      <c r="E573" s="1116" t="s">
        <v>9809</v>
      </c>
      <c r="F573" s="1109">
        <v>0.1</v>
      </c>
      <c r="G573" s="1109">
        <v>0.0</v>
      </c>
      <c r="H573" s="1118">
        <v>11000.0</v>
      </c>
      <c r="I573" s="1118">
        <f t="shared" si="1"/>
        <v>10000</v>
      </c>
      <c r="J573" s="1118">
        <f t="shared" si="2"/>
        <v>11000</v>
      </c>
      <c r="K573" s="1110"/>
    </row>
    <row r="574" ht="18.75" customHeight="1">
      <c r="A574" s="1110"/>
      <c r="B574" s="1108" t="s">
        <v>9606</v>
      </c>
      <c r="C574" s="1108" t="s">
        <v>9607</v>
      </c>
      <c r="D574" s="1116" t="s">
        <v>9810</v>
      </c>
      <c r="E574" s="1116" t="s">
        <v>9811</v>
      </c>
      <c r="F574" s="1109">
        <v>0.1</v>
      </c>
      <c r="G574" s="1109">
        <v>0.0</v>
      </c>
      <c r="H574" s="1118"/>
      <c r="I574" s="1118" t="str">
        <f t="shared" si="1"/>
        <v/>
      </c>
      <c r="J574" s="1118" t="str">
        <f t="shared" si="2"/>
        <v/>
      </c>
      <c r="K574" s="1110"/>
    </row>
    <row r="575" ht="18.75" customHeight="1">
      <c r="A575" s="1110"/>
      <c r="B575" s="1108" t="s">
        <v>9606</v>
      </c>
      <c r="C575" s="1108" t="s">
        <v>9607</v>
      </c>
      <c r="D575" s="1116" t="s">
        <v>9812</v>
      </c>
      <c r="E575" s="1116" t="s">
        <v>9813</v>
      </c>
      <c r="F575" s="1109">
        <v>0.1</v>
      </c>
      <c r="G575" s="1109">
        <v>0.0</v>
      </c>
      <c r="H575" s="1118"/>
      <c r="I575" s="1118" t="str">
        <f t="shared" si="1"/>
        <v/>
      </c>
      <c r="J575" s="1118" t="str">
        <f t="shared" si="2"/>
        <v/>
      </c>
      <c r="K575" s="1110"/>
    </row>
    <row r="576" ht="18.75" customHeight="1">
      <c r="A576" s="1110"/>
      <c r="B576" s="1108" t="s">
        <v>9606</v>
      </c>
      <c r="C576" s="1108" t="s">
        <v>9607</v>
      </c>
      <c r="D576" s="1116" t="s">
        <v>1115</v>
      </c>
      <c r="E576" s="1116" t="s">
        <v>1116</v>
      </c>
      <c r="F576" s="1109">
        <v>0.1</v>
      </c>
      <c r="G576" s="1109">
        <v>0.0</v>
      </c>
      <c r="H576" s="1118">
        <v>58099.99999999999</v>
      </c>
      <c r="I576" s="1118">
        <f t="shared" si="1"/>
        <v>52820</v>
      </c>
      <c r="J576" s="1118">
        <f t="shared" si="2"/>
        <v>58100</v>
      </c>
      <c r="K576" s="1110"/>
    </row>
    <row r="577" ht="18.75" customHeight="1">
      <c r="A577" s="1110"/>
      <c r="B577" s="1108" t="s">
        <v>9606</v>
      </c>
      <c r="C577" s="1108" t="s">
        <v>9607</v>
      </c>
      <c r="D577" s="1116" t="s">
        <v>9814</v>
      </c>
      <c r="E577" s="1116" t="s">
        <v>9815</v>
      </c>
      <c r="F577" s="1109">
        <v>0.1</v>
      </c>
      <c r="G577" s="1109">
        <v>0.0</v>
      </c>
      <c r="H577" s="1118">
        <v>173250.0</v>
      </c>
      <c r="I577" s="1118">
        <f t="shared" si="1"/>
        <v>157500</v>
      </c>
      <c r="J577" s="1118">
        <f t="shared" si="2"/>
        <v>173250</v>
      </c>
      <c r="K577" s="1110"/>
    </row>
    <row r="578" ht="18.75" customHeight="1">
      <c r="A578" s="1110"/>
      <c r="B578" s="1108" t="s">
        <v>9606</v>
      </c>
      <c r="C578" s="1108" t="s">
        <v>9607</v>
      </c>
      <c r="D578" s="1116" t="s">
        <v>9816</v>
      </c>
      <c r="E578" s="1116" t="s">
        <v>9817</v>
      </c>
      <c r="F578" s="1109">
        <v>0.1</v>
      </c>
      <c r="G578" s="1109">
        <v>0.0</v>
      </c>
      <c r="H578" s="1118">
        <v>264000.0</v>
      </c>
      <c r="I578" s="1118">
        <f t="shared" si="1"/>
        <v>240000</v>
      </c>
      <c r="J578" s="1118">
        <f t="shared" si="2"/>
        <v>264000</v>
      </c>
      <c r="K578" s="1110"/>
    </row>
    <row r="579" ht="18.75" customHeight="1">
      <c r="A579" s="1110"/>
      <c r="B579" s="1108" t="s">
        <v>9606</v>
      </c>
      <c r="C579" s="1108" t="s">
        <v>9607</v>
      </c>
      <c r="D579" s="1116" t="s">
        <v>1117</v>
      </c>
      <c r="E579" s="1116" t="s">
        <v>1118</v>
      </c>
      <c r="F579" s="1109">
        <v>0.1</v>
      </c>
      <c r="G579" s="1109">
        <v>0.0</v>
      </c>
      <c r="H579" s="1118">
        <v>158200.0</v>
      </c>
      <c r="I579" s="1118">
        <f t="shared" si="1"/>
        <v>143820</v>
      </c>
      <c r="J579" s="1118">
        <f t="shared" si="2"/>
        <v>158200</v>
      </c>
      <c r="K579" s="1110"/>
    </row>
    <row r="580" ht="18.75" customHeight="1">
      <c r="A580" s="1110"/>
      <c r="B580" s="1108" t="s">
        <v>9606</v>
      </c>
      <c r="C580" s="1108" t="s">
        <v>9607</v>
      </c>
      <c r="D580" s="1116" t="s">
        <v>9818</v>
      </c>
      <c r="E580" s="1116" t="s">
        <v>9819</v>
      </c>
      <c r="F580" s="1109">
        <v>0.1</v>
      </c>
      <c r="G580" s="1109">
        <v>0.0</v>
      </c>
      <c r="H580" s="1116"/>
      <c r="I580" s="1118" t="str">
        <f t="shared" si="1"/>
        <v/>
      </c>
      <c r="J580" s="1118" t="str">
        <f t="shared" si="2"/>
        <v/>
      </c>
      <c r="K580" s="1110"/>
    </row>
    <row r="581" ht="18.75" customHeight="1">
      <c r="A581" s="1110"/>
      <c r="B581" s="1108" t="s">
        <v>9606</v>
      </c>
      <c r="C581" s="1108" t="s">
        <v>9607</v>
      </c>
      <c r="D581" s="1116" t="s">
        <v>9820</v>
      </c>
      <c r="E581" s="1116" t="s">
        <v>9821</v>
      </c>
      <c r="F581" s="1109">
        <v>0.1</v>
      </c>
      <c r="G581" s="1109">
        <v>0.0</v>
      </c>
      <c r="H581" s="1118"/>
      <c r="I581" s="1118" t="str">
        <f t="shared" si="1"/>
        <v/>
      </c>
      <c r="J581" s="1118" t="str">
        <f t="shared" si="2"/>
        <v/>
      </c>
      <c r="K581" s="1110"/>
    </row>
    <row r="582" ht="18.75" customHeight="1">
      <c r="A582" s="1110"/>
      <c r="B582" s="1108" t="s">
        <v>9606</v>
      </c>
      <c r="C582" s="1108" t="s">
        <v>9607</v>
      </c>
      <c r="D582" s="1116" t="s">
        <v>9822</v>
      </c>
      <c r="E582" s="1116" t="s">
        <v>9823</v>
      </c>
      <c r="F582" s="1109">
        <v>0.1</v>
      </c>
      <c r="G582" s="1109">
        <v>0.0</v>
      </c>
      <c r="H582" s="1118">
        <v>2299000.0</v>
      </c>
      <c r="I582" s="1118">
        <f t="shared" si="1"/>
        <v>2090000</v>
      </c>
      <c r="J582" s="1118">
        <f t="shared" si="2"/>
        <v>2299000</v>
      </c>
      <c r="K582" s="1110"/>
    </row>
    <row r="583" ht="18.75" customHeight="1">
      <c r="A583" s="1110"/>
      <c r="B583" s="1108" t="s">
        <v>9606</v>
      </c>
      <c r="C583" s="1108" t="s">
        <v>9607</v>
      </c>
      <c r="D583" s="1116" t="s">
        <v>9824</v>
      </c>
      <c r="E583" s="1116" t="s">
        <v>9825</v>
      </c>
      <c r="F583" s="1109">
        <v>0.1</v>
      </c>
      <c r="G583" s="1109">
        <v>0.0</v>
      </c>
      <c r="H583" s="1118">
        <v>97900.0</v>
      </c>
      <c r="I583" s="1118">
        <f t="shared" si="1"/>
        <v>89000</v>
      </c>
      <c r="J583" s="1118">
        <f t="shared" si="2"/>
        <v>97900</v>
      </c>
      <c r="K583" s="1110"/>
    </row>
    <row r="584" ht="18.75" customHeight="1">
      <c r="A584" s="1110"/>
      <c r="B584" s="1108" t="s">
        <v>9606</v>
      </c>
      <c r="C584" s="1108" t="s">
        <v>9607</v>
      </c>
      <c r="D584" s="1116" t="s">
        <v>1119</v>
      </c>
      <c r="E584" s="1116" t="s">
        <v>1120</v>
      </c>
      <c r="F584" s="1109">
        <v>0.1</v>
      </c>
      <c r="G584" s="1109">
        <v>0.0</v>
      </c>
      <c r="H584" s="1118">
        <v>191800.0</v>
      </c>
      <c r="I584" s="1118">
        <f t="shared" si="1"/>
        <v>174360</v>
      </c>
      <c r="J584" s="1118">
        <f t="shared" si="2"/>
        <v>191800</v>
      </c>
      <c r="K584" s="1110"/>
    </row>
    <row r="585" ht="18.75" customHeight="1">
      <c r="A585" s="1110"/>
      <c r="B585" s="1108" t="s">
        <v>9606</v>
      </c>
      <c r="C585" s="1108" t="s">
        <v>9607</v>
      </c>
      <c r="D585" s="1116" t="s">
        <v>1121</v>
      </c>
      <c r="E585" s="1116" t="s">
        <v>1122</v>
      </c>
      <c r="F585" s="1109">
        <v>0.1</v>
      </c>
      <c r="G585" s="1109">
        <v>0.0</v>
      </c>
      <c r="H585" s="1118">
        <v>198800.0</v>
      </c>
      <c r="I585" s="1118">
        <f t="shared" si="1"/>
        <v>180730</v>
      </c>
      <c r="J585" s="1118">
        <f t="shared" si="2"/>
        <v>198800</v>
      </c>
      <c r="K585" s="1110"/>
    </row>
    <row r="586" ht="18.75" customHeight="1">
      <c r="A586" s="1110"/>
      <c r="B586" s="1108" t="s">
        <v>9606</v>
      </c>
      <c r="C586" s="1108" t="s">
        <v>9607</v>
      </c>
      <c r="D586" s="1116" t="s">
        <v>9826</v>
      </c>
      <c r="E586" s="1116" t="s">
        <v>9827</v>
      </c>
      <c r="F586" s="1109">
        <v>0.1</v>
      </c>
      <c r="G586" s="1109">
        <v>0.0</v>
      </c>
      <c r="H586" s="1118">
        <v>770000.0</v>
      </c>
      <c r="I586" s="1118">
        <f t="shared" si="1"/>
        <v>700000</v>
      </c>
      <c r="J586" s="1118">
        <f t="shared" si="2"/>
        <v>770000</v>
      </c>
      <c r="K586" s="1110"/>
    </row>
    <row r="587" ht="18.75" customHeight="1">
      <c r="A587" s="1110"/>
      <c r="B587" s="1108" t="s">
        <v>9606</v>
      </c>
      <c r="C587" s="1108" t="s">
        <v>9607</v>
      </c>
      <c r="D587" s="1116" t="s">
        <v>9828</v>
      </c>
      <c r="E587" s="1116" t="s">
        <v>9829</v>
      </c>
      <c r="F587" s="1109">
        <v>0.1</v>
      </c>
      <c r="G587" s="1109">
        <v>0.0</v>
      </c>
      <c r="H587" s="1118">
        <v>1320000.0</v>
      </c>
      <c r="I587" s="1118">
        <f t="shared" si="1"/>
        <v>1200000</v>
      </c>
      <c r="J587" s="1118">
        <f t="shared" si="2"/>
        <v>1320000</v>
      </c>
      <c r="K587" s="1110"/>
    </row>
    <row r="588" ht="18.75" customHeight="1">
      <c r="A588" s="1110"/>
      <c r="B588" s="1108" t="s">
        <v>9606</v>
      </c>
      <c r="C588" s="1108" t="s">
        <v>9607</v>
      </c>
      <c r="D588" s="1116" t="s">
        <v>9830</v>
      </c>
      <c r="E588" s="1116" t="s">
        <v>9831</v>
      </c>
      <c r="F588" s="1109">
        <v>0.1</v>
      </c>
      <c r="G588" s="1109">
        <v>0.0</v>
      </c>
      <c r="H588" s="1118">
        <v>465490.0</v>
      </c>
      <c r="I588" s="1118">
        <f t="shared" si="1"/>
        <v>423170</v>
      </c>
      <c r="J588" s="1118">
        <f t="shared" si="2"/>
        <v>465490</v>
      </c>
      <c r="K588" s="1110"/>
    </row>
    <row r="589" ht="18.75" customHeight="1">
      <c r="A589" s="1110"/>
      <c r="B589" s="1108" t="s">
        <v>9606</v>
      </c>
      <c r="C589" s="1108" t="s">
        <v>9607</v>
      </c>
      <c r="D589" s="1116" t="s">
        <v>9832</v>
      </c>
      <c r="E589" s="1116" t="s">
        <v>9833</v>
      </c>
      <c r="F589" s="1109">
        <v>0.1</v>
      </c>
      <c r="G589" s="1109">
        <v>0.0</v>
      </c>
      <c r="H589" s="1118">
        <v>632500.0</v>
      </c>
      <c r="I589" s="1118">
        <f t="shared" si="1"/>
        <v>575000</v>
      </c>
      <c r="J589" s="1118">
        <f t="shared" si="2"/>
        <v>632500</v>
      </c>
      <c r="K589" s="1110"/>
    </row>
    <row r="590" ht="18.75" customHeight="1">
      <c r="A590" s="1110"/>
      <c r="B590" s="1108" t="s">
        <v>9606</v>
      </c>
      <c r="C590" s="1108" t="s">
        <v>9607</v>
      </c>
      <c r="D590" s="1116" t="s">
        <v>9834</v>
      </c>
      <c r="E590" s="1116" t="s">
        <v>9835</v>
      </c>
      <c r="F590" s="1109">
        <v>0.1</v>
      </c>
      <c r="G590" s="1109">
        <v>0.0</v>
      </c>
      <c r="H590" s="1118">
        <v>1100000.0</v>
      </c>
      <c r="I590" s="1118">
        <f t="shared" si="1"/>
        <v>1000000</v>
      </c>
      <c r="J590" s="1118">
        <f t="shared" si="2"/>
        <v>1100000</v>
      </c>
      <c r="K590" s="1110"/>
    </row>
    <row r="591" ht="18.75" customHeight="1">
      <c r="A591" s="1110"/>
      <c r="B591" s="1108" t="s">
        <v>9606</v>
      </c>
      <c r="C591" s="1108" t="s">
        <v>9607</v>
      </c>
      <c r="D591" s="1116" t="s">
        <v>9836</v>
      </c>
      <c r="E591" s="1116" t="s">
        <v>9837</v>
      </c>
      <c r="F591" s="1109">
        <v>0.1</v>
      </c>
      <c r="G591" s="1109">
        <v>0.0</v>
      </c>
      <c r="H591" s="1118"/>
      <c r="I591" s="1118" t="str">
        <f t="shared" si="1"/>
        <v/>
      </c>
      <c r="J591" s="1118" t="str">
        <f t="shared" si="2"/>
        <v/>
      </c>
      <c r="K591" s="1110"/>
    </row>
    <row r="592" ht="18.75" customHeight="1">
      <c r="A592" s="1110"/>
      <c r="B592" s="1108" t="s">
        <v>9606</v>
      </c>
      <c r="C592" s="1108" t="s">
        <v>9607</v>
      </c>
      <c r="D592" s="1116" t="s">
        <v>9838</v>
      </c>
      <c r="E592" s="1116" t="s">
        <v>9839</v>
      </c>
      <c r="F592" s="1109">
        <v>0.1</v>
      </c>
      <c r="G592" s="1109">
        <v>0.0</v>
      </c>
      <c r="H592" s="1118">
        <v>440000.0</v>
      </c>
      <c r="I592" s="1118">
        <f t="shared" si="1"/>
        <v>400000</v>
      </c>
      <c r="J592" s="1118">
        <f t="shared" si="2"/>
        <v>440000</v>
      </c>
      <c r="K592" s="1110"/>
    </row>
    <row r="593" ht="18.75" customHeight="1">
      <c r="A593" s="1110"/>
      <c r="B593" s="1108" t="s">
        <v>9606</v>
      </c>
      <c r="C593" s="1108" t="s">
        <v>9607</v>
      </c>
      <c r="D593" s="1116" t="s">
        <v>9840</v>
      </c>
      <c r="E593" s="1116" t="s">
        <v>9841</v>
      </c>
      <c r="F593" s="1109">
        <v>0.1</v>
      </c>
      <c r="G593" s="1109">
        <v>0.0</v>
      </c>
      <c r="H593" s="1118"/>
      <c r="I593" s="1118" t="str">
        <f t="shared" si="1"/>
        <v/>
      </c>
      <c r="J593" s="1118" t="str">
        <f t="shared" si="2"/>
        <v/>
      </c>
      <c r="K593" s="1110"/>
    </row>
    <row r="594" ht="18.75" customHeight="1">
      <c r="A594" s="1110"/>
      <c r="B594" s="1108" t="s">
        <v>9606</v>
      </c>
      <c r="C594" s="1108" t="s">
        <v>9607</v>
      </c>
      <c r="D594" s="1116" t="s">
        <v>9842</v>
      </c>
      <c r="E594" s="1116" t="s">
        <v>9843</v>
      </c>
      <c r="F594" s="1109">
        <v>0.1</v>
      </c>
      <c r="G594" s="1109">
        <v>0.0</v>
      </c>
      <c r="H594" s="1118"/>
      <c r="I594" s="1118" t="str">
        <f t="shared" si="1"/>
        <v/>
      </c>
      <c r="J594" s="1118" t="str">
        <f t="shared" si="2"/>
        <v/>
      </c>
      <c r="K594" s="1110"/>
    </row>
    <row r="595" ht="18.75" customHeight="1">
      <c r="A595" s="1110"/>
      <c r="B595" s="1108" t="s">
        <v>9606</v>
      </c>
      <c r="C595" s="1108" t="s">
        <v>9607</v>
      </c>
      <c r="D595" s="1116" t="s">
        <v>9844</v>
      </c>
      <c r="E595" s="1116" t="s">
        <v>9845</v>
      </c>
      <c r="F595" s="1109">
        <v>0.1</v>
      </c>
      <c r="G595" s="1109">
        <v>0.0</v>
      </c>
      <c r="H595" s="1118"/>
      <c r="I595" s="1118" t="str">
        <f t="shared" si="1"/>
        <v/>
      </c>
      <c r="J595" s="1118" t="str">
        <f t="shared" si="2"/>
        <v/>
      </c>
      <c r="K595" s="1110"/>
    </row>
    <row r="596" ht="18.75" customHeight="1">
      <c r="A596" s="1110"/>
      <c r="B596" s="1108" t="s">
        <v>9606</v>
      </c>
      <c r="C596" s="1108" t="s">
        <v>9607</v>
      </c>
      <c r="D596" s="1116" t="s">
        <v>9846</v>
      </c>
      <c r="E596" s="1116" t="s">
        <v>9847</v>
      </c>
      <c r="F596" s="1109">
        <v>0.1</v>
      </c>
      <c r="G596" s="1109">
        <v>0.0</v>
      </c>
      <c r="H596" s="1118">
        <v>1.853478E7</v>
      </c>
      <c r="I596" s="1118">
        <f t="shared" si="1"/>
        <v>16849800</v>
      </c>
      <c r="J596" s="1118">
        <f t="shared" si="2"/>
        <v>18534780</v>
      </c>
      <c r="K596" s="1110"/>
    </row>
    <row r="597" ht="18.75" customHeight="1">
      <c r="A597" s="1110"/>
      <c r="B597" s="1108" t="s">
        <v>9606</v>
      </c>
      <c r="C597" s="1108" t="s">
        <v>9607</v>
      </c>
      <c r="D597" s="1116" t="s">
        <v>9848</v>
      </c>
      <c r="E597" s="1116" t="s">
        <v>9849</v>
      </c>
      <c r="F597" s="1109">
        <v>0.1</v>
      </c>
      <c r="G597" s="1109">
        <v>0.0</v>
      </c>
      <c r="H597" s="1118">
        <v>1210000.0</v>
      </c>
      <c r="I597" s="1118">
        <f t="shared" si="1"/>
        <v>1100000</v>
      </c>
      <c r="J597" s="1118">
        <f t="shared" si="2"/>
        <v>1210000</v>
      </c>
      <c r="K597" s="1110"/>
    </row>
    <row r="598" ht="18.75" customHeight="1">
      <c r="A598" s="1110"/>
      <c r="B598" s="1108" t="s">
        <v>9606</v>
      </c>
      <c r="C598" s="1108" t="s">
        <v>9607</v>
      </c>
      <c r="D598" s="1116" t="s">
        <v>9850</v>
      </c>
      <c r="E598" s="1116" t="s">
        <v>9851</v>
      </c>
      <c r="F598" s="1109">
        <v>0.1</v>
      </c>
      <c r="G598" s="1109">
        <v>0.0</v>
      </c>
      <c r="H598" s="1118">
        <v>1564420.0</v>
      </c>
      <c r="I598" s="1118">
        <f t="shared" si="1"/>
        <v>1422200</v>
      </c>
      <c r="J598" s="1118">
        <f t="shared" si="2"/>
        <v>1564420</v>
      </c>
      <c r="K598" s="1110"/>
    </row>
    <row r="599" ht="18.75" customHeight="1">
      <c r="A599" s="1110"/>
      <c r="B599" s="1108" t="s">
        <v>9606</v>
      </c>
      <c r="C599" s="1108" t="s">
        <v>9607</v>
      </c>
      <c r="D599" s="1116" t="s">
        <v>9852</v>
      </c>
      <c r="E599" s="1116" t="s">
        <v>9853</v>
      </c>
      <c r="F599" s="1109">
        <v>0.1</v>
      </c>
      <c r="G599" s="1109">
        <v>0.0</v>
      </c>
      <c r="H599" s="1118">
        <v>697400.0</v>
      </c>
      <c r="I599" s="1118">
        <f t="shared" si="1"/>
        <v>634000</v>
      </c>
      <c r="J599" s="1118">
        <f t="shared" si="2"/>
        <v>697400</v>
      </c>
      <c r="K599" s="1110"/>
    </row>
    <row r="600" ht="18.75" customHeight="1">
      <c r="A600" s="1110"/>
      <c r="B600" s="1108" t="s">
        <v>9606</v>
      </c>
      <c r="C600" s="1108" t="s">
        <v>9607</v>
      </c>
      <c r="D600" s="1116" t="s">
        <v>1030</v>
      </c>
      <c r="E600" s="1116" t="s">
        <v>1031</v>
      </c>
      <c r="F600" s="1109">
        <v>0.1</v>
      </c>
      <c r="G600" s="1109">
        <v>0.0</v>
      </c>
      <c r="H600" s="1118">
        <v>335000.0</v>
      </c>
      <c r="I600" s="1118">
        <f t="shared" si="1"/>
        <v>304550</v>
      </c>
      <c r="J600" s="1118">
        <f t="shared" si="2"/>
        <v>335000</v>
      </c>
      <c r="K600" s="1110"/>
    </row>
    <row r="601" ht="18.75" customHeight="1">
      <c r="A601" s="1110"/>
      <c r="B601" s="1108" t="s">
        <v>9606</v>
      </c>
      <c r="C601" s="1108" t="s">
        <v>9607</v>
      </c>
      <c r="D601" s="1116" t="s">
        <v>9854</v>
      </c>
      <c r="E601" s="1116" t="s">
        <v>9855</v>
      </c>
      <c r="F601" s="1109">
        <v>0.1</v>
      </c>
      <c r="G601" s="1109">
        <v>0.0</v>
      </c>
      <c r="H601" s="1118">
        <v>320870.0</v>
      </c>
      <c r="I601" s="1118">
        <f t="shared" si="1"/>
        <v>291700</v>
      </c>
      <c r="J601" s="1118">
        <f t="shared" si="2"/>
        <v>320870</v>
      </c>
      <c r="K601" s="1110"/>
    </row>
    <row r="602" ht="18.75" customHeight="1">
      <c r="A602" s="1110"/>
      <c r="B602" s="1108" t="s">
        <v>9606</v>
      </c>
      <c r="C602" s="1108" t="s">
        <v>9607</v>
      </c>
      <c r="D602" s="1116" t="s">
        <v>9856</v>
      </c>
      <c r="E602" s="1116" t="s">
        <v>9857</v>
      </c>
      <c r="F602" s="1109">
        <v>0.1</v>
      </c>
      <c r="G602" s="1109">
        <v>0.0</v>
      </c>
      <c r="H602" s="1118">
        <v>453200.0</v>
      </c>
      <c r="I602" s="1118">
        <f t="shared" si="1"/>
        <v>412000</v>
      </c>
      <c r="J602" s="1118">
        <f t="shared" si="2"/>
        <v>453200</v>
      </c>
      <c r="K602" s="1110"/>
    </row>
    <row r="603" ht="18.75" customHeight="1">
      <c r="A603" s="1110"/>
      <c r="B603" s="1108" t="s">
        <v>774</v>
      </c>
      <c r="C603" s="1108" t="s">
        <v>9858</v>
      </c>
      <c r="D603" s="1116" t="s">
        <v>715</v>
      </c>
      <c r="E603" s="1116" t="s">
        <v>775</v>
      </c>
      <c r="F603" s="1109">
        <v>0.1</v>
      </c>
      <c r="G603" s="1109">
        <v>0.0</v>
      </c>
      <c r="H603" s="1118">
        <v>103950.0</v>
      </c>
      <c r="I603" s="1118">
        <f t="shared" si="1"/>
        <v>94500</v>
      </c>
      <c r="J603" s="1118">
        <f t="shared" si="2"/>
        <v>103950</v>
      </c>
      <c r="K603" s="1110"/>
    </row>
    <row r="604" ht="18.75" customHeight="1">
      <c r="A604" s="1110"/>
      <c r="B604" s="1108" t="s">
        <v>774</v>
      </c>
      <c r="C604" s="1108" t="s">
        <v>9858</v>
      </c>
      <c r="D604" s="1116" t="s">
        <v>719</v>
      </c>
      <c r="E604" s="1116" t="s">
        <v>9859</v>
      </c>
      <c r="F604" s="1109">
        <v>0.1</v>
      </c>
      <c r="G604" s="1109">
        <v>0.0</v>
      </c>
      <c r="H604" s="1118"/>
      <c r="I604" s="1118" t="str">
        <f t="shared" si="1"/>
        <v/>
      </c>
      <c r="J604" s="1118" t="str">
        <f t="shared" si="2"/>
        <v/>
      </c>
      <c r="K604" s="1110"/>
    </row>
    <row r="605" ht="18.75" customHeight="1">
      <c r="A605" s="1110"/>
      <c r="B605" s="1108" t="s">
        <v>774</v>
      </c>
      <c r="C605" s="1108" t="s">
        <v>9858</v>
      </c>
      <c r="D605" s="1116" t="s">
        <v>723</v>
      </c>
      <c r="E605" s="1116" t="s">
        <v>781</v>
      </c>
      <c r="F605" s="1109">
        <v>0.1</v>
      </c>
      <c r="G605" s="1109">
        <v>0.0</v>
      </c>
      <c r="H605" s="1118">
        <v>99000.0</v>
      </c>
      <c r="I605" s="1118">
        <f t="shared" si="1"/>
        <v>90000</v>
      </c>
      <c r="J605" s="1118">
        <f t="shared" si="2"/>
        <v>99000</v>
      </c>
      <c r="K605" s="1110"/>
    </row>
    <row r="606" ht="18.75" customHeight="1">
      <c r="A606" s="1110"/>
      <c r="B606" s="1108" t="s">
        <v>774</v>
      </c>
      <c r="C606" s="1108" t="s">
        <v>9858</v>
      </c>
      <c r="D606" s="1116" t="s">
        <v>726</v>
      </c>
      <c r="E606" s="1116" t="s">
        <v>784</v>
      </c>
      <c r="F606" s="1109">
        <v>0.1</v>
      </c>
      <c r="G606" s="1109">
        <v>0.0</v>
      </c>
      <c r="H606" s="1118">
        <v>127050.0</v>
      </c>
      <c r="I606" s="1118">
        <f t="shared" si="1"/>
        <v>115500</v>
      </c>
      <c r="J606" s="1118">
        <f t="shared" si="2"/>
        <v>127050</v>
      </c>
      <c r="K606" s="1110"/>
    </row>
    <row r="607" ht="18.75" customHeight="1">
      <c r="A607" s="1110"/>
      <c r="B607" s="1108" t="s">
        <v>774</v>
      </c>
      <c r="C607" s="1108" t="s">
        <v>9858</v>
      </c>
      <c r="D607" s="1116" t="s">
        <v>727</v>
      </c>
      <c r="E607" s="1116" t="s">
        <v>9860</v>
      </c>
      <c r="F607" s="1109">
        <v>0.1</v>
      </c>
      <c r="G607" s="1109">
        <v>0.0</v>
      </c>
      <c r="H607" s="1118">
        <v>220000.0</v>
      </c>
      <c r="I607" s="1118">
        <f t="shared" si="1"/>
        <v>200000</v>
      </c>
      <c r="J607" s="1118">
        <f t="shared" si="2"/>
        <v>220000</v>
      </c>
      <c r="K607" s="1110"/>
    </row>
    <row r="608" ht="18.75" customHeight="1">
      <c r="A608" s="1110"/>
      <c r="B608" s="1108" t="s">
        <v>774</v>
      </c>
      <c r="C608" s="1108" t="s">
        <v>9858</v>
      </c>
      <c r="D608" s="1116" t="s">
        <v>730</v>
      </c>
      <c r="E608" s="1116" t="s">
        <v>9861</v>
      </c>
      <c r="F608" s="1109">
        <v>0.1</v>
      </c>
      <c r="G608" s="1109">
        <v>0.0</v>
      </c>
      <c r="H608" s="1118">
        <v>280500.0</v>
      </c>
      <c r="I608" s="1118">
        <f t="shared" si="1"/>
        <v>255000</v>
      </c>
      <c r="J608" s="1118">
        <f t="shared" si="2"/>
        <v>280500</v>
      </c>
      <c r="K608" s="1110"/>
    </row>
    <row r="609" ht="18.75" customHeight="1">
      <c r="A609" s="1110"/>
      <c r="B609" s="1108" t="s">
        <v>774</v>
      </c>
      <c r="C609" s="1108" t="s">
        <v>9858</v>
      </c>
      <c r="D609" s="1116" t="s">
        <v>731</v>
      </c>
      <c r="E609" s="1116" t="s">
        <v>9862</v>
      </c>
      <c r="F609" s="1109">
        <v>0.1</v>
      </c>
      <c r="G609" s="1109">
        <v>0.0</v>
      </c>
      <c r="H609" s="1118">
        <v>220000.0</v>
      </c>
      <c r="I609" s="1118">
        <f t="shared" si="1"/>
        <v>200000</v>
      </c>
      <c r="J609" s="1118">
        <f t="shared" si="2"/>
        <v>220000</v>
      </c>
      <c r="K609" s="1110"/>
    </row>
    <row r="610" ht="18.75" customHeight="1">
      <c r="A610" s="1110"/>
      <c r="B610" s="1108" t="s">
        <v>774</v>
      </c>
      <c r="C610" s="1108" t="s">
        <v>9858</v>
      </c>
      <c r="D610" s="1116" t="s">
        <v>735</v>
      </c>
      <c r="E610" s="1116" t="s">
        <v>9863</v>
      </c>
      <c r="F610" s="1109">
        <v>0.1</v>
      </c>
      <c r="G610" s="1109">
        <v>0.0</v>
      </c>
      <c r="H610" s="1118">
        <v>280500.0</v>
      </c>
      <c r="I610" s="1118">
        <f t="shared" si="1"/>
        <v>255000</v>
      </c>
      <c r="J610" s="1118">
        <f t="shared" si="2"/>
        <v>280500</v>
      </c>
      <c r="K610" s="1110"/>
    </row>
    <row r="611" ht="18.75" customHeight="1">
      <c r="A611" s="1110"/>
      <c r="B611" s="1108" t="s">
        <v>774</v>
      </c>
      <c r="C611" s="1108" t="s">
        <v>9858</v>
      </c>
      <c r="D611" s="1116" t="s">
        <v>737</v>
      </c>
      <c r="E611" s="1116" t="s">
        <v>9864</v>
      </c>
      <c r="F611" s="1109">
        <v>0.1</v>
      </c>
      <c r="G611" s="1109">
        <v>0.0</v>
      </c>
      <c r="H611" s="1118">
        <v>269500.0</v>
      </c>
      <c r="I611" s="1118">
        <f t="shared" si="1"/>
        <v>245000</v>
      </c>
      <c r="J611" s="1118">
        <f t="shared" si="2"/>
        <v>269500</v>
      </c>
      <c r="K611" s="1110"/>
    </row>
    <row r="612" ht="18.75" customHeight="1">
      <c r="A612" s="1110"/>
      <c r="B612" s="1108" t="s">
        <v>774</v>
      </c>
      <c r="C612" s="1108" t="s">
        <v>9858</v>
      </c>
      <c r="D612" s="1116" t="s">
        <v>741</v>
      </c>
      <c r="E612" s="1116" t="s">
        <v>9865</v>
      </c>
      <c r="F612" s="1109">
        <v>0.1</v>
      </c>
      <c r="G612" s="1109">
        <v>0.0</v>
      </c>
      <c r="H612" s="1118">
        <v>371800.00000000006</v>
      </c>
      <c r="I612" s="1118">
        <f t="shared" si="1"/>
        <v>338000</v>
      </c>
      <c r="J612" s="1118">
        <f t="shared" si="2"/>
        <v>371800</v>
      </c>
      <c r="K612" s="1110"/>
    </row>
    <row r="613" ht="18.75" customHeight="1">
      <c r="A613" s="1110"/>
      <c r="B613" s="1108" t="s">
        <v>774</v>
      </c>
      <c r="C613" s="1108" t="s">
        <v>9858</v>
      </c>
      <c r="D613" s="1116" t="s">
        <v>744</v>
      </c>
      <c r="E613" s="1116" t="s">
        <v>9866</v>
      </c>
      <c r="F613" s="1109">
        <v>0.1</v>
      </c>
      <c r="G613" s="1109">
        <v>0.0</v>
      </c>
      <c r="H613" s="1118">
        <v>371800.00000000006</v>
      </c>
      <c r="I613" s="1118">
        <f t="shared" si="1"/>
        <v>338000</v>
      </c>
      <c r="J613" s="1118">
        <f t="shared" si="2"/>
        <v>371800</v>
      </c>
      <c r="K613" s="1110"/>
    </row>
    <row r="614" ht="18.75" customHeight="1">
      <c r="A614" s="1110"/>
      <c r="B614" s="1108" t="s">
        <v>774</v>
      </c>
      <c r="C614" s="1108" t="s">
        <v>9858</v>
      </c>
      <c r="D614" s="1116" t="s">
        <v>747</v>
      </c>
      <c r="E614" s="1116" t="s">
        <v>9867</v>
      </c>
      <c r="F614" s="1109">
        <v>0.1</v>
      </c>
      <c r="G614" s="1109">
        <v>0.0</v>
      </c>
      <c r="H614" s="1118">
        <v>374000.0</v>
      </c>
      <c r="I614" s="1118">
        <f t="shared" si="1"/>
        <v>340000</v>
      </c>
      <c r="J614" s="1118">
        <f t="shared" si="2"/>
        <v>374000</v>
      </c>
      <c r="K614" s="1110"/>
    </row>
    <row r="615" ht="18.75" customHeight="1">
      <c r="A615" s="1110"/>
      <c r="B615" s="1108" t="s">
        <v>774</v>
      </c>
      <c r="C615" s="1108" t="s">
        <v>9858</v>
      </c>
      <c r="D615" s="1116" t="s">
        <v>749</v>
      </c>
      <c r="E615" s="1116" t="s">
        <v>9868</v>
      </c>
      <c r="F615" s="1109">
        <v>0.1</v>
      </c>
      <c r="G615" s="1109">
        <v>0.0</v>
      </c>
      <c r="H615" s="1118">
        <v>300300.0</v>
      </c>
      <c r="I615" s="1118">
        <f t="shared" si="1"/>
        <v>273000</v>
      </c>
      <c r="J615" s="1118">
        <f t="shared" si="2"/>
        <v>300300</v>
      </c>
      <c r="K615" s="1110"/>
    </row>
    <row r="616" ht="18.75" customHeight="1">
      <c r="A616" s="1110"/>
      <c r="B616" s="1108" t="s">
        <v>774</v>
      </c>
      <c r="C616" s="1108" t="s">
        <v>9858</v>
      </c>
      <c r="D616" s="1116" t="s">
        <v>752</v>
      </c>
      <c r="E616" s="1116" t="s">
        <v>9869</v>
      </c>
      <c r="F616" s="1109">
        <v>0.1</v>
      </c>
      <c r="G616" s="1109">
        <v>0.0</v>
      </c>
      <c r="H616" s="1118">
        <v>388300.0</v>
      </c>
      <c r="I616" s="1118">
        <f t="shared" si="1"/>
        <v>353000</v>
      </c>
      <c r="J616" s="1118">
        <f t="shared" si="2"/>
        <v>388300</v>
      </c>
      <c r="K616" s="1110"/>
    </row>
    <row r="617" ht="18.75" customHeight="1">
      <c r="A617" s="1110"/>
      <c r="B617" s="1108" t="s">
        <v>774</v>
      </c>
      <c r="C617" s="1108" t="s">
        <v>9858</v>
      </c>
      <c r="D617" s="1116" t="s">
        <v>754</v>
      </c>
      <c r="E617" s="1116" t="s">
        <v>9870</v>
      </c>
      <c r="F617" s="1109">
        <v>0.1</v>
      </c>
      <c r="G617" s="1109">
        <v>0.0</v>
      </c>
      <c r="H617" s="1118">
        <v>414700.00000000006</v>
      </c>
      <c r="I617" s="1118">
        <f t="shared" si="1"/>
        <v>377000</v>
      </c>
      <c r="J617" s="1118">
        <f t="shared" si="2"/>
        <v>414700</v>
      </c>
      <c r="K617" s="1110"/>
    </row>
    <row r="618" ht="18.75" customHeight="1">
      <c r="A618" s="1110"/>
      <c r="B618" s="1108" t="s">
        <v>774</v>
      </c>
      <c r="C618" s="1108" t="s">
        <v>9858</v>
      </c>
      <c r="D618" s="1116" t="s">
        <v>758</v>
      </c>
      <c r="E618" s="1116" t="s">
        <v>9871</v>
      </c>
      <c r="F618" s="1109">
        <v>0.1</v>
      </c>
      <c r="G618" s="1109">
        <v>0.0</v>
      </c>
      <c r="H618" s="1118">
        <v>618200.0</v>
      </c>
      <c r="I618" s="1118">
        <f t="shared" si="1"/>
        <v>562000</v>
      </c>
      <c r="J618" s="1118">
        <f t="shared" si="2"/>
        <v>618200</v>
      </c>
      <c r="K618" s="1110"/>
    </row>
    <row r="619" ht="18.75" customHeight="1">
      <c r="A619" s="1110"/>
      <c r="B619" s="1108" t="s">
        <v>774</v>
      </c>
      <c r="C619" s="1108" t="s">
        <v>9858</v>
      </c>
      <c r="D619" s="1116" t="s">
        <v>760</v>
      </c>
      <c r="E619" s="1116" t="s">
        <v>9872</v>
      </c>
      <c r="F619" s="1109">
        <v>0.1</v>
      </c>
      <c r="G619" s="1109">
        <v>0.0</v>
      </c>
      <c r="H619" s="1118">
        <v>665500.0</v>
      </c>
      <c r="I619" s="1118">
        <f t="shared" si="1"/>
        <v>605000</v>
      </c>
      <c r="J619" s="1118">
        <f t="shared" si="2"/>
        <v>665500</v>
      </c>
      <c r="K619" s="1110"/>
    </row>
    <row r="620" ht="18.75" customHeight="1">
      <c r="A620" s="1110"/>
      <c r="B620" s="1108" t="s">
        <v>774</v>
      </c>
      <c r="C620" s="1108" t="s">
        <v>9858</v>
      </c>
      <c r="D620" s="1116" t="s">
        <v>765</v>
      </c>
      <c r="E620" s="1116" t="s">
        <v>9873</v>
      </c>
      <c r="F620" s="1109">
        <v>0.1</v>
      </c>
      <c r="G620" s="1109">
        <v>0.0</v>
      </c>
      <c r="H620" s="1118">
        <v>828300.0</v>
      </c>
      <c r="I620" s="1118">
        <f t="shared" si="1"/>
        <v>753000</v>
      </c>
      <c r="J620" s="1118">
        <f t="shared" si="2"/>
        <v>828300</v>
      </c>
      <c r="K620" s="1110"/>
    </row>
    <row r="621" ht="18.75" customHeight="1">
      <c r="A621" s="1110"/>
      <c r="B621" s="1108" t="s">
        <v>774</v>
      </c>
      <c r="C621" s="1108" t="s">
        <v>9858</v>
      </c>
      <c r="D621" s="1116" t="s">
        <v>9874</v>
      </c>
      <c r="E621" s="1116" t="s">
        <v>9875</v>
      </c>
      <c r="F621" s="1109">
        <v>0.1</v>
      </c>
      <c r="G621" s="1109">
        <v>0.0</v>
      </c>
      <c r="H621" s="1118">
        <v>55000.0</v>
      </c>
      <c r="I621" s="1118">
        <f t="shared" si="1"/>
        <v>50000</v>
      </c>
      <c r="J621" s="1118">
        <f t="shared" si="2"/>
        <v>55000</v>
      </c>
      <c r="K621" s="1110"/>
    </row>
    <row r="622" ht="18.75" customHeight="1">
      <c r="A622" s="1110"/>
      <c r="B622" s="1108" t="s">
        <v>774</v>
      </c>
      <c r="C622" s="1108" t="s">
        <v>9858</v>
      </c>
      <c r="D622" s="1116" t="s">
        <v>9876</v>
      </c>
      <c r="E622" s="1116" t="s">
        <v>9877</v>
      </c>
      <c r="F622" s="1109">
        <v>0.1</v>
      </c>
      <c r="G622" s="1109">
        <v>0.0</v>
      </c>
      <c r="H622" s="1118">
        <v>82500.0</v>
      </c>
      <c r="I622" s="1118">
        <f t="shared" si="1"/>
        <v>75000</v>
      </c>
      <c r="J622" s="1118">
        <f t="shared" si="2"/>
        <v>82500</v>
      </c>
      <c r="K622" s="1110"/>
    </row>
    <row r="623" ht="18.75" customHeight="1">
      <c r="A623" s="1110"/>
      <c r="B623" s="1108" t="s">
        <v>774</v>
      </c>
      <c r="C623" s="1108" t="s">
        <v>9858</v>
      </c>
      <c r="D623" s="1116" t="s">
        <v>9878</v>
      </c>
      <c r="E623" s="1116" t="s">
        <v>9879</v>
      </c>
      <c r="F623" s="1109">
        <v>0.1</v>
      </c>
      <c r="G623" s="1109">
        <v>0.0</v>
      </c>
      <c r="H623" s="1118">
        <v>357500.0</v>
      </c>
      <c r="I623" s="1118">
        <f t="shared" si="1"/>
        <v>325000</v>
      </c>
      <c r="J623" s="1118">
        <f t="shared" si="2"/>
        <v>357500</v>
      </c>
      <c r="K623" s="1110"/>
    </row>
    <row r="624" ht="18.75" customHeight="1">
      <c r="A624" s="1110"/>
      <c r="B624" s="1108" t="s">
        <v>774</v>
      </c>
      <c r="C624" s="1108" t="s">
        <v>9858</v>
      </c>
      <c r="D624" s="1116" t="s">
        <v>9880</v>
      </c>
      <c r="E624" s="1116" t="s">
        <v>9881</v>
      </c>
      <c r="F624" s="1109">
        <v>0.1</v>
      </c>
      <c r="G624" s="1109">
        <v>0.0</v>
      </c>
      <c r="H624" s="1118">
        <v>165000.0</v>
      </c>
      <c r="I624" s="1118">
        <f t="shared" si="1"/>
        <v>150000</v>
      </c>
      <c r="J624" s="1118">
        <f t="shared" si="2"/>
        <v>165000</v>
      </c>
      <c r="K624" s="1110"/>
    </row>
    <row r="625" ht="18.75" customHeight="1">
      <c r="A625" s="1110"/>
      <c r="B625" s="1108" t="s">
        <v>774</v>
      </c>
      <c r="C625" s="1108" t="s">
        <v>9858</v>
      </c>
      <c r="D625" s="1116" t="s">
        <v>9882</v>
      </c>
      <c r="E625" s="1116" t="s">
        <v>9883</v>
      </c>
      <c r="F625" s="1109">
        <v>0.1</v>
      </c>
      <c r="G625" s="1109">
        <v>0.0</v>
      </c>
      <c r="H625" s="1118">
        <v>82500.0</v>
      </c>
      <c r="I625" s="1118">
        <f t="shared" si="1"/>
        <v>75000</v>
      </c>
      <c r="J625" s="1118">
        <f t="shared" si="2"/>
        <v>82500</v>
      </c>
      <c r="K625" s="1110"/>
    </row>
    <row r="626" ht="18.75" customHeight="1">
      <c r="A626" s="1110"/>
      <c r="B626" s="1108" t="s">
        <v>774</v>
      </c>
      <c r="C626" s="1108" t="s">
        <v>9858</v>
      </c>
      <c r="D626" s="1116" t="s">
        <v>9884</v>
      </c>
      <c r="E626" s="1116" t="s">
        <v>9885</v>
      </c>
      <c r="F626" s="1109">
        <v>0.1</v>
      </c>
      <c r="G626" s="1109">
        <v>0.0</v>
      </c>
      <c r="H626" s="1118">
        <v>165000.0</v>
      </c>
      <c r="I626" s="1118">
        <f t="shared" si="1"/>
        <v>150000</v>
      </c>
      <c r="J626" s="1118">
        <f t="shared" si="2"/>
        <v>165000</v>
      </c>
      <c r="K626" s="1110"/>
    </row>
    <row r="627" ht="18.75" customHeight="1">
      <c r="A627" s="1110"/>
      <c r="B627" s="1108" t="s">
        <v>9886</v>
      </c>
      <c r="C627" s="1108" t="s">
        <v>9887</v>
      </c>
      <c r="D627" s="1116" t="s">
        <v>9888</v>
      </c>
      <c r="E627" s="1116" t="s">
        <v>9889</v>
      </c>
      <c r="F627" s="1109">
        <v>0.1</v>
      </c>
      <c r="G627" s="1109">
        <v>0.0</v>
      </c>
      <c r="H627" s="1118">
        <v>930600.0</v>
      </c>
      <c r="I627" s="1118">
        <f t="shared" si="1"/>
        <v>846000</v>
      </c>
      <c r="J627" s="1118">
        <f t="shared" si="2"/>
        <v>930600</v>
      </c>
      <c r="K627" s="1110"/>
    </row>
    <row r="628" ht="18.75" customHeight="1">
      <c r="A628" s="1110"/>
      <c r="B628" s="1108" t="s">
        <v>9886</v>
      </c>
      <c r="C628" s="1108" t="s">
        <v>9887</v>
      </c>
      <c r="D628" s="1116" t="s">
        <v>9890</v>
      </c>
      <c r="E628" s="1116" t="s">
        <v>9891</v>
      </c>
      <c r="F628" s="1109">
        <v>0.1</v>
      </c>
      <c r="G628" s="1109">
        <v>0.0</v>
      </c>
      <c r="H628" s="1118">
        <v>862400.0</v>
      </c>
      <c r="I628" s="1118">
        <f t="shared" si="1"/>
        <v>784000</v>
      </c>
      <c r="J628" s="1118">
        <f t="shared" si="2"/>
        <v>862400</v>
      </c>
      <c r="K628" s="1110"/>
    </row>
    <row r="629" ht="18.75" customHeight="1">
      <c r="A629" s="1110"/>
      <c r="B629" s="1108" t="s">
        <v>9886</v>
      </c>
      <c r="C629" s="1108" t="s">
        <v>9887</v>
      </c>
      <c r="D629" s="1116" t="s">
        <v>9892</v>
      </c>
      <c r="E629" s="1116" t="s">
        <v>9893</v>
      </c>
      <c r="F629" s="1109">
        <v>0.1</v>
      </c>
      <c r="G629" s="1109">
        <v>0.0</v>
      </c>
      <c r="H629" s="1118">
        <v>297000.0</v>
      </c>
      <c r="I629" s="1118">
        <f t="shared" si="1"/>
        <v>270000</v>
      </c>
      <c r="J629" s="1118">
        <f t="shared" si="2"/>
        <v>297000</v>
      </c>
      <c r="K629" s="1110"/>
    </row>
    <row r="630" ht="18.75" customHeight="1">
      <c r="A630" s="1110"/>
      <c r="B630" s="1108" t="s">
        <v>9886</v>
      </c>
      <c r="C630" s="1108" t="s">
        <v>9887</v>
      </c>
      <c r="D630" s="1116" t="s">
        <v>9894</v>
      </c>
      <c r="E630" s="1116" t="s">
        <v>9895</v>
      </c>
      <c r="F630" s="1109">
        <v>0.1</v>
      </c>
      <c r="G630" s="1109">
        <v>0.0</v>
      </c>
      <c r="H630" s="1118">
        <v>286000.0</v>
      </c>
      <c r="I630" s="1118">
        <f t="shared" si="1"/>
        <v>260000</v>
      </c>
      <c r="J630" s="1118">
        <f t="shared" si="2"/>
        <v>286000</v>
      </c>
      <c r="K630" s="1110"/>
    </row>
    <row r="631" ht="18.75" customHeight="1">
      <c r="A631" s="1110"/>
      <c r="B631" s="1108" t="s">
        <v>9886</v>
      </c>
      <c r="C631" s="1108" t="s">
        <v>9887</v>
      </c>
      <c r="D631" s="1116" t="s">
        <v>9896</v>
      </c>
      <c r="E631" s="1116" t="s">
        <v>9897</v>
      </c>
      <c r="F631" s="1109">
        <v>0.1</v>
      </c>
      <c r="G631" s="1109">
        <v>0.0</v>
      </c>
      <c r="H631" s="1118"/>
      <c r="I631" s="1118" t="str">
        <f t="shared" si="1"/>
        <v/>
      </c>
      <c r="J631" s="1118" t="str">
        <f t="shared" si="2"/>
        <v/>
      </c>
      <c r="K631" s="1110"/>
    </row>
    <row r="632" ht="18.75" customHeight="1">
      <c r="A632" s="1110"/>
      <c r="B632" s="1108" t="s">
        <v>9886</v>
      </c>
      <c r="C632" s="1108" t="s">
        <v>9887</v>
      </c>
      <c r="D632" s="1116" t="s">
        <v>9898</v>
      </c>
      <c r="E632" s="1116" t="s">
        <v>9899</v>
      </c>
      <c r="F632" s="1109">
        <v>0.1</v>
      </c>
      <c r="G632" s="1109">
        <v>0.0</v>
      </c>
      <c r="H632" s="1118">
        <v>266200.0</v>
      </c>
      <c r="I632" s="1118">
        <f t="shared" si="1"/>
        <v>242000</v>
      </c>
      <c r="J632" s="1118">
        <f t="shared" si="2"/>
        <v>266200</v>
      </c>
      <c r="K632" s="1110"/>
    </row>
    <row r="633" ht="18.75" customHeight="1">
      <c r="A633" s="1110"/>
      <c r="B633" s="1108" t="s">
        <v>9886</v>
      </c>
      <c r="C633" s="1108" t="s">
        <v>9887</v>
      </c>
      <c r="D633" s="1116" t="s">
        <v>9900</v>
      </c>
      <c r="E633" s="1116" t="s">
        <v>9901</v>
      </c>
      <c r="F633" s="1109">
        <v>0.1</v>
      </c>
      <c r="G633" s="1109">
        <v>0.0</v>
      </c>
      <c r="H633" s="1118"/>
      <c r="I633" s="1118" t="str">
        <f t="shared" si="1"/>
        <v/>
      </c>
      <c r="J633" s="1118" t="str">
        <f t="shared" si="2"/>
        <v/>
      </c>
      <c r="K633" s="1110"/>
    </row>
    <row r="634" ht="18.75" customHeight="1">
      <c r="A634" s="1110"/>
      <c r="B634" s="1108" t="s">
        <v>9886</v>
      </c>
      <c r="C634" s="1108" t="s">
        <v>9887</v>
      </c>
      <c r="D634" s="1116" t="s">
        <v>9902</v>
      </c>
      <c r="E634" s="1116" t="s">
        <v>9903</v>
      </c>
      <c r="F634" s="1109">
        <v>0.1</v>
      </c>
      <c r="G634" s="1109">
        <v>0.0</v>
      </c>
      <c r="H634" s="1118">
        <v>660000.0</v>
      </c>
      <c r="I634" s="1118">
        <f t="shared" si="1"/>
        <v>600000</v>
      </c>
      <c r="J634" s="1118">
        <f t="shared" si="2"/>
        <v>660000</v>
      </c>
      <c r="K634" s="1110"/>
    </row>
    <row r="635" ht="18.75" customHeight="1">
      <c r="A635" s="1110"/>
      <c r="B635" s="1108" t="s">
        <v>9886</v>
      </c>
      <c r="C635" s="1108" t="s">
        <v>9887</v>
      </c>
      <c r="D635" s="1116" t="s">
        <v>949</v>
      </c>
      <c r="E635" s="1116" t="s">
        <v>950</v>
      </c>
      <c r="F635" s="1109">
        <v>0.1</v>
      </c>
      <c r="G635" s="1109">
        <v>0.0</v>
      </c>
      <c r="H635" s="1118">
        <v>83400.0</v>
      </c>
      <c r="I635" s="1118">
        <f t="shared" si="1"/>
        <v>75820</v>
      </c>
      <c r="J635" s="1118">
        <f t="shared" si="2"/>
        <v>83400</v>
      </c>
      <c r="K635" s="1110"/>
    </row>
    <row r="636" ht="18.75" customHeight="1">
      <c r="A636" s="1110"/>
      <c r="B636" s="1108" t="s">
        <v>9886</v>
      </c>
      <c r="C636" s="1108" t="s">
        <v>9887</v>
      </c>
      <c r="D636" s="1116" t="s">
        <v>9904</v>
      </c>
      <c r="E636" s="1116" t="s">
        <v>9905</v>
      </c>
      <c r="F636" s="1109">
        <v>0.1</v>
      </c>
      <c r="G636" s="1109">
        <v>0.0</v>
      </c>
      <c r="H636" s="1118">
        <v>8800.0</v>
      </c>
      <c r="I636" s="1118">
        <f t="shared" si="1"/>
        <v>8000</v>
      </c>
      <c r="J636" s="1118">
        <f t="shared" si="2"/>
        <v>8800</v>
      </c>
      <c r="K636" s="1110"/>
    </row>
    <row r="637" ht="18.75" customHeight="1">
      <c r="A637" s="1110"/>
      <c r="B637" s="1108" t="s">
        <v>9886</v>
      </c>
      <c r="C637" s="1108" t="s">
        <v>9887</v>
      </c>
      <c r="D637" s="1116" t="s">
        <v>9906</v>
      </c>
      <c r="E637" s="1116" t="s">
        <v>9907</v>
      </c>
      <c r="F637" s="1109">
        <v>0.1</v>
      </c>
      <c r="G637" s="1109">
        <v>0.0</v>
      </c>
      <c r="H637" s="1118">
        <v>8800.0</v>
      </c>
      <c r="I637" s="1118">
        <f t="shared" si="1"/>
        <v>8000</v>
      </c>
      <c r="J637" s="1118">
        <f t="shared" si="2"/>
        <v>8800</v>
      </c>
      <c r="K637" s="1110"/>
    </row>
    <row r="638" ht="18.75" customHeight="1">
      <c r="A638" s="1110"/>
      <c r="B638" s="1108" t="s">
        <v>9886</v>
      </c>
      <c r="C638" s="1108" t="s">
        <v>9887</v>
      </c>
      <c r="D638" s="1116" t="s">
        <v>9908</v>
      </c>
      <c r="E638" s="1116" t="s">
        <v>9909</v>
      </c>
      <c r="F638" s="1109">
        <v>0.1</v>
      </c>
      <c r="G638" s="1109">
        <v>0.0</v>
      </c>
      <c r="H638" s="1118">
        <v>8800.0</v>
      </c>
      <c r="I638" s="1118">
        <f t="shared" si="1"/>
        <v>8000</v>
      </c>
      <c r="J638" s="1118">
        <f t="shared" si="2"/>
        <v>8800</v>
      </c>
      <c r="K638" s="1110"/>
    </row>
    <row r="639" ht="18.75" customHeight="1">
      <c r="A639" s="1110"/>
      <c r="B639" s="1108" t="s">
        <v>9886</v>
      </c>
      <c r="C639" s="1108" t="s">
        <v>9887</v>
      </c>
      <c r="D639" s="1116" t="s">
        <v>9910</v>
      </c>
      <c r="E639" s="1116" t="s">
        <v>9911</v>
      </c>
      <c r="F639" s="1109">
        <v>0.1</v>
      </c>
      <c r="G639" s="1109">
        <v>0.0</v>
      </c>
      <c r="H639" s="1118">
        <v>14380.0</v>
      </c>
      <c r="I639" s="1118">
        <f t="shared" si="1"/>
        <v>13070</v>
      </c>
      <c r="J639" s="1118">
        <f t="shared" si="2"/>
        <v>14380</v>
      </c>
      <c r="K639" s="1110"/>
    </row>
    <row r="640" ht="18.75" customHeight="1">
      <c r="A640" s="1110"/>
      <c r="B640" s="1108" t="s">
        <v>9886</v>
      </c>
      <c r="C640" s="1108" t="s">
        <v>9887</v>
      </c>
      <c r="D640" s="1116" t="s">
        <v>9912</v>
      </c>
      <c r="E640" s="1116" t="s">
        <v>9913</v>
      </c>
      <c r="F640" s="1109">
        <v>0.1</v>
      </c>
      <c r="G640" s="1109">
        <v>0.0</v>
      </c>
      <c r="H640" s="1118">
        <v>11940.0</v>
      </c>
      <c r="I640" s="1118">
        <f t="shared" si="1"/>
        <v>10850</v>
      </c>
      <c r="J640" s="1118">
        <f t="shared" si="2"/>
        <v>11940</v>
      </c>
      <c r="K640" s="1110"/>
    </row>
    <row r="641" ht="18.75" customHeight="1">
      <c r="A641" s="1110"/>
      <c r="B641" s="1108" t="s">
        <v>9886</v>
      </c>
      <c r="C641" s="1108" t="s">
        <v>9887</v>
      </c>
      <c r="D641" s="1116" t="s">
        <v>9914</v>
      </c>
      <c r="E641" s="1116" t="s">
        <v>9915</v>
      </c>
      <c r="F641" s="1109">
        <v>0.1</v>
      </c>
      <c r="G641" s="1109">
        <v>0.0</v>
      </c>
      <c r="H641" s="1118">
        <v>18280.0</v>
      </c>
      <c r="I641" s="1118">
        <f t="shared" si="1"/>
        <v>16620</v>
      </c>
      <c r="J641" s="1118">
        <f t="shared" si="2"/>
        <v>18280</v>
      </c>
      <c r="K641" s="1110"/>
    </row>
    <row r="642" ht="18.75" customHeight="1">
      <c r="A642" s="1110"/>
      <c r="B642" s="1108" t="s">
        <v>9886</v>
      </c>
      <c r="C642" s="1108" t="s">
        <v>9887</v>
      </c>
      <c r="D642" s="1116" t="s">
        <v>9916</v>
      </c>
      <c r="E642" s="1116" t="s">
        <v>9917</v>
      </c>
      <c r="F642" s="1109">
        <v>0.1</v>
      </c>
      <c r="G642" s="1109">
        <v>0.0</v>
      </c>
      <c r="H642" s="1118"/>
      <c r="I642" s="1118" t="str">
        <f t="shared" si="1"/>
        <v/>
      </c>
      <c r="J642" s="1118" t="str">
        <f t="shared" si="2"/>
        <v/>
      </c>
      <c r="K642" s="1110"/>
    </row>
    <row r="643" ht="18.75" customHeight="1">
      <c r="A643" s="1110"/>
      <c r="B643" s="1108" t="s">
        <v>9886</v>
      </c>
      <c r="C643" s="1108" t="s">
        <v>9887</v>
      </c>
      <c r="D643" s="1116" t="s">
        <v>847</v>
      </c>
      <c r="E643" s="1116" t="s">
        <v>848</v>
      </c>
      <c r="F643" s="1109">
        <v>0.1</v>
      </c>
      <c r="G643" s="1109">
        <v>0.0</v>
      </c>
      <c r="H643" s="1118">
        <v>231600.0</v>
      </c>
      <c r="I643" s="1118">
        <f t="shared" si="1"/>
        <v>210550</v>
      </c>
      <c r="J643" s="1118">
        <f t="shared" si="2"/>
        <v>231600</v>
      </c>
      <c r="K643" s="1110"/>
    </row>
    <row r="644" ht="18.75" customHeight="1">
      <c r="A644" s="1110"/>
      <c r="B644" s="1108" t="s">
        <v>9886</v>
      </c>
      <c r="C644" s="1108" t="s">
        <v>9887</v>
      </c>
      <c r="D644" s="1116" t="s">
        <v>890</v>
      </c>
      <c r="E644" s="1116" t="s">
        <v>891</v>
      </c>
      <c r="F644" s="1109">
        <v>0.1</v>
      </c>
      <c r="G644" s="1109">
        <v>0.0</v>
      </c>
      <c r="H644" s="1118">
        <v>82200.0</v>
      </c>
      <c r="I644" s="1118">
        <f t="shared" si="1"/>
        <v>74730</v>
      </c>
      <c r="J644" s="1118">
        <f t="shared" si="2"/>
        <v>82200</v>
      </c>
      <c r="K644" s="1110"/>
    </row>
    <row r="645" ht="18.75" customHeight="1">
      <c r="A645" s="1110"/>
      <c r="B645" s="1108" t="s">
        <v>9918</v>
      </c>
      <c r="C645" s="1108" t="s">
        <v>9919</v>
      </c>
      <c r="D645" s="1116" t="s">
        <v>9920</v>
      </c>
      <c r="E645" s="1116" t="s">
        <v>9921</v>
      </c>
      <c r="F645" s="1109">
        <v>0.1</v>
      </c>
      <c r="G645" s="1109">
        <v>0.0</v>
      </c>
      <c r="H645" s="1118">
        <v>24200.0</v>
      </c>
      <c r="I645" s="1118">
        <f t="shared" si="1"/>
        <v>22000</v>
      </c>
      <c r="J645" s="1118">
        <f t="shared" si="2"/>
        <v>24200</v>
      </c>
      <c r="K645" s="1110"/>
    </row>
    <row r="646" ht="18.75" customHeight="1">
      <c r="A646" s="1110"/>
      <c r="B646" s="1108" t="s">
        <v>9918</v>
      </c>
      <c r="C646" s="1108" t="s">
        <v>9919</v>
      </c>
      <c r="D646" s="1116" t="s">
        <v>504</v>
      </c>
      <c r="E646" s="1116" t="s">
        <v>9922</v>
      </c>
      <c r="F646" s="1109">
        <v>0.1</v>
      </c>
      <c r="G646" s="1109">
        <v>0.0</v>
      </c>
      <c r="H646" s="1118">
        <v>638000.0</v>
      </c>
      <c r="I646" s="1118">
        <f t="shared" si="1"/>
        <v>580000</v>
      </c>
      <c r="J646" s="1118">
        <f t="shared" si="2"/>
        <v>638000</v>
      </c>
      <c r="K646" s="1110"/>
    </row>
    <row r="647" ht="18.75" customHeight="1">
      <c r="A647" s="1110"/>
      <c r="B647" s="1108" t="s">
        <v>9918</v>
      </c>
      <c r="C647" s="1108" t="s">
        <v>9919</v>
      </c>
      <c r="D647" s="1116" t="s">
        <v>9923</v>
      </c>
      <c r="E647" s="1116" t="s">
        <v>9924</v>
      </c>
      <c r="F647" s="1109">
        <v>0.1</v>
      </c>
      <c r="G647" s="1109">
        <v>0.0</v>
      </c>
      <c r="H647" s="1118">
        <v>49500.0</v>
      </c>
      <c r="I647" s="1118">
        <f t="shared" si="1"/>
        <v>45000</v>
      </c>
      <c r="J647" s="1118">
        <f t="shared" si="2"/>
        <v>49500</v>
      </c>
      <c r="K647" s="1110"/>
    </row>
    <row r="648" ht="18.75" customHeight="1">
      <c r="A648" s="1110"/>
      <c r="B648" s="1108" t="s">
        <v>9918</v>
      </c>
      <c r="C648" s="1108" t="s">
        <v>9919</v>
      </c>
      <c r="D648" s="1116" t="s">
        <v>9925</v>
      </c>
      <c r="E648" s="1116" t="s">
        <v>9926</v>
      </c>
      <c r="F648" s="1109">
        <v>0.1</v>
      </c>
      <c r="G648" s="1109">
        <v>0.0</v>
      </c>
      <c r="H648" s="1118">
        <v>44000.0</v>
      </c>
      <c r="I648" s="1118">
        <f t="shared" si="1"/>
        <v>40000</v>
      </c>
      <c r="J648" s="1118">
        <f t="shared" si="2"/>
        <v>44000</v>
      </c>
      <c r="K648" s="1110"/>
    </row>
    <row r="649" ht="18.75" customHeight="1">
      <c r="A649" s="1110"/>
      <c r="B649" s="1108" t="s">
        <v>9918</v>
      </c>
      <c r="C649" s="1108" t="s">
        <v>9919</v>
      </c>
      <c r="D649" s="1116" t="s">
        <v>493</v>
      </c>
      <c r="E649" s="1116" t="s">
        <v>9927</v>
      </c>
      <c r="F649" s="1109">
        <v>0.1</v>
      </c>
      <c r="G649" s="1109">
        <v>0.0</v>
      </c>
      <c r="H649" s="1118">
        <v>580030.0</v>
      </c>
      <c r="I649" s="1118">
        <f t="shared" si="1"/>
        <v>527300</v>
      </c>
      <c r="J649" s="1118">
        <f t="shared" si="2"/>
        <v>580030</v>
      </c>
      <c r="K649" s="1110"/>
    </row>
    <row r="650" ht="18.75" customHeight="1">
      <c r="A650" s="1110"/>
      <c r="B650" s="1108" t="s">
        <v>9918</v>
      </c>
      <c r="C650" s="1108" t="s">
        <v>9919</v>
      </c>
      <c r="D650" s="1116" t="s">
        <v>9928</v>
      </c>
      <c r="E650" s="1116" t="s">
        <v>9929</v>
      </c>
      <c r="F650" s="1109">
        <v>0.1</v>
      </c>
      <c r="G650" s="1109">
        <v>0.0</v>
      </c>
      <c r="H650" s="1118">
        <v>10010.0</v>
      </c>
      <c r="I650" s="1118">
        <f t="shared" si="1"/>
        <v>9100</v>
      </c>
      <c r="J650" s="1118">
        <f t="shared" si="2"/>
        <v>10010</v>
      </c>
      <c r="K650" s="1110"/>
    </row>
    <row r="651" ht="18.75" customHeight="1">
      <c r="A651" s="1110"/>
      <c r="B651" s="1108" t="s">
        <v>9918</v>
      </c>
      <c r="C651" s="1108" t="s">
        <v>9919</v>
      </c>
      <c r="D651" s="1116" t="s">
        <v>496</v>
      </c>
      <c r="E651" s="1116" t="s">
        <v>9930</v>
      </c>
      <c r="F651" s="1109">
        <v>0.1</v>
      </c>
      <c r="G651" s="1109">
        <v>0.0</v>
      </c>
      <c r="H651" s="1118">
        <v>1460030.0</v>
      </c>
      <c r="I651" s="1118">
        <f t="shared" si="1"/>
        <v>1327300</v>
      </c>
      <c r="J651" s="1118">
        <f t="shared" si="2"/>
        <v>1460030</v>
      </c>
      <c r="K651" s="1110"/>
    </row>
    <row r="652" ht="18.75" customHeight="1">
      <c r="A652" s="1110"/>
      <c r="B652" s="1108" t="s">
        <v>9918</v>
      </c>
      <c r="C652" s="1108" t="s">
        <v>9919</v>
      </c>
      <c r="D652" s="1116" t="s">
        <v>9931</v>
      </c>
      <c r="E652" s="1116" t="s">
        <v>9932</v>
      </c>
      <c r="F652" s="1109">
        <v>0.1</v>
      </c>
      <c r="G652" s="1109">
        <v>0.0</v>
      </c>
      <c r="H652" s="1118">
        <v>1980000.0</v>
      </c>
      <c r="I652" s="1118">
        <f t="shared" si="1"/>
        <v>1800000</v>
      </c>
      <c r="J652" s="1118">
        <f t="shared" si="2"/>
        <v>1980000</v>
      </c>
      <c r="K652" s="1110"/>
    </row>
    <row r="653" ht="18.75" customHeight="1">
      <c r="A653" s="1110"/>
      <c r="B653" s="1108" t="s">
        <v>9918</v>
      </c>
      <c r="C653" s="1108" t="s">
        <v>9919</v>
      </c>
      <c r="D653" s="1116" t="s">
        <v>498</v>
      </c>
      <c r="E653" s="1116" t="s">
        <v>9933</v>
      </c>
      <c r="F653" s="1109">
        <v>0.1</v>
      </c>
      <c r="G653" s="1109">
        <v>0.0</v>
      </c>
      <c r="H653" s="1118">
        <v>2409990.0</v>
      </c>
      <c r="I653" s="1118">
        <f t="shared" si="1"/>
        <v>2190900</v>
      </c>
      <c r="J653" s="1118">
        <f t="shared" si="2"/>
        <v>2409990</v>
      </c>
      <c r="K653" s="1110"/>
    </row>
    <row r="654" ht="18.75" customHeight="1">
      <c r="A654" s="1110"/>
      <c r="B654" s="1108" t="s">
        <v>9918</v>
      </c>
      <c r="C654" s="1108" t="s">
        <v>9919</v>
      </c>
      <c r="D654" s="1116" t="s">
        <v>9934</v>
      </c>
      <c r="E654" s="1116" t="s">
        <v>9935</v>
      </c>
      <c r="F654" s="1109">
        <v>0.1</v>
      </c>
      <c r="G654" s="1109">
        <v>0.0</v>
      </c>
      <c r="H654" s="1118">
        <v>3300000.0</v>
      </c>
      <c r="I654" s="1118">
        <f t="shared" si="1"/>
        <v>3000000</v>
      </c>
      <c r="J654" s="1118">
        <f t="shared" si="2"/>
        <v>3300000</v>
      </c>
      <c r="K654" s="1110"/>
    </row>
    <row r="655" ht="18.75" customHeight="1">
      <c r="A655" s="1110"/>
      <c r="B655" s="1108" t="s">
        <v>9918</v>
      </c>
      <c r="C655" s="1108" t="s">
        <v>9919</v>
      </c>
      <c r="D655" s="1116" t="s">
        <v>500</v>
      </c>
      <c r="E655" s="1116" t="s">
        <v>9936</v>
      </c>
      <c r="F655" s="1109">
        <v>0.1</v>
      </c>
      <c r="G655" s="1109">
        <v>0.0</v>
      </c>
      <c r="H655" s="1118">
        <v>5650040.0</v>
      </c>
      <c r="I655" s="1118">
        <f t="shared" si="1"/>
        <v>5136400</v>
      </c>
      <c r="J655" s="1118">
        <f t="shared" si="2"/>
        <v>5650040</v>
      </c>
      <c r="K655" s="1110"/>
    </row>
    <row r="656" ht="18.75" customHeight="1">
      <c r="A656" s="1110"/>
      <c r="B656" s="1108" t="s">
        <v>9918</v>
      </c>
      <c r="C656" s="1108" t="s">
        <v>9919</v>
      </c>
      <c r="D656" s="1116" t="s">
        <v>9937</v>
      </c>
      <c r="E656" s="1116" t="s">
        <v>9938</v>
      </c>
      <c r="F656" s="1109">
        <v>0.1</v>
      </c>
      <c r="G656" s="1109">
        <v>0.0</v>
      </c>
      <c r="H656" s="1118">
        <v>6050000.0</v>
      </c>
      <c r="I656" s="1118">
        <f t="shared" si="1"/>
        <v>5500000</v>
      </c>
      <c r="J656" s="1118">
        <f t="shared" si="2"/>
        <v>6050000</v>
      </c>
      <c r="K656" s="1110"/>
    </row>
    <row r="657" ht="18.75" customHeight="1">
      <c r="A657" s="1110"/>
      <c r="B657" s="1108" t="s">
        <v>9918</v>
      </c>
      <c r="C657" s="1108" t="s">
        <v>9919</v>
      </c>
      <c r="D657" s="1116" t="s">
        <v>502</v>
      </c>
      <c r="E657" s="1116" t="s">
        <v>9939</v>
      </c>
      <c r="F657" s="1109">
        <v>0.1</v>
      </c>
      <c r="G657" s="1109">
        <v>0.0</v>
      </c>
      <c r="H657" s="1118">
        <v>5450010.0</v>
      </c>
      <c r="I657" s="1118">
        <f t="shared" si="1"/>
        <v>4954550</v>
      </c>
      <c r="J657" s="1118">
        <f t="shared" si="2"/>
        <v>5450010</v>
      </c>
      <c r="K657" s="1110"/>
    </row>
    <row r="658" ht="18.75" customHeight="1">
      <c r="A658" s="1110"/>
      <c r="B658" s="1108" t="s">
        <v>9918</v>
      </c>
      <c r="C658" s="1108" t="s">
        <v>9919</v>
      </c>
      <c r="D658" s="1116" t="s">
        <v>9940</v>
      </c>
      <c r="E658" s="1116" t="s">
        <v>9941</v>
      </c>
      <c r="F658" s="1109">
        <v>0.1</v>
      </c>
      <c r="G658" s="1109">
        <v>0.0</v>
      </c>
      <c r="H658" s="1118">
        <v>297000.0</v>
      </c>
      <c r="I658" s="1118">
        <f t="shared" si="1"/>
        <v>270000</v>
      </c>
      <c r="J658" s="1118">
        <f t="shared" si="2"/>
        <v>297000</v>
      </c>
      <c r="K658" s="1110"/>
    </row>
    <row r="659" ht="18.75" customHeight="1">
      <c r="A659" s="1110"/>
      <c r="B659" s="1108" t="s">
        <v>9918</v>
      </c>
      <c r="C659" s="1108" t="s">
        <v>9919</v>
      </c>
      <c r="D659" s="1116" t="s">
        <v>9942</v>
      </c>
      <c r="E659" s="1116" t="s">
        <v>9943</v>
      </c>
      <c r="F659" s="1109">
        <v>0.1</v>
      </c>
      <c r="G659" s="1109">
        <v>0.0</v>
      </c>
      <c r="H659" s="1118">
        <v>300000.0</v>
      </c>
      <c r="I659" s="1118">
        <f t="shared" si="1"/>
        <v>272730</v>
      </c>
      <c r="J659" s="1118">
        <f t="shared" si="2"/>
        <v>300000</v>
      </c>
      <c r="K659" s="1110"/>
    </row>
    <row r="660" ht="18.75" customHeight="1">
      <c r="A660" s="1110"/>
      <c r="B660" s="1108" t="s">
        <v>530</v>
      </c>
      <c r="C660" s="1108" t="s">
        <v>9944</v>
      </c>
      <c r="D660" s="1116" t="s">
        <v>529</v>
      </c>
      <c r="E660" s="1116" t="s">
        <v>530</v>
      </c>
      <c r="F660" s="1109">
        <v>0.1</v>
      </c>
      <c r="G660" s="1109">
        <v>0.05</v>
      </c>
      <c r="H660" s="1118">
        <v>20020.0</v>
      </c>
      <c r="I660" s="1118">
        <f t="shared" si="1"/>
        <v>18200</v>
      </c>
      <c r="J660" s="1118">
        <f t="shared" si="2"/>
        <v>19020</v>
      </c>
      <c r="K660" s="1110"/>
    </row>
    <row r="661" ht="18.75" customHeight="1">
      <c r="A661" s="1110"/>
      <c r="B661" s="1108" t="s">
        <v>530</v>
      </c>
      <c r="C661" s="1108" t="s">
        <v>9944</v>
      </c>
      <c r="D661" s="1116" t="s">
        <v>541</v>
      </c>
      <c r="E661" s="1116" t="s">
        <v>542</v>
      </c>
      <c r="F661" s="1109">
        <v>0.1</v>
      </c>
      <c r="G661" s="1109">
        <v>0.05</v>
      </c>
      <c r="H661" s="1118">
        <v>19690.0</v>
      </c>
      <c r="I661" s="1118">
        <f t="shared" si="1"/>
        <v>17900</v>
      </c>
      <c r="J661" s="1118">
        <f t="shared" si="2"/>
        <v>18710</v>
      </c>
      <c r="K661" s="1110"/>
    </row>
    <row r="662" ht="18.75" customHeight="1">
      <c r="A662" s="1110"/>
      <c r="B662" s="1108" t="s">
        <v>530</v>
      </c>
      <c r="C662" s="1108" t="s">
        <v>9944</v>
      </c>
      <c r="D662" s="1116" t="s">
        <v>539</v>
      </c>
      <c r="E662" s="1116" t="s">
        <v>540</v>
      </c>
      <c r="F662" s="1109">
        <v>0.1</v>
      </c>
      <c r="G662" s="1109">
        <v>0.05</v>
      </c>
      <c r="H662" s="1118">
        <v>33550.0</v>
      </c>
      <c r="I662" s="1118">
        <f t="shared" si="1"/>
        <v>30500</v>
      </c>
      <c r="J662" s="1118">
        <f t="shared" si="2"/>
        <v>31870</v>
      </c>
      <c r="K662" s="1110"/>
    </row>
    <row r="663" ht="18.75" customHeight="1">
      <c r="A663" s="1110"/>
      <c r="B663" s="1108" t="s">
        <v>530</v>
      </c>
      <c r="C663" s="1108" t="s">
        <v>9944</v>
      </c>
      <c r="D663" s="1116" t="s">
        <v>533</v>
      </c>
      <c r="E663" s="1116" t="s">
        <v>534</v>
      </c>
      <c r="F663" s="1109">
        <v>0.1</v>
      </c>
      <c r="G663" s="1109">
        <v>0.05</v>
      </c>
      <c r="H663" s="1118">
        <v>40040.0</v>
      </c>
      <c r="I663" s="1118">
        <f t="shared" si="1"/>
        <v>36400</v>
      </c>
      <c r="J663" s="1118">
        <f t="shared" si="2"/>
        <v>38040</v>
      </c>
      <c r="K663" s="1110"/>
    </row>
    <row r="664" ht="18.75" customHeight="1">
      <c r="A664" s="1110"/>
      <c r="B664" s="1108" t="s">
        <v>530</v>
      </c>
      <c r="C664" s="1108" t="s">
        <v>9944</v>
      </c>
      <c r="D664" s="1116" t="s">
        <v>531</v>
      </c>
      <c r="E664" s="1116" t="s">
        <v>532</v>
      </c>
      <c r="F664" s="1109">
        <v>0.1</v>
      </c>
      <c r="G664" s="1109">
        <v>0.05</v>
      </c>
      <c r="H664" s="1118">
        <v>44990.0</v>
      </c>
      <c r="I664" s="1118">
        <f t="shared" si="1"/>
        <v>40900</v>
      </c>
      <c r="J664" s="1118">
        <f t="shared" si="2"/>
        <v>42740</v>
      </c>
      <c r="K664" s="1110"/>
    </row>
    <row r="665" ht="18.75" customHeight="1">
      <c r="A665" s="1110"/>
      <c r="B665" s="1108" t="s">
        <v>9945</v>
      </c>
      <c r="C665" s="1108" t="s">
        <v>9946</v>
      </c>
      <c r="D665" s="1116" t="s">
        <v>9947</v>
      </c>
      <c r="E665" s="1116" t="s">
        <v>9948</v>
      </c>
      <c r="F665" s="1109">
        <v>0.1</v>
      </c>
      <c r="G665" s="1109">
        <v>0.08</v>
      </c>
      <c r="H665" s="1118">
        <v>22000.0</v>
      </c>
      <c r="I665" s="1118">
        <f t="shared" si="1"/>
        <v>20000</v>
      </c>
      <c r="J665" s="1118">
        <f t="shared" si="2"/>
        <v>20240</v>
      </c>
      <c r="K665" s="1110"/>
    </row>
    <row r="666" ht="18.75" customHeight="1">
      <c r="A666" s="1110"/>
      <c r="B666" s="1108" t="s">
        <v>9945</v>
      </c>
      <c r="C666" s="1108" t="s">
        <v>9946</v>
      </c>
      <c r="D666" s="1116" t="s">
        <v>522</v>
      </c>
      <c r="E666" s="1116" t="s">
        <v>9949</v>
      </c>
      <c r="F666" s="1109">
        <v>0.1</v>
      </c>
      <c r="G666" s="1109">
        <v>0.08</v>
      </c>
      <c r="H666" s="1118">
        <v>22000.0</v>
      </c>
      <c r="I666" s="1118">
        <f t="shared" si="1"/>
        <v>20000</v>
      </c>
      <c r="J666" s="1118">
        <f t="shared" si="2"/>
        <v>20240</v>
      </c>
      <c r="K666" s="1110"/>
    </row>
    <row r="667" ht="18.75" customHeight="1">
      <c r="A667" s="1110"/>
      <c r="B667" s="1108" t="s">
        <v>9945</v>
      </c>
      <c r="C667" s="1108" t="s">
        <v>9946</v>
      </c>
      <c r="D667" s="1116" t="s">
        <v>9950</v>
      </c>
      <c r="E667" s="1116" t="s">
        <v>9951</v>
      </c>
      <c r="F667" s="1109">
        <v>0.1</v>
      </c>
      <c r="G667" s="1109">
        <v>0.08</v>
      </c>
      <c r="H667" s="1118">
        <v>67100.0</v>
      </c>
      <c r="I667" s="1118">
        <f t="shared" si="1"/>
        <v>61000</v>
      </c>
      <c r="J667" s="1118">
        <f t="shared" si="2"/>
        <v>61730</v>
      </c>
      <c r="K667" s="1110"/>
    </row>
    <row r="668" ht="18.75" customHeight="1">
      <c r="A668" s="1110"/>
      <c r="B668" s="1108" t="s">
        <v>9945</v>
      </c>
      <c r="C668" s="1108" t="s">
        <v>9946</v>
      </c>
      <c r="D668" s="1116" t="s">
        <v>9952</v>
      </c>
      <c r="E668" s="1116" t="s">
        <v>9953</v>
      </c>
      <c r="F668" s="1109">
        <v>0.1</v>
      </c>
      <c r="G668" s="1109">
        <v>0.08</v>
      </c>
      <c r="H668" s="1118">
        <v>61600.0</v>
      </c>
      <c r="I668" s="1118">
        <f t="shared" si="1"/>
        <v>56000</v>
      </c>
      <c r="J668" s="1118">
        <f t="shared" si="2"/>
        <v>56670</v>
      </c>
      <c r="K668" s="1110"/>
    </row>
    <row r="669" ht="18.75" customHeight="1">
      <c r="A669" s="1110"/>
      <c r="B669" s="1108" t="s">
        <v>9954</v>
      </c>
      <c r="C669" s="1108" t="s">
        <v>9955</v>
      </c>
      <c r="D669" s="1116" t="s">
        <v>9956</v>
      </c>
      <c r="E669" s="1116" t="s">
        <v>9957</v>
      </c>
      <c r="F669" s="1109">
        <v>0.1</v>
      </c>
      <c r="G669" s="1109">
        <v>0.05</v>
      </c>
      <c r="H669" s="1118">
        <v>6600.0</v>
      </c>
      <c r="I669" s="1118">
        <f t="shared" si="1"/>
        <v>6000</v>
      </c>
      <c r="J669" s="1118">
        <f t="shared" si="2"/>
        <v>6270</v>
      </c>
      <c r="K669" s="1110"/>
    </row>
    <row r="670" ht="18.75" customHeight="1">
      <c r="A670" s="1110"/>
      <c r="B670" s="1108" t="s">
        <v>9954</v>
      </c>
      <c r="C670" s="1108" t="s">
        <v>9955</v>
      </c>
      <c r="D670" s="1116" t="s">
        <v>9958</v>
      </c>
      <c r="E670" s="1116" t="s">
        <v>9959</v>
      </c>
      <c r="F670" s="1109">
        <v>0.1</v>
      </c>
      <c r="G670" s="1109">
        <v>0.05</v>
      </c>
      <c r="H670" s="1118">
        <v>13860.0</v>
      </c>
      <c r="I670" s="1118">
        <f t="shared" si="1"/>
        <v>12600</v>
      </c>
      <c r="J670" s="1118">
        <f t="shared" si="2"/>
        <v>13170</v>
      </c>
      <c r="K670" s="1110"/>
    </row>
    <row r="671" ht="18.75" customHeight="1">
      <c r="A671" s="1110"/>
      <c r="B671" s="1108" t="s">
        <v>9954</v>
      </c>
      <c r="C671" s="1108" t="s">
        <v>9955</v>
      </c>
      <c r="D671" s="1116" t="s">
        <v>9960</v>
      </c>
      <c r="E671" s="1116" t="s">
        <v>9961</v>
      </c>
      <c r="F671" s="1109">
        <v>0.1</v>
      </c>
      <c r="G671" s="1109">
        <v>0.05</v>
      </c>
      <c r="H671" s="1118">
        <v>9900.0</v>
      </c>
      <c r="I671" s="1118">
        <f t="shared" si="1"/>
        <v>9000</v>
      </c>
      <c r="J671" s="1118">
        <f t="shared" si="2"/>
        <v>9410</v>
      </c>
      <c r="K671" s="1110"/>
    </row>
    <row r="672" ht="18.75" customHeight="1">
      <c r="A672" s="1110"/>
      <c r="B672" s="1108" t="s">
        <v>9954</v>
      </c>
      <c r="C672" s="1108" t="s">
        <v>9955</v>
      </c>
      <c r="D672" s="1116" t="s">
        <v>9962</v>
      </c>
      <c r="E672" s="1116" t="s">
        <v>9963</v>
      </c>
      <c r="F672" s="1109">
        <v>0.1</v>
      </c>
      <c r="G672" s="1109">
        <v>0.05</v>
      </c>
      <c r="H672" s="1116"/>
      <c r="I672" s="1118" t="str">
        <f t="shared" si="1"/>
        <v/>
      </c>
      <c r="J672" s="1118" t="str">
        <f t="shared" si="2"/>
        <v/>
      </c>
      <c r="K672" s="1110"/>
    </row>
    <row r="673" ht="18.75" customHeight="1">
      <c r="A673" s="1110"/>
      <c r="B673" s="1108" t="s">
        <v>9954</v>
      </c>
      <c r="C673" s="1108" t="s">
        <v>9955</v>
      </c>
      <c r="D673" s="1116" t="s">
        <v>9964</v>
      </c>
      <c r="E673" s="1116" t="s">
        <v>9965</v>
      </c>
      <c r="F673" s="1109">
        <v>0.1</v>
      </c>
      <c r="G673" s="1109">
        <v>0.05</v>
      </c>
      <c r="H673" s="1116"/>
      <c r="I673" s="1118" t="str">
        <f t="shared" si="1"/>
        <v/>
      </c>
      <c r="J673" s="1118" t="str">
        <f t="shared" si="2"/>
        <v/>
      </c>
      <c r="K673" s="1110"/>
    </row>
    <row r="674" ht="18.75" customHeight="1">
      <c r="A674" s="1110"/>
      <c r="B674" s="1108" t="s">
        <v>9954</v>
      </c>
      <c r="C674" s="1108" t="s">
        <v>9955</v>
      </c>
      <c r="D674" s="1116" t="s">
        <v>535</v>
      </c>
      <c r="E674" s="1116" t="s">
        <v>536</v>
      </c>
      <c r="F674" s="1109">
        <v>0.1</v>
      </c>
      <c r="G674" s="1109">
        <v>0.05</v>
      </c>
      <c r="H674" s="1118">
        <v>81510.0</v>
      </c>
      <c r="I674" s="1118">
        <f t="shared" si="1"/>
        <v>74100</v>
      </c>
      <c r="J674" s="1118">
        <f t="shared" si="2"/>
        <v>77430</v>
      </c>
      <c r="K674" s="1110"/>
    </row>
    <row r="675" ht="18.75" customHeight="1">
      <c r="A675" s="1110"/>
      <c r="B675" s="1108" t="s">
        <v>9954</v>
      </c>
      <c r="C675" s="1108" t="s">
        <v>9955</v>
      </c>
      <c r="D675" s="1116" t="s">
        <v>537</v>
      </c>
      <c r="E675" s="1116" t="s">
        <v>538</v>
      </c>
      <c r="F675" s="1109">
        <v>0.1</v>
      </c>
      <c r="G675" s="1109">
        <v>0.05</v>
      </c>
      <c r="H675" s="1118"/>
      <c r="I675" s="1118" t="str">
        <f t="shared" si="1"/>
        <v/>
      </c>
      <c r="J675" s="1118" t="str">
        <f t="shared" si="2"/>
        <v/>
      </c>
      <c r="K675" s="1110"/>
    </row>
    <row r="676" ht="18.75" customHeight="1">
      <c r="A676" s="1110"/>
      <c r="B676" s="1108" t="s">
        <v>9954</v>
      </c>
      <c r="C676" s="1108" t="s">
        <v>9955</v>
      </c>
      <c r="D676" s="1116" t="s">
        <v>9966</v>
      </c>
      <c r="E676" s="1116" t="s">
        <v>9967</v>
      </c>
      <c r="F676" s="1109">
        <v>0.1</v>
      </c>
      <c r="G676" s="1109">
        <v>0.05</v>
      </c>
      <c r="H676" s="1116"/>
      <c r="I676" s="1118" t="str">
        <f t="shared" si="1"/>
        <v/>
      </c>
      <c r="J676" s="1118" t="str">
        <f t="shared" si="2"/>
        <v/>
      </c>
      <c r="K676" s="1110"/>
    </row>
    <row r="677" ht="18.75" customHeight="1">
      <c r="A677" s="1110"/>
      <c r="B677" s="1108" t="s">
        <v>9954</v>
      </c>
      <c r="C677" s="1108" t="s">
        <v>9955</v>
      </c>
      <c r="D677" s="1116" t="s">
        <v>9968</v>
      </c>
      <c r="E677" s="1116" t="s">
        <v>9969</v>
      </c>
      <c r="F677" s="1109">
        <v>0.1</v>
      </c>
      <c r="G677" s="1109">
        <v>0.05</v>
      </c>
      <c r="H677" s="1118">
        <v>19800.0</v>
      </c>
      <c r="I677" s="1118">
        <f t="shared" si="1"/>
        <v>18000</v>
      </c>
      <c r="J677" s="1118">
        <f t="shared" si="2"/>
        <v>18810</v>
      </c>
      <c r="K677" s="1110"/>
    </row>
    <row r="678" ht="18.75" customHeight="1">
      <c r="A678" s="1110"/>
      <c r="B678" s="1108" t="s">
        <v>9954</v>
      </c>
      <c r="C678" s="1108" t="s">
        <v>9955</v>
      </c>
      <c r="D678" s="1116" t="s">
        <v>9970</v>
      </c>
      <c r="E678" s="1116" t="s">
        <v>9971</v>
      </c>
      <c r="F678" s="1109">
        <v>0.1</v>
      </c>
      <c r="G678" s="1109">
        <v>0.05</v>
      </c>
      <c r="H678" s="1116">
        <v>18370.0</v>
      </c>
      <c r="I678" s="1118">
        <f t="shared" si="1"/>
        <v>16700</v>
      </c>
      <c r="J678" s="1118">
        <f t="shared" si="2"/>
        <v>17450</v>
      </c>
      <c r="K678" s="1110"/>
    </row>
    <row r="679" ht="18.75" customHeight="1">
      <c r="A679" s="1110"/>
      <c r="B679" s="1108" t="s">
        <v>9954</v>
      </c>
      <c r="C679" s="1108" t="s">
        <v>9955</v>
      </c>
      <c r="D679" s="1116" t="s">
        <v>9972</v>
      </c>
      <c r="E679" s="1116" t="s">
        <v>9973</v>
      </c>
      <c r="F679" s="1109">
        <v>0.1</v>
      </c>
      <c r="G679" s="1109">
        <v>0.05</v>
      </c>
      <c r="H679" s="1118">
        <v>11000.0</v>
      </c>
      <c r="I679" s="1118">
        <f t="shared" si="1"/>
        <v>10000</v>
      </c>
      <c r="J679" s="1118">
        <f t="shared" si="2"/>
        <v>10450</v>
      </c>
      <c r="K679" s="1110"/>
    </row>
    <row r="680" ht="18.75" customHeight="1">
      <c r="A680" s="1110"/>
      <c r="B680" s="1108" t="s">
        <v>9954</v>
      </c>
      <c r="C680" s="1108" t="s">
        <v>9955</v>
      </c>
      <c r="D680" s="1116" t="s">
        <v>9974</v>
      </c>
      <c r="E680" s="1116" t="s">
        <v>9975</v>
      </c>
      <c r="F680" s="1109">
        <v>0.1</v>
      </c>
      <c r="G680" s="1109">
        <v>0.05</v>
      </c>
      <c r="H680" s="1116"/>
      <c r="I680" s="1118" t="str">
        <f t="shared" si="1"/>
        <v/>
      </c>
      <c r="J680" s="1118" t="str">
        <f t="shared" si="2"/>
        <v/>
      </c>
      <c r="K680" s="1110"/>
    </row>
    <row r="681" ht="18.75" customHeight="1">
      <c r="A681" s="1110"/>
      <c r="B681" s="1108" t="s">
        <v>9954</v>
      </c>
      <c r="C681" s="1108" t="s">
        <v>9955</v>
      </c>
      <c r="D681" s="1116" t="s">
        <v>9976</v>
      </c>
      <c r="E681" s="1116" t="s">
        <v>9977</v>
      </c>
      <c r="F681" s="1109">
        <v>0.1</v>
      </c>
      <c r="G681" s="1109">
        <v>0.05</v>
      </c>
      <c r="H681" s="1118">
        <v>19800.0</v>
      </c>
      <c r="I681" s="1118">
        <f t="shared" si="1"/>
        <v>18000</v>
      </c>
      <c r="J681" s="1118">
        <f t="shared" si="2"/>
        <v>18810</v>
      </c>
      <c r="K681" s="1110"/>
    </row>
    <row r="682" ht="18.75" customHeight="1">
      <c r="A682" s="1110"/>
      <c r="B682" s="1108" t="s">
        <v>9954</v>
      </c>
      <c r="C682" s="1108" t="s">
        <v>9955</v>
      </c>
      <c r="D682" s="1116" t="s">
        <v>9978</v>
      </c>
      <c r="E682" s="1116" t="s">
        <v>9979</v>
      </c>
      <c r="F682" s="1109">
        <v>0.1</v>
      </c>
      <c r="G682" s="1109">
        <v>0.05</v>
      </c>
      <c r="H682" s="1118">
        <v>19800.0</v>
      </c>
      <c r="I682" s="1118">
        <f t="shared" si="1"/>
        <v>18000</v>
      </c>
      <c r="J682" s="1118">
        <f t="shared" si="2"/>
        <v>18810</v>
      </c>
      <c r="K682" s="1110"/>
    </row>
    <row r="683" ht="18.75" customHeight="1">
      <c r="A683" s="1110"/>
      <c r="B683" s="1108" t="s">
        <v>9980</v>
      </c>
      <c r="C683" s="1108" t="s">
        <v>9981</v>
      </c>
      <c r="D683" s="1116" t="s">
        <v>9982</v>
      </c>
      <c r="E683" s="1116" t="s">
        <v>9983</v>
      </c>
      <c r="F683" s="1109">
        <v>0.1</v>
      </c>
      <c r="G683" s="1109">
        <v>0.05</v>
      </c>
      <c r="H683" s="1118">
        <v>13480.0</v>
      </c>
      <c r="I683" s="1118">
        <f t="shared" si="1"/>
        <v>12250</v>
      </c>
      <c r="J683" s="1118">
        <f t="shared" si="2"/>
        <v>12810</v>
      </c>
      <c r="K683" s="1110"/>
    </row>
    <row r="684" ht="18.75" customHeight="1">
      <c r="A684" s="1110"/>
      <c r="B684" s="1108" t="s">
        <v>9980</v>
      </c>
      <c r="C684" s="1108" t="s">
        <v>9981</v>
      </c>
      <c r="D684" s="1116" t="s">
        <v>9984</v>
      </c>
      <c r="E684" s="1116" t="s">
        <v>9985</v>
      </c>
      <c r="F684" s="1109">
        <v>0.1</v>
      </c>
      <c r="G684" s="1109">
        <v>0.05</v>
      </c>
      <c r="H684" s="1118">
        <v>13480.0</v>
      </c>
      <c r="I684" s="1118">
        <f t="shared" si="1"/>
        <v>12250</v>
      </c>
      <c r="J684" s="1118">
        <f t="shared" si="2"/>
        <v>12810</v>
      </c>
      <c r="K684" s="1110"/>
    </row>
    <row r="685" ht="18.75" customHeight="1">
      <c r="A685" s="1110"/>
      <c r="B685" s="1108" t="s">
        <v>9980</v>
      </c>
      <c r="C685" s="1108" t="s">
        <v>9981</v>
      </c>
      <c r="D685" s="1116" t="s">
        <v>9986</v>
      </c>
      <c r="E685" s="1116" t="s">
        <v>9987</v>
      </c>
      <c r="F685" s="1109">
        <v>0.1</v>
      </c>
      <c r="G685" s="1109">
        <v>0.05</v>
      </c>
      <c r="H685" s="1118">
        <v>16210.0</v>
      </c>
      <c r="I685" s="1118">
        <f t="shared" si="1"/>
        <v>14740</v>
      </c>
      <c r="J685" s="1118">
        <f t="shared" si="2"/>
        <v>15400</v>
      </c>
      <c r="K685" s="1110"/>
    </row>
    <row r="686" ht="18.75" customHeight="1">
      <c r="A686" s="1110"/>
      <c r="B686" s="1108" t="s">
        <v>9980</v>
      </c>
      <c r="C686" s="1108" t="s">
        <v>9981</v>
      </c>
      <c r="D686" s="1116" t="s">
        <v>9988</v>
      </c>
      <c r="E686" s="1116" t="s">
        <v>9989</v>
      </c>
      <c r="F686" s="1109">
        <v>0.1</v>
      </c>
      <c r="G686" s="1109">
        <v>0.05</v>
      </c>
      <c r="H686" s="1118">
        <v>22000.0</v>
      </c>
      <c r="I686" s="1118">
        <f t="shared" si="1"/>
        <v>20000</v>
      </c>
      <c r="J686" s="1118">
        <f t="shared" si="2"/>
        <v>20900</v>
      </c>
      <c r="K686" s="1110"/>
    </row>
    <row r="687" ht="18.75" customHeight="1">
      <c r="A687" s="1110"/>
      <c r="B687" s="1108" t="s">
        <v>9980</v>
      </c>
      <c r="C687" s="1108" t="s">
        <v>9981</v>
      </c>
      <c r="D687" s="1116" t="s">
        <v>9990</v>
      </c>
      <c r="E687" s="1116" t="s">
        <v>9991</v>
      </c>
      <c r="F687" s="1109">
        <v>0.1</v>
      </c>
      <c r="G687" s="1109">
        <v>0.05</v>
      </c>
      <c r="H687" s="1118">
        <v>16210.0</v>
      </c>
      <c r="I687" s="1118">
        <f t="shared" si="1"/>
        <v>14740</v>
      </c>
      <c r="J687" s="1118">
        <f t="shared" si="2"/>
        <v>15400</v>
      </c>
      <c r="K687" s="1110"/>
    </row>
    <row r="688" ht="18.75" customHeight="1">
      <c r="A688" s="1110"/>
      <c r="B688" s="1108" t="s">
        <v>9980</v>
      </c>
      <c r="C688" s="1108" t="s">
        <v>9981</v>
      </c>
      <c r="D688" s="1116" t="s">
        <v>9992</v>
      </c>
      <c r="E688" s="1116" t="s">
        <v>9993</v>
      </c>
      <c r="F688" s="1109">
        <v>0.1</v>
      </c>
      <c r="G688" s="1109">
        <v>0.05</v>
      </c>
      <c r="H688" s="1118">
        <v>22250.0</v>
      </c>
      <c r="I688" s="1118">
        <f t="shared" si="1"/>
        <v>20230</v>
      </c>
      <c r="J688" s="1118">
        <f t="shared" si="2"/>
        <v>21140</v>
      </c>
      <c r="K688" s="1110"/>
    </row>
    <row r="689" ht="18.75" customHeight="1">
      <c r="A689" s="1110"/>
      <c r="B689" s="1108" t="s">
        <v>9980</v>
      </c>
      <c r="C689" s="1108" t="s">
        <v>9981</v>
      </c>
      <c r="D689" s="1116" t="s">
        <v>9994</v>
      </c>
      <c r="E689" s="1116" t="s">
        <v>9995</v>
      </c>
      <c r="F689" s="1109">
        <v>0.1</v>
      </c>
      <c r="G689" s="1109">
        <v>0.05</v>
      </c>
      <c r="H689" s="1118">
        <v>23800.0</v>
      </c>
      <c r="I689" s="1118">
        <f t="shared" si="1"/>
        <v>21640</v>
      </c>
      <c r="J689" s="1118">
        <f t="shared" si="2"/>
        <v>22610</v>
      </c>
      <c r="K689" s="1110"/>
    </row>
    <row r="690" ht="18.75" customHeight="1">
      <c r="A690" s="1110"/>
      <c r="B690" s="1108" t="s">
        <v>9980</v>
      </c>
      <c r="C690" s="1108" t="s">
        <v>9981</v>
      </c>
      <c r="D690" s="1116" t="s">
        <v>9996</v>
      </c>
      <c r="E690" s="1116" t="s">
        <v>9997</v>
      </c>
      <c r="F690" s="1109">
        <v>0.1</v>
      </c>
      <c r="G690" s="1109">
        <v>0.05</v>
      </c>
      <c r="H690" s="1118">
        <v>28460.0</v>
      </c>
      <c r="I690" s="1118">
        <f t="shared" si="1"/>
        <v>25870</v>
      </c>
      <c r="J690" s="1118">
        <f t="shared" si="2"/>
        <v>27040</v>
      </c>
      <c r="K690" s="1110"/>
    </row>
    <row r="691" ht="18.75" customHeight="1">
      <c r="A691" s="1110"/>
      <c r="B691" s="1108" t="s">
        <v>9980</v>
      </c>
      <c r="C691" s="1108" t="s">
        <v>9981</v>
      </c>
      <c r="D691" s="1116" t="s">
        <v>9998</v>
      </c>
      <c r="E691" s="1116" t="s">
        <v>9999</v>
      </c>
      <c r="F691" s="1109">
        <v>0.1</v>
      </c>
      <c r="G691" s="1109">
        <v>0.05</v>
      </c>
      <c r="H691" s="1118">
        <v>31570.0</v>
      </c>
      <c r="I691" s="1118">
        <f t="shared" si="1"/>
        <v>28700</v>
      </c>
      <c r="J691" s="1118">
        <f t="shared" si="2"/>
        <v>29990</v>
      </c>
      <c r="K691" s="1110"/>
    </row>
    <row r="692" ht="18.75" customHeight="1">
      <c r="A692" s="1110"/>
      <c r="B692" s="1108" t="s">
        <v>9980</v>
      </c>
      <c r="C692" s="1108" t="s">
        <v>9981</v>
      </c>
      <c r="D692" s="1116" t="s">
        <v>10000</v>
      </c>
      <c r="E692" s="1116" t="s">
        <v>10001</v>
      </c>
      <c r="F692" s="1109">
        <v>0.1</v>
      </c>
      <c r="G692" s="1109">
        <v>0.05</v>
      </c>
      <c r="H692" s="1118">
        <v>34840.0</v>
      </c>
      <c r="I692" s="1118">
        <f t="shared" si="1"/>
        <v>31670</v>
      </c>
      <c r="J692" s="1118">
        <f t="shared" si="2"/>
        <v>33100</v>
      </c>
      <c r="K692" s="1110"/>
    </row>
    <row r="693" ht="18.75" customHeight="1">
      <c r="A693" s="1110"/>
      <c r="B693" s="1108" t="s">
        <v>9980</v>
      </c>
      <c r="C693" s="1108" t="s">
        <v>9981</v>
      </c>
      <c r="D693" s="1116" t="s">
        <v>10002</v>
      </c>
      <c r="E693" s="1116" t="s">
        <v>10003</v>
      </c>
      <c r="F693" s="1109">
        <v>0.1</v>
      </c>
      <c r="G693" s="1109">
        <v>0.05</v>
      </c>
      <c r="H693" s="1118">
        <v>38170.0</v>
      </c>
      <c r="I693" s="1118">
        <f t="shared" si="1"/>
        <v>34700</v>
      </c>
      <c r="J693" s="1118">
        <f t="shared" si="2"/>
        <v>36260</v>
      </c>
      <c r="K693" s="1110"/>
    </row>
    <row r="694" ht="18.75" customHeight="1">
      <c r="A694" s="1110"/>
      <c r="B694" s="1108" t="s">
        <v>9980</v>
      </c>
      <c r="C694" s="1108" t="s">
        <v>9981</v>
      </c>
      <c r="D694" s="1116" t="s">
        <v>10004</v>
      </c>
      <c r="E694" s="1116" t="s">
        <v>10005</v>
      </c>
      <c r="F694" s="1109">
        <v>0.1</v>
      </c>
      <c r="G694" s="1109">
        <v>0.05</v>
      </c>
      <c r="H694" s="1118">
        <v>12100.0</v>
      </c>
      <c r="I694" s="1118">
        <f t="shared" si="1"/>
        <v>11000</v>
      </c>
      <c r="J694" s="1118">
        <f t="shared" si="2"/>
        <v>11500</v>
      </c>
      <c r="K694" s="1110"/>
    </row>
    <row r="695" ht="18.75" customHeight="1">
      <c r="A695" s="1110"/>
      <c r="B695" s="1108" t="s">
        <v>9980</v>
      </c>
      <c r="C695" s="1108" t="s">
        <v>9981</v>
      </c>
      <c r="D695" s="1116" t="s">
        <v>10006</v>
      </c>
      <c r="E695" s="1116" t="s">
        <v>10007</v>
      </c>
      <c r="F695" s="1109">
        <v>0.1</v>
      </c>
      <c r="G695" s="1109">
        <v>0.05</v>
      </c>
      <c r="H695" s="1118">
        <v>12100.0</v>
      </c>
      <c r="I695" s="1118">
        <f t="shared" si="1"/>
        <v>11000</v>
      </c>
      <c r="J695" s="1118">
        <f t="shared" si="2"/>
        <v>11500</v>
      </c>
      <c r="K695" s="1110"/>
    </row>
    <row r="696" ht="18.75" customHeight="1">
      <c r="A696" s="1110"/>
      <c r="B696" s="1108" t="s">
        <v>9980</v>
      </c>
      <c r="C696" s="1108" t="s">
        <v>9981</v>
      </c>
      <c r="D696" s="1116" t="s">
        <v>10008</v>
      </c>
      <c r="E696" s="1116" t="s">
        <v>10009</v>
      </c>
      <c r="F696" s="1109">
        <v>0.1</v>
      </c>
      <c r="G696" s="1109">
        <v>0.05</v>
      </c>
      <c r="H696" s="1118">
        <v>15400.0</v>
      </c>
      <c r="I696" s="1118">
        <f t="shared" si="1"/>
        <v>14000</v>
      </c>
      <c r="J696" s="1118">
        <f t="shared" si="2"/>
        <v>14630</v>
      </c>
      <c r="K696" s="1110"/>
    </row>
    <row r="697" ht="18.75" customHeight="1">
      <c r="A697" s="1110"/>
      <c r="B697" s="1108" t="s">
        <v>9980</v>
      </c>
      <c r="C697" s="1108" t="s">
        <v>9981</v>
      </c>
      <c r="D697" s="1116" t="s">
        <v>10010</v>
      </c>
      <c r="E697" s="1116" t="s">
        <v>10011</v>
      </c>
      <c r="F697" s="1109">
        <v>0.1</v>
      </c>
      <c r="G697" s="1109">
        <v>0.05</v>
      </c>
      <c r="H697" s="1118">
        <v>36300.0</v>
      </c>
      <c r="I697" s="1118">
        <f t="shared" si="1"/>
        <v>33000</v>
      </c>
      <c r="J697" s="1118">
        <f t="shared" si="2"/>
        <v>34490</v>
      </c>
      <c r="K697" s="1110"/>
    </row>
    <row r="698" ht="18.75" customHeight="1">
      <c r="A698" s="1110"/>
      <c r="B698" s="1108" t="s">
        <v>9980</v>
      </c>
      <c r="C698" s="1108" t="s">
        <v>9981</v>
      </c>
      <c r="D698" s="1116" t="s">
        <v>10012</v>
      </c>
      <c r="E698" s="1116" t="s">
        <v>10013</v>
      </c>
      <c r="F698" s="1109">
        <v>0.1</v>
      </c>
      <c r="G698" s="1109">
        <v>0.05</v>
      </c>
      <c r="H698" s="1118">
        <v>47300.0</v>
      </c>
      <c r="I698" s="1118">
        <f t="shared" si="1"/>
        <v>43000</v>
      </c>
      <c r="J698" s="1118">
        <f t="shared" si="2"/>
        <v>44940</v>
      </c>
      <c r="K698" s="1110"/>
    </row>
    <row r="699" ht="18.75" customHeight="1">
      <c r="A699" s="1110"/>
      <c r="B699" s="1108" t="s">
        <v>10014</v>
      </c>
      <c r="C699" s="1108" t="s">
        <v>10015</v>
      </c>
      <c r="D699" s="1116" t="s">
        <v>10016</v>
      </c>
      <c r="E699" s="1116" t="s">
        <v>10017</v>
      </c>
      <c r="F699" s="1109">
        <v>0.1</v>
      </c>
      <c r="G699" s="1109">
        <v>0.05</v>
      </c>
      <c r="H699" s="1118">
        <v>295140.0</v>
      </c>
      <c r="I699" s="1118">
        <f t="shared" si="1"/>
        <v>268310</v>
      </c>
      <c r="J699" s="1118">
        <f t="shared" si="2"/>
        <v>280380</v>
      </c>
      <c r="K699" s="1110"/>
    </row>
    <row r="700" ht="18.75" customHeight="1">
      <c r="A700" s="1110"/>
      <c r="B700" s="1108" t="s">
        <v>10014</v>
      </c>
      <c r="C700" s="1108" t="s">
        <v>10015</v>
      </c>
      <c r="D700" s="1116" t="s">
        <v>10018</v>
      </c>
      <c r="E700" s="1116" t="s">
        <v>10019</v>
      </c>
      <c r="F700" s="1109">
        <v>0.1</v>
      </c>
      <c r="G700" s="1109">
        <v>0.05</v>
      </c>
      <c r="H700" s="1118">
        <v>332600.0</v>
      </c>
      <c r="I700" s="1118">
        <f t="shared" si="1"/>
        <v>302360</v>
      </c>
      <c r="J700" s="1118">
        <f t="shared" si="2"/>
        <v>315970</v>
      </c>
      <c r="K700" s="1110"/>
    </row>
    <row r="701" ht="18.75" customHeight="1">
      <c r="A701" s="1110"/>
      <c r="B701" s="1108" t="s">
        <v>10020</v>
      </c>
      <c r="C701" s="1108" t="s">
        <v>10021</v>
      </c>
      <c r="D701" s="1116" t="s">
        <v>926</v>
      </c>
      <c r="E701" s="1116" t="s">
        <v>927</v>
      </c>
      <c r="F701" s="1109">
        <v>0.1</v>
      </c>
      <c r="G701" s="1109">
        <v>0.08</v>
      </c>
      <c r="H701" s="1118">
        <v>476190.0</v>
      </c>
      <c r="I701" s="1118">
        <f t="shared" si="1"/>
        <v>432900</v>
      </c>
      <c r="J701" s="1118">
        <f t="shared" si="2"/>
        <v>438090</v>
      </c>
      <c r="K701" s="1110"/>
    </row>
    <row r="702" ht="18.75" customHeight="1">
      <c r="A702" s="1110"/>
      <c r="B702" s="1108" t="s">
        <v>10020</v>
      </c>
      <c r="C702" s="1108" t="s">
        <v>10021</v>
      </c>
      <c r="D702" s="1116" t="s">
        <v>930</v>
      </c>
      <c r="E702" s="1116" t="s">
        <v>931</v>
      </c>
      <c r="F702" s="1109">
        <v>0.1</v>
      </c>
      <c r="G702" s="1109">
        <v>0.08</v>
      </c>
      <c r="H702" s="1118">
        <v>610610.0</v>
      </c>
      <c r="I702" s="1118">
        <f t="shared" si="1"/>
        <v>555100</v>
      </c>
      <c r="J702" s="1118">
        <f t="shared" si="2"/>
        <v>561760</v>
      </c>
      <c r="K702" s="1110"/>
    </row>
    <row r="703" ht="18.75" customHeight="1">
      <c r="A703" s="1110"/>
      <c r="B703" s="1108" t="s">
        <v>10020</v>
      </c>
      <c r="C703" s="1108" t="s">
        <v>10021</v>
      </c>
      <c r="D703" s="1116" t="s">
        <v>10022</v>
      </c>
      <c r="E703" s="1116" t="s">
        <v>10023</v>
      </c>
      <c r="F703" s="1109">
        <v>0.1</v>
      </c>
      <c r="G703" s="1109">
        <v>0.08</v>
      </c>
      <c r="H703" s="1118">
        <v>20900.0</v>
      </c>
      <c r="I703" s="1118">
        <f t="shared" si="1"/>
        <v>19000</v>
      </c>
      <c r="J703" s="1118">
        <f t="shared" si="2"/>
        <v>19230</v>
      </c>
      <c r="K703" s="1110"/>
    </row>
    <row r="704" ht="18.75" customHeight="1">
      <c r="A704" s="1110"/>
      <c r="B704" s="1108" t="s">
        <v>10020</v>
      </c>
      <c r="C704" s="1108" t="s">
        <v>10021</v>
      </c>
      <c r="D704" s="1116" t="s">
        <v>10024</v>
      </c>
      <c r="E704" s="1116" t="s">
        <v>10025</v>
      </c>
      <c r="F704" s="1109">
        <v>0.1</v>
      </c>
      <c r="G704" s="1109">
        <v>0.08</v>
      </c>
      <c r="H704" s="1118">
        <v>27500.0</v>
      </c>
      <c r="I704" s="1118">
        <f t="shared" si="1"/>
        <v>25000</v>
      </c>
      <c r="J704" s="1118">
        <f t="shared" si="2"/>
        <v>25300</v>
      </c>
      <c r="K704" s="1110"/>
    </row>
    <row r="705" ht="18.75" customHeight="1">
      <c r="A705" s="1110"/>
      <c r="B705" s="1108" t="s">
        <v>10020</v>
      </c>
      <c r="C705" s="1108" t="s">
        <v>10021</v>
      </c>
      <c r="D705" s="1116" t="s">
        <v>10026</v>
      </c>
      <c r="E705" s="1116" t="s">
        <v>10027</v>
      </c>
      <c r="F705" s="1109">
        <v>0.1</v>
      </c>
      <c r="G705" s="1109">
        <v>0.08</v>
      </c>
      <c r="H705" s="1118">
        <v>29700.0</v>
      </c>
      <c r="I705" s="1118">
        <f t="shared" si="1"/>
        <v>27000</v>
      </c>
      <c r="J705" s="1118">
        <f t="shared" si="2"/>
        <v>27320</v>
      </c>
      <c r="K705" s="1110"/>
    </row>
    <row r="706" ht="18.75" customHeight="1">
      <c r="A706" s="1110"/>
      <c r="B706" s="1108" t="s">
        <v>10020</v>
      </c>
      <c r="C706" s="1108" t="s">
        <v>10021</v>
      </c>
      <c r="D706" s="1116" t="s">
        <v>10028</v>
      </c>
      <c r="E706" s="1116" t="s">
        <v>10029</v>
      </c>
      <c r="F706" s="1109">
        <v>0.1</v>
      </c>
      <c r="G706" s="1109">
        <v>0.08</v>
      </c>
      <c r="H706" s="1118">
        <v>79200.0</v>
      </c>
      <c r="I706" s="1118">
        <f t="shared" si="1"/>
        <v>72000</v>
      </c>
      <c r="J706" s="1118">
        <f t="shared" si="2"/>
        <v>72860</v>
      </c>
      <c r="K706" s="1110"/>
    </row>
    <row r="707" ht="18.75" customHeight="1">
      <c r="A707" s="1110"/>
      <c r="B707" s="1108" t="s">
        <v>10020</v>
      </c>
      <c r="C707" s="1108" t="s">
        <v>10021</v>
      </c>
      <c r="D707" s="1116" t="s">
        <v>10030</v>
      </c>
      <c r="E707" s="1116" t="s">
        <v>10031</v>
      </c>
      <c r="F707" s="1109">
        <v>0.1</v>
      </c>
      <c r="G707" s="1109">
        <v>0.08</v>
      </c>
      <c r="H707" s="1118">
        <v>106700.0</v>
      </c>
      <c r="I707" s="1118">
        <f t="shared" si="1"/>
        <v>97000</v>
      </c>
      <c r="J707" s="1118">
        <f t="shared" si="2"/>
        <v>98160</v>
      </c>
      <c r="K707" s="1110"/>
    </row>
    <row r="708" ht="18.75" customHeight="1">
      <c r="A708" s="1110"/>
      <c r="B708" s="1108" t="s">
        <v>10020</v>
      </c>
      <c r="C708" s="1108" t="s">
        <v>10021</v>
      </c>
      <c r="D708" s="1116" t="s">
        <v>10032</v>
      </c>
      <c r="E708" s="1116" t="s">
        <v>10033</v>
      </c>
      <c r="F708" s="1109">
        <v>0.1</v>
      </c>
      <c r="G708" s="1109">
        <v>0.08</v>
      </c>
      <c r="H708" s="1118">
        <v>122100.0</v>
      </c>
      <c r="I708" s="1118">
        <f t="shared" si="1"/>
        <v>111000</v>
      </c>
      <c r="J708" s="1118">
        <f t="shared" si="2"/>
        <v>112330</v>
      </c>
      <c r="K708" s="1110"/>
    </row>
    <row r="709" ht="18.75" customHeight="1">
      <c r="A709" s="1110"/>
      <c r="B709" s="1108" t="s">
        <v>10020</v>
      </c>
      <c r="C709" s="1108" t="s">
        <v>10021</v>
      </c>
      <c r="D709" s="1116" t="s">
        <v>10034</v>
      </c>
      <c r="E709" s="1116" t="s">
        <v>10035</v>
      </c>
      <c r="F709" s="1109">
        <v>0.1</v>
      </c>
      <c r="G709" s="1109">
        <v>0.08</v>
      </c>
      <c r="H709" s="1118">
        <v>176000.0</v>
      </c>
      <c r="I709" s="1118">
        <f t="shared" si="1"/>
        <v>160000</v>
      </c>
      <c r="J709" s="1118">
        <f t="shared" si="2"/>
        <v>161920</v>
      </c>
      <c r="K709" s="1110"/>
    </row>
    <row r="710" ht="18.75" customHeight="1">
      <c r="A710" s="1110"/>
      <c r="B710" s="1108" t="s">
        <v>10020</v>
      </c>
      <c r="C710" s="1108" t="s">
        <v>10021</v>
      </c>
      <c r="D710" s="1116" t="s">
        <v>10036</v>
      </c>
      <c r="E710" s="1116" t="s">
        <v>10037</v>
      </c>
      <c r="F710" s="1109">
        <v>0.1</v>
      </c>
      <c r="G710" s="1109">
        <v>0.08</v>
      </c>
      <c r="H710" s="1118">
        <v>18700.0</v>
      </c>
      <c r="I710" s="1118">
        <f t="shared" si="1"/>
        <v>17000</v>
      </c>
      <c r="J710" s="1118">
        <f t="shared" si="2"/>
        <v>17200</v>
      </c>
      <c r="K710" s="1110"/>
    </row>
    <row r="711" ht="18.75" customHeight="1">
      <c r="A711" s="1110"/>
      <c r="B711" s="1108" t="s">
        <v>10020</v>
      </c>
      <c r="C711" s="1108" t="s">
        <v>10021</v>
      </c>
      <c r="D711" s="1116" t="s">
        <v>10038</v>
      </c>
      <c r="E711" s="1116" t="s">
        <v>10039</v>
      </c>
      <c r="F711" s="1109">
        <v>0.1</v>
      </c>
      <c r="G711" s="1109">
        <v>0.08</v>
      </c>
      <c r="H711" s="1118">
        <v>198000.0</v>
      </c>
      <c r="I711" s="1118">
        <f t="shared" si="1"/>
        <v>180000</v>
      </c>
      <c r="J711" s="1118">
        <f t="shared" si="2"/>
        <v>182160</v>
      </c>
      <c r="K711" s="1110"/>
    </row>
    <row r="712" ht="18.75" customHeight="1">
      <c r="A712" s="1110"/>
      <c r="B712" s="1108" t="s">
        <v>10020</v>
      </c>
      <c r="C712" s="1108" t="s">
        <v>10021</v>
      </c>
      <c r="D712" s="1116" t="s">
        <v>10040</v>
      </c>
      <c r="E712" s="1116" t="s">
        <v>10041</v>
      </c>
      <c r="F712" s="1109">
        <v>0.1</v>
      </c>
      <c r="G712" s="1109">
        <v>0.08</v>
      </c>
      <c r="H712" s="1118">
        <v>253000.0</v>
      </c>
      <c r="I712" s="1118">
        <f t="shared" si="1"/>
        <v>230000</v>
      </c>
      <c r="J712" s="1118">
        <f t="shared" si="2"/>
        <v>232760</v>
      </c>
      <c r="K712" s="1110"/>
    </row>
    <row r="713" ht="18.75" customHeight="1">
      <c r="A713" s="1110"/>
      <c r="B713" s="1108" t="s">
        <v>10020</v>
      </c>
      <c r="C713" s="1108" t="s">
        <v>10021</v>
      </c>
      <c r="D713" s="1116" t="s">
        <v>10042</v>
      </c>
      <c r="E713" s="1116" t="s">
        <v>10043</v>
      </c>
      <c r="F713" s="1109">
        <v>0.1</v>
      </c>
      <c r="G713" s="1109">
        <v>0.08</v>
      </c>
      <c r="H713" s="1118">
        <v>28600.0</v>
      </c>
      <c r="I713" s="1118">
        <f t="shared" si="1"/>
        <v>26000</v>
      </c>
      <c r="J713" s="1118">
        <f t="shared" si="2"/>
        <v>26310</v>
      </c>
      <c r="K713" s="1110"/>
    </row>
    <row r="714" ht="18.75" customHeight="1">
      <c r="A714" s="1110"/>
      <c r="B714" s="1108" t="s">
        <v>10020</v>
      </c>
      <c r="C714" s="1108" t="s">
        <v>10021</v>
      </c>
      <c r="D714" s="1116" t="s">
        <v>10044</v>
      </c>
      <c r="E714" s="1116" t="s">
        <v>10045</v>
      </c>
      <c r="F714" s="1109">
        <v>0.1</v>
      </c>
      <c r="G714" s="1109">
        <v>0.08</v>
      </c>
      <c r="H714" s="1118">
        <v>33000.0</v>
      </c>
      <c r="I714" s="1118">
        <f t="shared" si="1"/>
        <v>30000</v>
      </c>
      <c r="J714" s="1118">
        <f t="shared" si="2"/>
        <v>30360</v>
      </c>
      <c r="K714" s="1110"/>
    </row>
    <row r="715" ht="18.75" customHeight="1">
      <c r="A715" s="1110"/>
      <c r="B715" s="1108" t="s">
        <v>10020</v>
      </c>
      <c r="C715" s="1108" t="s">
        <v>10021</v>
      </c>
      <c r="D715" s="1116" t="s">
        <v>922</v>
      </c>
      <c r="E715" s="1116" t="s">
        <v>923</v>
      </c>
      <c r="F715" s="1109">
        <v>0.1</v>
      </c>
      <c r="G715" s="1109">
        <v>0.08</v>
      </c>
      <c r="H715" s="1118">
        <v>20790.0</v>
      </c>
      <c r="I715" s="1118">
        <f t="shared" si="1"/>
        <v>18900</v>
      </c>
      <c r="J715" s="1118">
        <f t="shared" si="2"/>
        <v>19130</v>
      </c>
      <c r="K715" s="1110"/>
    </row>
    <row r="716" ht="18.75" customHeight="1">
      <c r="A716" s="1110"/>
      <c r="B716" s="1108" t="s">
        <v>10020</v>
      </c>
      <c r="C716" s="1108" t="s">
        <v>10021</v>
      </c>
      <c r="D716" s="1116" t="s">
        <v>10046</v>
      </c>
      <c r="E716" s="1116" t="s">
        <v>10047</v>
      </c>
      <c r="F716" s="1109">
        <v>0.1</v>
      </c>
      <c r="G716" s="1109">
        <v>0.08</v>
      </c>
      <c r="H716" s="1118">
        <v>27280.0</v>
      </c>
      <c r="I716" s="1118">
        <f t="shared" si="1"/>
        <v>24800</v>
      </c>
      <c r="J716" s="1118">
        <f t="shared" si="2"/>
        <v>25100</v>
      </c>
      <c r="K716" s="1110"/>
    </row>
    <row r="717" ht="18.75" customHeight="1">
      <c r="A717" s="1110"/>
      <c r="B717" s="1108" t="s">
        <v>10020</v>
      </c>
      <c r="C717" s="1108" t="s">
        <v>10021</v>
      </c>
      <c r="D717" s="1116" t="s">
        <v>10048</v>
      </c>
      <c r="E717" s="1116" t="s">
        <v>10049</v>
      </c>
      <c r="F717" s="1109">
        <v>0.1</v>
      </c>
      <c r="G717" s="1109">
        <v>0.08</v>
      </c>
      <c r="H717" s="1118">
        <v>31130.0</v>
      </c>
      <c r="I717" s="1118">
        <f t="shared" si="1"/>
        <v>28300</v>
      </c>
      <c r="J717" s="1118">
        <f t="shared" si="2"/>
        <v>28640</v>
      </c>
      <c r="K717" s="1110"/>
    </row>
    <row r="718" ht="18.75" customHeight="1">
      <c r="A718" s="1110"/>
      <c r="B718" s="1108" t="s">
        <v>10020</v>
      </c>
      <c r="C718" s="1108" t="s">
        <v>10021</v>
      </c>
      <c r="D718" s="1116" t="s">
        <v>10050</v>
      </c>
      <c r="E718" s="1116" t="s">
        <v>10051</v>
      </c>
      <c r="F718" s="1109">
        <v>0.1</v>
      </c>
      <c r="G718" s="1109">
        <v>0.08</v>
      </c>
      <c r="H718" s="1118">
        <v>33660.0</v>
      </c>
      <c r="I718" s="1118">
        <f t="shared" si="1"/>
        <v>30600</v>
      </c>
      <c r="J718" s="1118">
        <f t="shared" si="2"/>
        <v>30970</v>
      </c>
      <c r="K718" s="1110"/>
    </row>
    <row r="719" ht="18.75" customHeight="1">
      <c r="A719" s="1110"/>
      <c r="B719" s="1108" t="s">
        <v>10020</v>
      </c>
      <c r="C719" s="1108" t="s">
        <v>10021</v>
      </c>
      <c r="D719" s="1116" t="s">
        <v>10052</v>
      </c>
      <c r="E719" s="1116" t="s">
        <v>10053</v>
      </c>
      <c r="F719" s="1109">
        <v>0.1</v>
      </c>
      <c r="G719" s="1109">
        <v>0.08</v>
      </c>
      <c r="H719" s="1118">
        <v>33220.0</v>
      </c>
      <c r="I719" s="1118">
        <f t="shared" si="1"/>
        <v>30200</v>
      </c>
      <c r="J719" s="1118">
        <f t="shared" si="2"/>
        <v>30560</v>
      </c>
      <c r="K719" s="1110"/>
    </row>
    <row r="720" ht="18.75" customHeight="1">
      <c r="A720" s="1110"/>
      <c r="B720" s="1108" t="s">
        <v>10020</v>
      </c>
      <c r="C720" s="1108" t="s">
        <v>10021</v>
      </c>
      <c r="D720" s="1116" t="s">
        <v>10054</v>
      </c>
      <c r="E720" s="1116" t="s">
        <v>10055</v>
      </c>
      <c r="F720" s="1109">
        <v>0.1</v>
      </c>
      <c r="G720" s="1109">
        <v>0.08</v>
      </c>
      <c r="H720" s="1118">
        <v>43230.0</v>
      </c>
      <c r="I720" s="1118">
        <f t="shared" si="1"/>
        <v>39300</v>
      </c>
      <c r="J720" s="1118">
        <f t="shared" si="2"/>
        <v>39770</v>
      </c>
      <c r="K720" s="1110"/>
    </row>
    <row r="721" ht="18.75" customHeight="1">
      <c r="A721" s="1110"/>
      <c r="B721" s="1108" t="s">
        <v>10056</v>
      </c>
      <c r="C721" s="1108" t="s">
        <v>10057</v>
      </c>
      <c r="D721" s="1116" t="s">
        <v>977</v>
      </c>
      <c r="E721" s="1116" t="s">
        <v>978</v>
      </c>
      <c r="F721" s="1109">
        <v>0.1</v>
      </c>
      <c r="G721" s="1109">
        <v>0.03</v>
      </c>
      <c r="H721" s="1118">
        <v>34980.0</v>
      </c>
      <c r="I721" s="1118">
        <f t="shared" si="1"/>
        <v>31800</v>
      </c>
      <c r="J721" s="1118">
        <f t="shared" si="2"/>
        <v>33930</v>
      </c>
      <c r="K721" s="1110"/>
    </row>
    <row r="722" ht="18.75" customHeight="1">
      <c r="A722" s="1110"/>
      <c r="B722" s="1108" t="s">
        <v>10056</v>
      </c>
      <c r="C722" s="1108" t="s">
        <v>10057</v>
      </c>
      <c r="D722" s="1116" t="s">
        <v>10058</v>
      </c>
      <c r="E722" s="1116" t="s">
        <v>10059</v>
      </c>
      <c r="F722" s="1109">
        <v>0.1</v>
      </c>
      <c r="G722" s="1109">
        <v>0.03</v>
      </c>
      <c r="H722" s="1118">
        <v>67540.0</v>
      </c>
      <c r="I722" s="1118">
        <f t="shared" si="1"/>
        <v>61400</v>
      </c>
      <c r="J722" s="1118">
        <f t="shared" si="2"/>
        <v>65510</v>
      </c>
      <c r="K722" s="1110"/>
    </row>
    <row r="723" ht="18.75" customHeight="1">
      <c r="A723" s="1110"/>
      <c r="B723" s="1108" t="s">
        <v>10056</v>
      </c>
      <c r="C723" s="1108" t="s">
        <v>10057</v>
      </c>
      <c r="D723" s="1116" t="s">
        <v>10060</v>
      </c>
      <c r="E723" s="1116" t="s">
        <v>10061</v>
      </c>
      <c r="F723" s="1109">
        <v>0.1</v>
      </c>
      <c r="G723" s="1109">
        <v>0.03</v>
      </c>
      <c r="H723" s="1118">
        <v>79750.0</v>
      </c>
      <c r="I723" s="1118">
        <f t="shared" si="1"/>
        <v>72500</v>
      </c>
      <c r="J723" s="1118">
        <f t="shared" si="2"/>
        <v>77360</v>
      </c>
      <c r="K723" s="1110"/>
    </row>
    <row r="724" ht="18.75" customHeight="1">
      <c r="A724" s="1110"/>
      <c r="B724" s="1108" t="s">
        <v>10056</v>
      </c>
      <c r="C724" s="1108" t="s">
        <v>10057</v>
      </c>
      <c r="D724" s="1116" t="s">
        <v>10062</v>
      </c>
      <c r="E724" s="1116" t="s">
        <v>10063</v>
      </c>
      <c r="F724" s="1109">
        <v>0.1</v>
      </c>
      <c r="G724" s="1109">
        <v>0.03</v>
      </c>
      <c r="H724" s="1118">
        <v>66550.0</v>
      </c>
      <c r="I724" s="1118">
        <f t="shared" si="1"/>
        <v>60500</v>
      </c>
      <c r="J724" s="1118">
        <f t="shared" si="2"/>
        <v>64550</v>
      </c>
      <c r="K724" s="1110"/>
    </row>
    <row r="725" ht="18.75" customHeight="1">
      <c r="A725" s="1110"/>
      <c r="B725" s="1108" t="s">
        <v>10056</v>
      </c>
      <c r="C725" s="1108" t="s">
        <v>10057</v>
      </c>
      <c r="D725" s="1116" t="s">
        <v>10064</v>
      </c>
      <c r="E725" s="1116" t="s">
        <v>10065</v>
      </c>
      <c r="F725" s="1109">
        <v>0.1</v>
      </c>
      <c r="G725" s="1109">
        <v>0.03</v>
      </c>
      <c r="H725" s="1118">
        <v>81510.0</v>
      </c>
      <c r="I725" s="1118">
        <f t="shared" si="1"/>
        <v>74100</v>
      </c>
      <c r="J725" s="1118">
        <f t="shared" si="2"/>
        <v>79060</v>
      </c>
      <c r="K725" s="1110"/>
    </row>
    <row r="726" ht="18.75" customHeight="1">
      <c r="A726" s="1110"/>
      <c r="B726" s="1108" t="s">
        <v>10056</v>
      </c>
      <c r="C726" s="1108" t="s">
        <v>10057</v>
      </c>
      <c r="D726" s="1116" t="s">
        <v>10066</v>
      </c>
      <c r="E726" s="1116" t="s">
        <v>10067</v>
      </c>
      <c r="F726" s="1109">
        <v>0.1</v>
      </c>
      <c r="G726" s="1109">
        <v>0.03</v>
      </c>
      <c r="H726" s="1118">
        <v>66550.0</v>
      </c>
      <c r="I726" s="1118">
        <f t="shared" si="1"/>
        <v>60500</v>
      </c>
      <c r="J726" s="1118">
        <f t="shared" si="2"/>
        <v>64550</v>
      </c>
      <c r="K726" s="1110"/>
    </row>
    <row r="727" ht="18.75" customHeight="1">
      <c r="A727" s="1110"/>
      <c r="B727" s="1108" t="s">
        <v>10056</v>
      </c>
      <c r="C727" s="1108" t="s">
        <v>10057</v>
      </c>
      <c r="D727" s="1116" t="s">
        <v>10068</v>
      </c>
      <c r="E727" s="1116" t="s">
        <v>10069</v>
      </c>
      <c r="F727" s="1109">
        <v>0.1</v>
      </c>
      <c r="G727" s="1109">
        <v>0.03</v>
      </c>
      <c r="H727" s="1118">
        <v>82940.0</v>
      </c>
      <c r="I727" s="1118">
        <f t="shared" si="1"/>
        <v>75400</v>
      </c>
      <c r="J727" s="1118">
        <f t="shared" si="2"/>
        <v>80450</v>
      </c>
      <c r="K727" s="1110"/>
    </row>
    <row r="728" ht="18.75" customHeight="1">
      <c r="A728" s="1110"/>
      <c r="B728" s="1108" t="s">
        <v>10056</v>
      </c>
      <c r="C728" s="1108" t="s">
        <v>10057</v>
      </c>
      <c r="D728" s="1116" t="s">
        <v>10070</v>
      </c>
      <c r="E728" s="1116" t="s">
        <v>10071</v>
      </c>
      <c r="F728" s="1109">
        <v>0.1</v>
      </c>
      <c r="G728" s="1109">
        <v>0.03</v>
      </c>
      <c r="H728" s="1118">
        <v>1576500.0</v>
      </c>
      <c r="I728" s="1118">
        <f t="shared" si="1"/>
        <v>1433180</v>
      </c>
      <c r="J728" s="1118">
        <f t="shared" si="2"/>
        <v>1529210</v>
      </c>
      <c r="K728" s="1110"/>
    </row>
    <row r="729" ht="18.75" customHeight="1">
      <c r="A729" s="1110"/>
      <c r="B729" s="1108" t="s">
        <v>10056</v>
      </c>
      <c r="C729" s="1108" t="s">
        <v>10057</v>
      </c>
      <c r="D729" s="1116" t="s">
        <v>10072</v>
      </c>
      <c r="E729" s="1116" t="s">
        <v>10073</v>
      </c>
      <c r="F729" s="1109">
        <v>0.1</v>
      </c>
      <c r="G729" s="1109">
        <v>0.03</v>
      </c>
      <c r="H729" s="1118">
        <v>271700.0</v>
      </c>
      <c r="I729" s="1118">
        <f t="shared" si="1"/>
        <v>247000</v>
      </c>
      <c r="J729" s="1118">
        <f t="shared" si="2"/>
        <v>263550</v>
      </c>
      <c r="K729" s="1110"/>
    </row>
    <row r="730" ht="18.75" customHeight="1">
      <c r="A730" s="1110"/>
      <c r="B730" s="1108" t="s">
        <v>10056</v>
      </c>
      <c r="C730" s="1108" t="s">
        <v>10057</v>
      </c>
      <c r="D730" s="1116" t="s">
        <v>10074</v>
      </c>
      <c r="E730" s="1116" t="s">
        <v>10075</v>
      </c>
      <c r="F730" s="1109">
        <v>0.1</v>
      </c>
      <c r="G730" s="1109">
        <v>0.03</v>
      </c>
      <c r="H730" s="1118">
        <v>935000.0</v>
      </c>
      <c r="I730" s="1118">
        <f t="shared" si="1"/>
        <v>850000</v>
      </c>
      <c r="J730" s="1118">
        <f t="shared" si="2"/>
        <v>906950</v>
      </c>
      <c r="K730" s="1110"/>
    </row>
    <row r="731" ht="18.75" customHeight="1">
      <c r="A731" s="1110"/>
      <c r="B731" s="1108" t="s">
        <v>10056</v>
      </c>
      <c r="C731" s="1108" t="s">
        <v>10057</v>
      </c>
      <c r="D731" s="1116" t="s">
        <v>10076</v>
      </c>
      <c r="E731" s="1116" t="s">
        <v>10077</v>
      </c>
      <c r="F731" s="1109">
        <v>0.1</v>
      </c>
      <c r="G731" s="1109">
        <v>0.03</v>
      </c>
      <c r="H731" s="1116"/>
      <c r="I731" s="1118" t="str">
        <f t="shared" si="1"/>
        <v/>
      </c>
      <c r="J731" s="1118" t="str">
        <f t="shared" si="2"/>
        <v/>
      </c>
      <c r="K731" s="1110"/>
    </row>
    <row r="732" ht="18.75" customHeight="1">
      <c r="A732" s="1110"/>
      <c r="B732" s="1108" t="s">
        <v>10056</v>
      </c>
      <c r="C732" s="1108" t="s">
        <v>10057</v>
      </c>
      <c r="D732" s="1116" t="s">
        <v>10078</v>
      </c>
      <c r="E732" s="1116" t="s">
        <v>10079</v>
      </c>
      <c r="F732" s="1109">
        <v>0.1</v>
      </c>
      <c r="G732" s="1109">
        <v>0.03</v>
      </c>
      <c r="H732" s="1118">
        <v>114620.0</v>
      </c>
      <c r="I732" s="1118">
        <f t="shared" si="1"/>
        <v>104200</v>
      </c>
      <c r="J732" s="1118">
        <f t="shared" si="2"/>
        <v>111180</v>
      </c>
      <c r="K732" s="1110"/>
    </row>
    <row r="733" ht="18.75" customHeight="1">
      <c r="A733" s="1110"/>
      <c r="B733" s="1108" t="s">
        <v>10056</v>
      </c>
      <c r="C733" s="1108" t="s">
        <v>10057</v>
      </c>
      <c r="D733" s="1116" t="s">
        <v>10080</v>
      </c>
      <c r="E733" s="1116" t="s">
        <v>10081</v>
      </c>
      <c r="F733" s="1109">
        <v>0.1</v>
      </c>
      <c r="G733" s="1109">
        <v>0.03</v>
      </c>
      <c r="H733" s="1118"/>
      <c r="I733" s="1118" t="str">
        <f t="shared" si="1"/>
        <v/>
      </c>
      <c r="J733" s="1118" t="str">
        <f t="shared" si="2"/>
        <v/>
      </c>
      <c r="K733" s="1110"/>
    </row>
    <row r="734" ht="18.75" customHeight="1">
      <c r="A734" s="1110"/>
      <c r="B734" s="1108" t="s">
        <v>10056</v>
      </c>
      <c r="C734" s="1108" t="s">
        <v>10057</v>
      </c>
      <c r="D734" s="1116" t="s">
        <v>10082</v>
      </c>
      <c r="E734" s="1116" t="s">
        <v>10083</v>
      </c>
      <c r="F734" s="1109">
        <v>0.1</v>
      </c>
      <c r="G734" s="1109">
        <v>0.03</v>
      </c>
      <c r="H734" s="1118">
        <v>435050.0</v>
      </c>
      <c r="I734" s="1118">
        <f t="shared" si="1"/>
        <v>395500</v>
      </c>
      <c r="J734" s="1118">
        <f t="shared" si="2"/>
        <v>422000</v>
      </c>
      <c r="K734" s="1110"/>
    </row>
    <row r="735" ht="18.75" customHeight="1">
      <c r="A735" s="1110"/>
      <c r="B735" s="1108" t="s">
        <v>10056</v>
      </c>
      <c r="C735" s="1108" t="s">
        <v>10057</v>
      </c>
      <c r="D735" s="1116" t="s">
        <v>10084</v>
      </c>
      <c r="E735" s="1116" t="s">
        <v>10085</v>
      </c>
      <c r="F735" s="1109">
        <v>0.1</v>
      </c>
      <c r="G735" s="1109">
        <v>0.03</v>
      </c>
      <c r="H735" s="1118"/>
      <c r="I735" s="1118" t="str">
        <f t="shared" si="1"/>
        <v/>
      </c>
      <c r="J735" s="1118" t="str">
        <f t="shared" si="2"/>
        <v/>
      </c>
      <c r="K735" s="1110"/>
    </row>
    <row r="736" ht="18.75" customHeight="1">
      <c r="A736" s="1110"/>
      <c r="B736" s="1108" t="s">
        <v>10056</v>
      </c>
      <c r="C736" s="1108" t="s">
        <v>10057</v>
      </c>
      <c r="D736" s="1116" t="s">
        <v>10086</v>
      </c>
      <c r="E736" s="1116" t="s">
        <v>10087</v>
      </c>
      <c r="F736" s="1109">
        <v>0.1</v>
      </c>
      <c r="G736" s="1109">
        <v>0.03</v>
      </c>
      <c r="H736" s="1118">
        <v>1870000.0</v>
      </c>
      <c r="I736" s="1118">
        <f t="shared" si="1"/>
        <v>1700000</v>
      </c>
      <c r="J736" s="1118">
        <f t="shared" si="2"/>
        <v>1813900</v>
      </c>
      <c r="K736" s="1110"/>
    </row>
    <row r="737" ht="18.75" customHeight="1">
      <c r="A737" s="1110"/>
      <c r="B737" s="1108" t="s">
        <v>10056</v>
      </c>
      <c r="C737" s="1108" t="s">
        <v>10057</v>
      </c>
      <c r="D737" s="1116" t="s">
        <v>10088</v>
      </c>
      <c r="E737" s="1116" t="s">
        <v>10089</v>
      </c>
      <c r="F737" s="1109">
        <v>0.1</v>
      </c>
      <c r="G737" s="1109">
        <v>0.03</v>
      </c>
      <c r="H737" s="1118">
        <v>451000.0</v>
      </c>
      <c r="I737" s="1118">
        <f t="shared" si="1"/>
        <v>410000</v>
      </c>
      <c r="J737" s="1118">
        <f t="shared" si="2"/>
        <v>437470</v>
      </c>
      <c r="K737" s="1110"/>
    </row>
    <row r="738" ht="18.75" customHeight="1">
      <c r="A738" s="1110"/>
      <c r="B738" s="1108" t="s">
        <v>10056</v>
      </c>
      <c r="C738" s="1108" t="s">
        <v>10057</v>
      </c>
      <c r="D738" s="1116" t="s">
        <v>10090</v>
      </c>
      <c r="E738" s="1116" t="s">
        <v>10091</v>
      </c>
      <c r="F738" s="1109">
        <v>0.1</v>
      </c>
      <c r="G738" s="1109">
        <v>0.03</v>
      </c>
      <c r="H738" s="1118">
        <v>33000.0</v>
      </c>
      <c r="I738" s="1118">
        <f t="shared" si="1"/>
        <v>30000</v>
      </c>
      <c r="J738" s="1118">
        <f t="shared" si="2"/>
        <v>32010</v>
      </c>
      <c r="K738" s="1110"/>
    </row>
    <row r="739" ht="18.75" customHeight="1">
      <c r="A739" s="1110"/>
      <c r="B739" s="1108" t="s">
        <v>10056</v>
      </c>
      <c r="C739" s="1108" t="s">
        <v>10057</v>
      </c>
      <c r="D739" s="1116" t="s">
        <v>10092</v>
      </c>
      <c r="E739" s="1116" t="s">
        <v>10093</v>
      </c>
      <c r="F739" s="1109">
        <v>0.1</v>
      </c>
      <c r="G739" s="1109">
        <v>0.03</v>
      </c>
      <c r="H739" s="1118">
        <v>59400.0</v>
      </c>
      <c r="I739" s="1118">
        <f t="shared" si="1"/>
        <v>54000</v>
      </c>
      <c r="J739" s="1118">
        <f t="shared" si="2"/>
        <v>57620</v>
      </c>
      <c r="K739" s="1110"/>
    </row>
    <row r="740" ht="18.75" customHeight="1">
      <c r="A740" s="1110"/>
      <c r="B740" s="1108" t="s">
        <v>10056</v>
      </c>
      <c r="C740" s="1108" t="s">
        <v>10057</v>
      </c>
      <c r="D740" s="1116" t="s">
        <v>10094</v>
      </c>
      <c r="E740" s="1116" t="s">
        <v>10095</v>
      </c>
      <c r="F740" s="1109">
        <v>0.1</v>
      </c>
      <c r="G740" s="1109">
        <v>0.03</v>
      </c>
      <c r="H740" s="1118">
        <v>150040.0</v>
      </c>
      <c r="I740" s="1118">
        <f t="shared" si="1"/>
        <v>136400</v>
      </c>
      <c r="J740" s="1118">
        <f t="shared" si="2"/>
        <v>145540</v>
      </c>
      <c r="K740" s="1110"/>
    </row>
    <row r="741" ht="18.75" customHeight="1">
      <c r="A741" s="1110"/>
      <c r="B741" s="1108" t="s">
        <v>10056</v>
      </c>
      <c r="C741" s="1108" t="s">
        <v>10057</v>
      </c>
      <c r="D741" s="1116" t="s">
        <v>10096</v>
      </c>
      <c r="E741" s="1116" t="s">
        <v>10097</v>
      </c>
      <c r="F741" s="1109">
        <v>0.1</v>
      </c>
      <c r="G741" s="1109">
        <v>0.03</v>
      </c>
      <c r="H741" s="1118">
        <v>84260.0</v>
      </c>
      <c r="I741" s="1118">
        <f t="shared" si="1"/>
        <v>76600</v>
      </c>
      <c r="J741" s="1118">
        <f t="shared" si="2"/>
        <v>81730</v>
      </c>
      <c r="K741" s="1110"/>
    </row>
    <row r="742" ht="18.75" customHeight="1">
      <c r="A742" s="1110"/>
      <c r="B742" s="1108" t="s">
        <v>10056</v>
      </c>
      <c r="C742" s="1108" t="s">
        <v>10057</v>
      </c>
      <c r="D742" s="1116" t="s">
        <v>10098</v>
      </c>
      <c r="E742" s="1122" t="s">
        <v>10099</v>
      </c>
      <c r="F742" s="1109">
        <v>0.1</v>
      </c>
      <c r="G742" s="1109">
        <v>0.03</v>
      </c>
      <c r="H742" s="1118">
        <v>99000.0</v>
      </c>
      <c r="I742" s="1118">
        <f t="shared" si="1"/>
        <v>90000</v>
      </c>
      <c r="J742" s="1118">
        <f t="shared" si="2"/>
        <v>96030</v>
      </c>
      <c r="K742" s="1110"/>
    </row>
    <row r="743" ht="18.75" customHeight="1">
      <c r="A743" s="1110"/>
      <c r="B743" s="1108" t="s">
        <v>1145</v>
      </c>
      <c r="C743" s="1108" t="s">
        <v>10100</v>
      </c>
      <c r="D743" s="1116" t="s">
        <v>1133</v>
      </c>
      <c r="E743" s="1116" t="s">
        <v>1134</v>
      </c>
      <c r="F743" s="1109">
        <v>0.1</v>
      </c>
      <c r="G743" s="1109">
        <v>0.05</v>
      </c>
      <c r="H743" s="1118">
        <v>9999990.0</v>
      </c>
      <c r="I743" s="1118">
        <f t="shared" si="1"/>
        <v>9090900</v>
      </c>
      <c r="J743" s="1118">
        <f t="shared" si="2"/>
        <v>9499990</v>
      </c>
      <c r="K743" s="1110"/>
    </row>
    <row r="744" ht="18.75" customHeight="1">
      <c r="A744" s="1110"/>
      <c r="B744" s="1108" t="s">
        <v>1145</v>
      </c>
      <c r="C744" s="1108" t="s">
        <v>10100</v>
      </c>
      <c r="D744" s="1116" t="s">
        <v>1146</v>
      </c>
      <c r="E744" s="1116" t="s">
        <v>1147</v>
      </c>
      <c r="F744" s="1109">
        <v>0.1</v>
      </c>
      <c r="G744" s="1109">
        <v>0.05</v>
      </c>
      <c r="H744" s="1118">
        <v>20350.0</v>
      </c>
      <c r="I744" s="1118">
        <f t="shared" si="1"/>
        <v>18500</v>
      </c>
      <c r="J744" s="1118">
        <f t="shared" si="2"/>
        <v>19330</v>
      </c>
      <c r="K744" s="1110"/>
    </row>
    <row r="745" ht="18.75" customHeight="1">
      <c r="A745" s="1110"/>
      <c r="B745" s="1108" t="s">
        <v>1145</v>
      </c>
      <c r="C745" s="1108" t="s">
        <v>10100</v>
      </c>
      <c r="D745" s="1116" t="s">
        <v>10101</v>
      </c>
      <c r="E745" s="1116" t="s">
        <v>10102</v>
      </c>
      <c r="F745" s="1109">
        <v>0.1</v>
      </c>
      <c r="G745" s="1109">
        <v>0.05</v>
      </c>
      <c r="H745" s="1118">
        <v>73700.0</v>
      </c>
      <c r="I745" s="1118">
        <f t="shared" si="1"/>
        <v>67000</v>
      </c>
      <c r="J745" s="1118">
        <f t="shared" si="2"/>
        <v>70020</v>
      </c>
      <c r="K745" s="1110"/>
    </row>
    <row r="746" ht="18.75" customHeight="1">
      <c r="A746" s="1110"/>
      <c r="B746" s="1108" t="s">
        <v>1145</v>
      </c>
      <c r="C746" s="1108" t="s">
        <v>10100</v>
      </c>
      <c r="D746" s="1116" t="s">
        <v>10103</v>
      </c>
      <c r="E746" s="1116" t="s">
        <v>10104</v>
      </c>
      <c r="F746" s="1109">
        <v>0.1</v>
      </c>
      <c r="G746" s="1109">
        <v>0.05</v>
      </c>
      <c r="H746" s="1118">
        <v>25300.0</v>
      </c>
      <c r="I746" s="1118">
        <f t="shared" si="1"/>
        <v>23000</v>
      </c>
      <c r="J746" s="1118">
        <f t="shared" si="2"/>
        <v>24040</v>
      </c>
      <c r="K746" s="1110"/>
    </row>
    <row r="747" ht="18.75" customHeight="1">
      <c r="A747" s="1110"/>
      <c r="B747" s="1108" t="s">
        <v>1145</v>
      </c>
      <c r="C747" s="1108" t="s">
        <v>10100</v>
      </c>
      <c r="D747" s="1116" t="s">
        <v>10105</v>
      </c>
      <c r="E747" s="1116" t="s">
        <v>10106</v>
      </c>
      <c r="F747" s="1109">
        <v>0.1</v>
      </c>
      <c r="G747" s="1109">
        <v>0.05</v>
      </c>
      <c r="H747" s="1118">
        <v>7150.0</v>
      </c>
      <c r="I747" s="1118">
        <f t="shared" si="1"/>
        <v>6500</v>
      </c>
      <c r="J747" s="1118">
        <f t="shared" si="2"/>
        <v>6790</v>
      </c>
      <c r="K747" s="1110"/>
    </row>
    <row r="748" ht="18.75" customHeight="1">
      <c r="A748" s="1110"/>
      <c r="B748" s="1108" t="s">
        <v>10107</v>
      </c>
      <c r="C748" s="1108" t="s">
        <v>10108</v>
      </c>
      <c r="D748" s="1116" t="s">
        <v>10109</v>
      </c>
      <c r="E748" s="1116" t="s">
        <v>10110</v>
      </c>
      <c r="F748" s="1109">
        <v>0.1</v>
      </c>
      <c r="G748" s="1117">
        <v>0.02</v>
      </c>
      <c r="H748" s="1118">
        <v>1964000.0</v>
      </c>
      <c r="I748" s="1118">
        <f t="shared" si="1"/>
        <v>1785450</v>
      </c>
      <c r="J748" s="1118">
        <f t="shared" si="2"/>
        <v>1924720</v>
      </c>
      <c r="K748" s="1110"/>
    </row>
    <row r="749" ht="18.75" customHeight="1">
      <c r="A749" s="1110"/>
      <c r="B749" s="1108" t="s">
        <v>10107</v>
      </c>
      <c r="C749" s="1108" t="s">
        <v>10108</v>
      </c>
      <c r="D749" s="1116" t="s">
        <v>1196</v>
      </c>
      <c r="E749" s="1116" t="s">
        <v>10111</v>
      </c>
      <c r="F749" s="1109">
        <v>0.1</v>
      </c>
      <c r="G749" s="1117">
        <v>0.02</v>
      </c>
      <c r="H749" s="1118">
        <v>375000.0</v>
      </c>
      <c r="I749" s="1118">
        <f t="shared" si="1"/>
        <v>340910</v>
      </c>
      <c r="J749" s="1118">
        <f t="shared" si="2"/>
        <v>367500</v>
      </c>
      <c r="K749" s="1110"/>
    </row>
    <row r="750" ht="18.75" customHeight="1">
      <c r="A750" s="1110"/>
      <c r="B750" s="1108" t="s">
        <v>10107</v>
      </c>
      <c r="C750" s="1108" t="s">
        <v>10108</v>
      </c>
      <c r="D750" s="1116" t="s">
        <v>1199</v>
      </c>
      <c r="E750" s="1116" t="s">
        <v>1200</v>
      </c>
      <c r="F750" s="1109">
        <v>0.1</v>
      </c>
      <c r="G750" s="1117">
        <v>0.02</v>
      </c>
      <c r="H750" s="1118">
        <v>366000.0</v>
      </c>
      <c r="I750" s="1118">
        <f t="shared" si="1"/>
        <v>332730</v>
      </c>
      <c r="J750" s="1118">
        <f t="shared" si="2"/>
        <v>358680</v>
      </c>
      <c r="K750" s="1110"/>
    </row>
    <row r="751" ht="18.75" customHeight="1">
      <c r="A751" s="1110"/>
      <c r="B751" s="1108" t="s">
        <v>10107</v>
      </c>
      <c r="C751" s="1108" t="s">
        <v>10108</v>
      </c>
      <c r="D751" s="1116" t="s">
        <v>10112</v>
      </c>
      <c r="E751" s="1116" t="s">
        <v>10113</v>
      </c>
      <c r="F751" s="1109">
        <v>0.1</v>
      </c>
      <c r="G751" s="1117">
        <v>0.02</v>
      </c>
      <c r="H751" s="1118">
        <v>1964000.0</v>
      </c>
      <c r="I751" s="1118">
        <f t="shared" si="1"/>
        <v>1785450</v>
      </c>
      <c r="J751" s="1118">
        <f t="shared" si="2"/>
        <v>1924720</v>
      </c>
      <c r="K751" s="1110"/>
    </row>
    <row r="752" ht="18.75" customHeight="1">
      <c r="A752" s="1110"/>
      <c r="B752" s="1108" t="s">
        <v>10107</v>
      </c>
      <c r="C752" s="1108" t="s">
        <v>10108</v>
      </c>
      <c r="D752" s="1116" t="s">
        <v>10114</v>
      </c>
      <c r="E752" s="1116" t="s">
        <v>10115</v>
      </c>
      <c r="F752" s="1109">
        <v>0.1</v>
      </c>
      <c r="G752" s="1117">
        <v>0.02</v>
      </c>
      <c r="H752" s="1118">
        <v>1964000.0</v>
      </c>
      <c r="I752" s="1118">
        <f t="shared" si="1"/>
        <v>1785450</v>
      </c>
      <c r="J752" s="1118">
        <f t="shared" si="2"/>
        <v>1924720</v>
      </c>
      <c r="K752" s="1110"/>
    </row>
    <row r="753" ht="18.75" customHeight="1">
      <c r="A753" s="1110"/>
      <c r="B753" s="1108" t="s">
        <v>10107</v>
      </c>
      <c r="C753" s="1108" t="s">
        <v>10108</v>
      </c>
      <c r="D753" s="1116" t="s">
        <v>10116</v>
      </c>
      <c r="E753" s="1116" t="s">
        <v>10117</v>
      </c>
      <c r="F753" s="1109">
        <v>0.1</v>
      </c>
      <c r="G753" s="1117">
        <v>0.02</v>
      </c>
      <c r="H753" s="1118">
        <v>427000.0</v>
      </c>
      <c r="I753" s="1118">
        <f t="shared" si="1"/>
        <v>388180</v>
      </c>
      <c r="J753" s="1118">
        <f t="shared" si="2"/>
        <v>418460</v>
      </c>
      <c r="K753" s="1110"/>
    </row>
    <row r="754" ht="18.75" customHeight="1">
      <c r="A754" s="1110"/>
      <c r="B754" s="1108" t="s">
        <v>10107</v>
      </c>
      <c r="C754" s="1108" t="s">
        <v>10108</v>
      </c>
      <c r="D754" s="1116" t="s">
        <v>10118</v>
      </c>
      <c r="E754" s="1116" t="s">
        <v>10119</v>
      </c>
      <c r="F754" s="1109">
        <v>0.1</v>
      </c>
      <c r="G754" s="1117">
        <v>0.02</v>
      </c>
      <c r="H754" s="1118">
        <v>635000.0</v>
      </c>
      <c r="I754" s="1118">
        <f t="shared" si="1"/>
        <v>577270</v>
      </c>
      <c r="J754" s="1118">
        <f t="shared" si="2"/>
        <v>622300</v>
      </c>
      <c r="K754" s="1110"/>
    </row>
    <row r="755" ht="18.75" customHeight="1">
      <c r="A755" s="1110"/>
      <c r="B755" s="1108" t="s">
        <v>10107</v>
      </c>
      <c r="C755" s="1108" t="s">
        <v>10108</v>
      </c>
      <c r="D755" s="1116" t="s">
        <v>10120</v>
      </c>
      <c r="E755" s="1116" t="s">
        <v>10121</v>
      </c>
      <c r="F755" s="1109">
        <v>0.1</v>
      </c>
      <c r="G755" s="1117">
        <v>0.02</v>
      </c>
      <c r="H755" s="1118">
        <v>1966000.0</v>
      </c>
      <c r="I755" s="1118">
        <f t="shared" si="1"/>
        <v>1787270</v>
      </c>
      <c r="J755" s="1118">
        <f t="shared" si="2"/>
        <v>1926680</v>
      </c>
      <c r="K755" s="1110"/>
    </row>
    <row r="756" ht="18.75" customHeight="1">
      <c r="A756" s="1110"/>
      <c r="B756" s="1108" t="s">
        <v>10107</v>
      </c>
      <c r="C756" s="1108" t="s">
        <v>10108</v>
      </c>
      <c r="D756" s="1116" t="s">
        <v>10122</v>
      </c>
      <c r="E756" s="1116" t="s">
        <v>10123</v>
      </c>
      <c r="F756" s="1109">
        <v>0.1</v>
      </c>
      <c r="G756" s="1117">
        <v>0.02</v>
      </c>
      <c r="H756" s="1118">
        <v>1974000.0</v>
      </c>
      <c r="I756" s="1118">
        <f t="shared" si="1"/>
        <v>1794550</v>
      </c>
      <c r="J756" s="1118">
        <f t="shared" si="2"/>
        <v>1934520</v>
      </c>
      <c r="K756" s="1110"/>
    </row>
    <row r="757" ht="18.75" customHeight="1">
      <c r="A757" s="1110"/>
      <c r="B757" s="1108" t="s">
        <v>10107</v>
      </c>
      <c r="C757" s="1108" t="s">
        <v>10108</v>
      </c>
      <c r="D757" s="1116" t="s">
        <v>10124</v>
      </c>
      <c r="E757" s="1116" t="s">
        <v>10125</v>
      </c>
      <c r="F757" s="1109">
        <v>0.1</v>
      </c>
      <c r="G757" s="1117">
        <v>0.02</v>
      </c>
      <c r="H757" s="1118">
        <v>2541000.0</v>
      </c>
      <c r="I757" s="1118">
        <f t="shared" si="1"/>
        <v>2310000</v>
      </c>
      <c r="J757" s="1118">
        <f t="shared" si="2"/>
        <v>2490180</v>
      </c>
      <c r="K757" s="1110"/>
    </row>
    <row r="758" ht="18.75" customHeight="1">
      <c r="A758" s="1110"/>
      <c r="B758" s="1108" t="s">
        <v>936</v>
      </c>
      <c r="C758" s="1108" t="s">
        <v>10126</v>
      </c>
      <c r="D758" s="1116" t="s">
        <v>10127</v>
      </c>
      <c r="E758" s="1116" t="s">
        <v>10128</v>
      </c>
      <c r="F758" s="1109">
        <v>0.1</v>
      </c>
      <c r="G758" s="1109">
        <v>0.05</v>
      </c>
      <c r="H758" s="1118"/>
      <c r="I758" s="1118" t="str">
        <f t="shared" si="1"/>
        <v/>
      </c>
      <c r="J758" s="1118" t="str">
        <f t="shared" si="2"/>
        <v/>
      </c>
      <c r="K758" s="1110"/>
    </row>
    <row r="759" ht="18.75" customHeight="1">
      <c r="A759" s="1110"/>
      <c r="B759" s="1108" t="s">
        <v>936</v>
      </c>
      <c r="C759" s="1108" t="s">
        <v>10126</v>
      </c>
      <c r="D759" s="1116" t="s">
        <v>10129</v>
      </c>
      <c r="E759" s="1116" t="s">
        <v>10130</v>
      </c>
      <c r="F759" s="1109">
        <v>0.1</v>
      </c>
      <c r="G759" s="1109">
        <v>0.05</v>
      </c>
      <c r="H759" s="1118">
        <v>913680.0</v>
      </c>
      <c r="I759" s="1118">
        <f t="shared" si="1"/>
        <v>830620</v>
      </c>
      <c r="J759" s="1118">
        <f t="shared" si="2"/>
        <v>868000</v>
      </c>
      <c r="K759" s="1110"/>
    </row>
    <row r="760" ht="18.75" customHeight="1">
      <c r="A760" s="1110"/>
      <c r="B760" s="1108" t="s">
        <v>936</v>
      </c>
      <c r="C760" s="1108" t="s">
        <v>10126</v>
      </c>
      <c r="D760" s="1116" t="s">
        <v>10131</v>
      </c>
      <c r="E760" s="1116" t="s">
        <v>10132</v>
      </c>
      <c r="F760" s="1109">
        <v>0.1</v>
      </c>
      <c r="G760" s="1109">
        <v>0.05</v>
      </c>
      <c r="H760" s="1118">
        <v>1035910.0</v>
      </c>
      <c r="I760" s="1118">
        <f t="shared" si="1"/>
        <v>941740</v>
      </c>
      <c r="J760" s="1118">
        <f t="shared" si="2"/>
        <v>984110</v>
      </c>
      <c r="K760" s="1110"/>
    </row>
    <row r="761" ht="18.75" customHeight="1">
      <c r="A761" s="1110"/>
      <c r="B761" s="1108" t="s">
        <v>936</v>
      </c>
      <c r="C761" s="1108" t="s">
        <v>10126</v>
      </c>
      <c r="D761" s="1116" t="s">
        <v>10133</v>
      </c>
      <c r="E761" s="1116" t="s">
        <v>10134</v>
      </c>
      <c r="F761" s="1109">
        <v>0.1</v>
      </c>
      <c r="G761" s="1109">
        <v>0.05</v>
      </c>
      <c r="H761" s="1118">
        <v>361140.0</v>
      </c>
      <c r="I761" s="1118">
        <f t="shared" si="1"/>
        <v>328310</v>
      </c>
      <c r="J761" s="1118">
        <f t="shared" si="2"/>
        <v>343080</v>
      </c>
      <c r="K761" s="1110"/>
    </row>
    <row r="762" ht="18.75" customHeight="1">
      <c r="A762" s="1110"/>
      <c r="B762" s="1108" t="s">
        <v>936</v>
      </c>
      <c r="C762" s="1108" t="s">
        <v>10126</v>
      </c>
      <c r="D762" s="1116" t="s">
        <v>10135</v>
      </c>
      <c r="E762" s="1116" t="s">
        <v>10136</v>
      </c>
      <c r="F762" s="1109">
        <v>0.1</v>
      </c>
      <c r="G762" s="1109">
        <v>0.05</v>
      </c>
      <c r="H762" s="1118">
        <v>458380.0</v>
      </c>
      <c r="I762" s="1118">
        <f t="shared" si="1"/>
        <v>416710</v>
      </c>
      <c r="J762" s="1118">
        <f t="shared" si="2"/>
        <v>435460</v>
      </c>
      <c r="K762" s="1110"/>
    </row>
    <row r="763" ht="18.75" customHeight="1">
      <c r="A763" s="1110"/>
      <c r="B763" s="1108" t="s">
        <v>936</v>
      </c>
      <c r="C763" s="1108" t="s">
        <v>10126</v>
      </c>
      <c r="D763" s="1116" t="s">
        <v>10137</v>
      </c>
      <c r="E763" s="1116" t="s">
        <v>10138</v>
      </c>
      <c r="F763" s="1109">
        <v>0.1</v>
      </c>
      <c r="G763" s="1109">
        <v>0.05</v>
      </c>
      <c r="H763" s="1118">
        <v>330000.0</v>
      </c>
      <c r="I763" s="1118">
        <f t="shared" si="1"/>
        <v>300000</v>
      </c>
      <c r="J763" s="1118">
        <f t="shared" si="2"/>
        <v>313500</v>
      </c>
      <c r="K763" s="1110"/>
    </row>
    <row r="764" ht="18.75" customHeight="1">
      <c r="A764" s="1110"/>
      <c r="B764" s="1108" t="s">
        <v>936</v>
      </c>
      <c r="C764" s="1108" t="s">
        <v>10126</v>
      </c>
      <c r="D764" s="1116" t="s">
        <v>918</v>
      </c>
      <c r="E764" s="1116" t="s">
        <v>919</v>
      </c>
      <c r="F764" s="1109">
        <v>0.1</v>
      </c>
      <c r="G764" s="1109">
        <v>0.05</v>
      </c>
      <c r="H764" s="1118">
        <v>171366.6</v>
      </c>
      <c r="I764" s="1118">
        <f t="shared" si="1"/>
        <v>155790</v>
      </c>
      <c r="J764" s="1118">
        <f t="shared" si="2"/>
        <v>162800</v>
      </c>
      <c r="K764" s="1110"/>
    </row>
    <row r="765" ht="18.75" customHeight="1">
      <c r="A765" s="1110"/>
      <c r="B765" s="1108" t="s">
        <v>936</v>
      </c>
      <c r="C765" s="1108" t="s">
        <v>10126</v>
      </c>
      <c r="D765" s="1116" t="s">
        <v>10139</v>
      </c>
      <c r="E765" s="1116" t="s">
        <v>10140</v>
      </c>
      <c r="F765" s="1109">
        <v>0.1</v>
      </c>
      <c r="G765" s="1109">
        <v>0.05</v>
      </c>
      <c r="H765" s="1118">
        <v>192500.0</v>
      </c>
      <c r="I765" s="1118">
        <f t="shared" si="1"/>
        <v>175000</v>
      </c>
      <c r="J765" s="1118">
        <f t="shared" si="2"/>
        <v>182880</v>
      </c>
      <c r="K765" s="1110"/>
    </row>
    <row r="766" ht="18.75" customHeight="1">
      <c r="A766" s="1110"/>
      <c r="B766" s="1108" t="s">
        <v>936</v>
      </c>
      <c r="C766" s="1108" t="s">
        <v>10126</v>
      </c>
      <c r="D766" s="1116" t="s">
        <v>10141</v>
      </c>
      <c r="E766" s="1116" t="s">
        <v>10142</v>
      </c>
      <c r="F766" s="1109">
        <v>0.1</v>
      </c>
      <c r="G766" s="1109">
        <v>0.05</v>
      </c>
      <c r="H766" s="1118">
        <v>192500.0</v>
      </c>
      <c r="I766" s="1118">
        <f t="shared" si="1"/>
        <v>175000</v>
      </c>
      <c r="J766" s="1118">
        <f t="shared" si="2"/>
        <v>182880</v>
      </c>
      <c r="K766" s="1110"/>
    </row>
    <row r="767" ht="18.75" customHeight="1">
      <c r="A767" s="1110"/>
      <c r="B767" s="1108" t="s">
        <v>936</v>
      </c>
      <c r="C767" s="1108" t="s">
        <v>10126</v>
      </c>
      <c r="D767" s="1116" t="s">
        <v>10143</v>
      </c>
      <c r="E767" s="1116" t="s">
        <v>10144</v>
      </c>
      <c r="F767" s="1109">
        <v>0.1</v>
      </c>
      <c r="G767" s="1109">
        <v>0.05</v>
      </c>
      <c r="H767" s="1118">
        <v>165000.0</v>
      </c>
      <c r="I767" s="1118">
        <f t="shared" si="1"/>
        <v>150000</v>
      </c>
      <c r="J767" s="1118">
        <f t="shared" si="2"/>
        <v>156750</v>
      </c>
      <c r="K767" s="1110"/>
    </row>
    <row r="768" ht="18.75" customHeight="1">
      <c r="A768" s="1110"/>
      <c r="B768" s="1108" t="s">
        <v>936</v>
      </c>
      <c r="C768" s="1108" t="s">
        <v>10126</v>
      </c>
      <c r="D768" s="1116" t="s">
        <v>10145</v>
      </c>
      <c r="E768" s="1116" t="s">
        <v>10146</v>
      </c>
      <c r="F768" s="1109">
        <v>0.1</v>
      </c>
      <c r="G768" s="1109">
        <v>0.05</v>
      </c>
      <c r="H768" s="1118"/>
      <c r="I768" s="1118" t="str">
        <f t="shared" si="1"/>
        <v/>
      </c>
      <c r="J768" s="1118" t="str">
        <f t="shared" si="2"/>
        <v/>
      </c>
      <c r="K768" s="1110"/>
    </row>
    <row r="769" ht="18.75" customHeight="1">
      <c r="A769" s="1110"/>
      <c r="B769" s="1108" t="s">
        <v>936</v>
      </c>
      <c r="C769" s="1108" t="s">
        <v>10126</v>
      </c>
      <c r="D769" s="1116" t="s">
        <v>10147</v>
      </c>
      <c r="E769" s="1116" t="s">
        <v>10148</v>
      </c>
      <c r="F769" s="1109">
        <v>0.1</v>
      </c>
      <c r="G769" s="1109">
        <v>0.05</v>
      </c>
      <c r="H769" s="1118"/>
      <c r="I769" s="1118" t="str">
        <f t="shared" si="1"/>
        <v/>
      </c>
      <c r="J769" s="1118" t="str">
        <f t="shared" si="2"/>
        <v/>
      </c>
      <c r="K769" s="1110"/>
    </row>
    <row r="770" ht="18.75" customHeight="1">
      <c r="A770" s="1110"/>
      <c r="B770" s="1108" t="s">
        <v>936</v>
      </c>
      <c r="C770" s="1108" t="s">
        <v>10126</v>
      </c>
      <c r="D770" s="1116" t="s">
        <v>10149</v>
      </c>
      <c r="E770" s="1116" t="s">
        <v>10150</v>
      </c>
      <c r="F770" s="1109">
        <v>0.1</v>
      </c>
      <c r="G770" s="1109">
        <v>0.05</v>
      </c>
      <c r="H770" s="1118">
        <v>1252630.0</v>
      </c>
      <c r="I770" s="1118">
        <f t="shared" si="1"/>
        <v>1138750</v>
      </c>
      <c r="J770" s="1118">
        <f t="shared" si="2"/>
        <v>1190000</v>
      </c>
      <c r="K770" s="1110"/>
    </row>
    <row r="771" ht="18.75" customHeight="1">
      <c r="A771" s="1110"/>
      <c r="B771" s="1108" t="s">
        <v>936</v>
      </c>
      <c r="C771" s="1108" t="s">
        <v>10126</v>
      </c>
      <c r="D771" s="1116" t="s">
        <v>10151</v>
      </c>
      <c r="E771" s="1116" t="s">
        <v>10152</v>
      </c>
      <c r="F771" s="1109">
        <v>0.1</v>
      </c>
      <c r="G771" s="1109">
        <v>0.05</v>
      </c>
      <c r="H771" s="1118"/>
      <c r="I771" s="1118" t="str">
        <f t="shared" si="1"/>
        <v/>
      </c>
      <c r="J771" s="1118" t="str">
        <f t="shared" si="2"/>
        <v/>
      </c>
      <c r="K771" s="1110"/>
    </row>
    <row r="772" ht="18.75" customHeight="1">
      <c r="A772" s="1110"/>
      <c r="B772" s="1108" t="s">
        <v>936</v>
      </c>
      <c r="C772" s="1108" t="s">
        <v>10126</v>
      </c>
      <c r="D772" s="1116" t="s">
        <v>10153</v>
      </c>
      <c r="E772" s="1116" t="s">
        <v>10154</v>
      </c>
      <c r="F772" s="1109">
        <v>0.1</v>
      </c>
      <c r="G772" s="1109">
        <v>0.05</v>
      </c>
      <c r="H772" s="1118">
        <v>2266000.0</v>
      </c>
      <c r="I772" s="1118">
        <f t="shared" si="1"/>
        <v>2060000</v>
      </c>
      <c r="J772" s="1118">
        <f t="shared" si="2"/>
        <v>2152700</v>
      </c>
      <c r="K772" s="1110"/>
    </row>
    <row r="773" ht="18.75" customHeight="1">
      <c r="A773" s="1110"/>
      <c r="B773" s="1108" t="s">
        <v>936</v>
      </c>
      <c r="C773" s="1108" t="s">
        <v>10126</v>
      </c>
      <c r="D773" s="1116" t="s">
        <v>10155</v>
      </c>
      <c r="E773" s="1116" t="s">
        <v>10156</v>
      </c>
      <c r="F773" s="1109">
        <v>0.1</v>
      </c>
      <c r="G773" s="1109">
        <v>0.05</v>
      </c>
      <c r="H773" s="1118"/>
      <c r="I773" s="1118" t="str">
        <f t="shared" si="1"/>
        <v/>
      </c>
      <c r="J773" s="1118" t="str">
        <f t="shared" si="2"/>
        <v/>
      </c>
      <c r="K773" s="1110"/>
    </row>
    <row r="774" ht="18.75" customHeight="1">
      <c r="A774" s="1110"/>
      <c r="B774" s="1108" t="s">
        <v>936</v>
      </c>
      <c r="C774" s="1108" t="s">
        <v>10126</v>
      </c>
      <c r="D774" s="1116" t="s">
        <v>10157</v>
      </c>
      <c r="E774" s="1116" t="s">
        <v>10158</v>
      </c>
      <c r="F774" s="1109">
        <v>0.1</v>
      </c>
      <c r="G774" s="1109">
        <v>0.05</v>
      </c>
      <c r="H774" s="1118"/>
      <c r="I774" s="1118" t="str">
        <f t="shared" si="1"/>
        <v/>
      </c>
      <c r="J774" s="1118" t="str">
        <f t="shared" si="2"/>
        <v/>
      </c>
      <c r="K774" s="1110"/>
    </row>
    <row r="775" ht="18.75" customHeight="1">
      <c r="A775" s="1110"/>
      <c r="B775" s="1108" t="s">
        <v>936</v>
      </c>
      <c r="C775" s="1108" t="s">
        <v>10126</v>
      </c>
      <c r="D775" s="1116" t="s">
        <v>10159</v>
      </c>
      <c r="E775" s="1116" t="s">
        <v>10160</v>
      </c>
      <c r="F775" s="1109">
        <v>0.1</v>
      </c>
      <c r="G775" s="1109">
        <v>0.05</v>
      </c>
      <c r="H775" s="1118">
        <v>4600000.0</v>
      </c>
      <c r="I775" s="1118">
        <f t="shared" si="1"/>
        <v>4181820</v>
      </c>
      <c r="J775" s="1118">
        <f t="shared" si="2"/>
        <v>4370000</v>
      </c>
      <c r="K775" s="1110"/>
    </row>
    <row r="776" ht="18.75" customHeight="1">
      <c r="A776" s="1110"/>
      <c r="B776" s="1108" t="s">
        <v>936</v>
      </c>
      <c r="C776" s="1108" t="s">
        <v>10126</v>
      </c>
      <c r="D776" s="1116" t="s">
        <v>10161</v>
      </c>
      <c r="E776" s="1116" t="s">
        <v>10162</v>
      </c>
      <c r="F776" s="1109">
        <v>0.1</v>
      </c>
      <c r="G776" s="1109">
        <v>0.05</v>
      </c>
      <c r="H776" s="1118"/>
      <c r="I776" s="1118" t="str">
        <f t="shared" si="1"/>
        <v/>
      </c>
      <c r="J776" s="1118" t="str">
        <f t="shared" si="2"/>
        <v/>
      </c>
      <c r="K776" s="1110"/>
    </row>
    <row r="777" ht="18.75" customHeight="1">
      <c r="A777" s="1110"/>
      <c r="B777" s="1108" t="s">
        <v>936</v>
      </c>
      <c r="C777" s="1108" t="s">
        <v>10126</v>
      </c>
      <c r="D777" s="1116" t="s">
        <v>937</v>
      </c>
      <c r="E777" s="1116" t="s">
        <v>938</v>
      </c>
      <c r="F777" s="1109">
        <v>0.1</v>
      </c>
      <c r="G777" s="1109">
        <v>0.05</v>
      </c>
      <c r="H777" s="1118">
        <v>889700.0</v>
      </c>
      <c r="I777" s="1118">
        <f t="shared" si="1"/>
        <v>808820</v>
      </c>
      <c r="J777" s="1118">
        <f t="shared" si="2"/>
        <v>845220</v>
      </c>
      <c r="K777" s="1110"/>
    </row>
    <row r="778" ht="18.75" customHeight="1">
      <c r="A778" s="1110"/>
      <c r="B778" s="1108" t="s">
        <v>10163</v>
      </c>
      <c r="C778" s="1108" t="s">
        <v>10164</v>
      </c>
      <c r="D778" s="1116" t="s">
        <v>10165</v>
      </c>
      <c r="E778" s="1116" t="s">
        <v>10166</v>
      </c>
      <c r="F778" s="1109">
        <v>0.1</v>
      </c>
      <c r="G778" s="1109">
        <v>0.0</v>
      </c>
      <c r="H778" s="1116"/>
      <c r="I778" s="1118" t="str">
        <f t="shared" si="1"/>
        <v/>
      </c>
      <c r="J778" s="1118" t="str">
        <f t="shared" si="2"/>
        <v/>
      </c>
      <c r="K778" s="1110"/>
    </row>
  </sheetData>
  <autoFilter ref="$A$4:$K$778"/>
  <mergeCells count="1">
    <mergeCell ref="A1:K2"/>
  </mergeCells>
  <printOptions/>
  <pageMargins bottom="0.75" footer="0.0" header="0.0" left="0.7" right="0.7" top="0.75"/>
  <pageSetup orientation="landscape"/>
  <drawing r:id="rId1"/>
</worksheet>
</file>